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90" yWindow="780" windowWidth="20190" windowHeight="10500" tabRatio="601"/>
  </bookViews>
  <sheets>
    <sheet name="Vantage Global Investment Fund" sheetId="2" r:id="rId1"/>
    <sheet name="Monthly returns" sheetId="3" r:id="rId2"/>
  </sheets>
  <definedNames>
    <definedName name="_xlnm.Print_Area" localSheetId="1">'Monthly returns'!$I$41:$V$58</definedName>
    <definedName name="_xlnm.Print_Area" localSheetId="0">'Vantage Global Investment Fund'!$A$659:$B$684</definedName>
  </definedNames>
  <calcPr calcId="145621"/>
</workbook>
</file>

<file path=xl/calcChain.xml><?xml version="1.0" encoding="utf-8"?>
<calcChain xmlns="http://schemas.openxmlformats.org/spreadsheetml/2006/main">
  <c r="M73" i="3" l="1"/>
  <c r="M34" i="3"/>
  <c r="F4" i="3"/>
  <c r="G4" i="3" s="1"/>
  <c r="E4" i="3"/>
  <c r="D4" i="3"/>
  <c r="C4" i="3"/>
  <c r="A4" i="3"/>
  <c r="L7" i="2"/>
  <c r="J7" i="2"/>
  <c r="E7" i="2"/>
  <c r="D7" i="2"/>
  <c r="C7" i="2"/>
  <c r="E5" i="3" l="1"/>
  <c r="D5" i="3"/>
  <c r="C5" i="3"/>
  <c r="L8" i="2" l="1"/>
  <c r="E8" i="2"/>
  <c r="D8" i="2"/>
  <c r="C8" i="2"/>
  <c r="E6" i="3" l="1"/>
  <c r="D6" i="3"/>
  <c r="C6" i="3"/>
  <c r="L9" i="2"/>
  <c r="E9" i="2"/>
  <c r="D9" i="2"/>
  <c r="C9" i="2"/>
  <c r="F6" i="3" l="1"/>
  <c r="G6" i="3" s="1"/>
  <c r="K34" i="3" s="1"/>
  <c r="F5" i="3"/>
  <c r="F7" i="3"/>
  <c r="G7" i="3" s="1"/>
  <c r="J34" i="3" s="1"/>
  <c r="L10" i="2"/>
  <c r="E10" i="2"/>
  <c r="D10" i="2"/>
  <c r="C10" i="2"/>
  <c r="K73" i="3" l="1"/>
  <c r="G5" i="3"/>
  <c r="L34" i="3" s="1"/>
  <c r="V34" i="3" s="1"/>
  <c r="L73" i="3"/>
  <c r="J73" i="3"/>
  <c r="A343" i="3"/>
  <c r="A342" i="3" s="1"/>
  <c r="A341" i="3" s="1"/>
  <c r="A340" i="3" s="1"/>
  <c r="A339" i="3" s="1"/>
  <c r="A338" i="3" s="1"/>
  <c r="A337" i="3" s="1"/>
  <c r="A336" i="3" s="1"/>
  <c r="A335" i="3" s="1"/>
  <c r="A334" i="3" s="1"/>
  <c r="A333" i="3" s="1"/>
  <c r="A332" i="3" s="1"/>
  <c r="A331" i="3" s="1"/>
  <c r="A330" i="3" s="1"/>
  <c r="A329" i="3" s="1"/>
  <c r="A328" i="3" s="1"/>
  <c r="A327" i="3" s="1"/>
  <c r="A326" i="3" s="1"/>
  <c r="A325" i="3" s="1"/>
  <c r="A324" i="3" s="1"/>
  <c r="A323" i="3" s="1"/>
  <c r="A322" i="3" s="1"/>
  <c r="A321" i="3" s="1"/>
  <c r="A320" i="3" s="1"/>
  <c r="A319" i="3" s="1"/>
  <c r="A318" i="3" s="1"/>
  <c r="A317" i="3" s="1"/>
  <c r="A316" i="3" s="1"/>
  <c r="A315" i="3" s="1"/>
  <c r="A314" i="3" s="1"/>
  <c r="A313" i="3" s="1"/>
  <c r="A312" i="3" s="1"/>
  <c r="A311" i="3" s="1"/>
  <c r="A310" i="3" s="1"/>
  <c r="A309" i="3" s="1"/>
  <c r="A308" i="3" s="1"/>
  <c r="A307" i="3" s="1"/>
  <c r="A306" i="3" s="1"/>
  <c r="A305" i="3" s="1"/>
  <c r="A304" i="3" s="1"/>
  <c r="A303" i="3" s="1"/>
  <c r="A302" i="3" s="1"/>
  <c r="A301" i="3" s="1"/>
  <c r="A300" i="3" s="1"/>
  <c r="A299" i="3" s="1"/>
  <c r="A298" i="3" s="1"/>
  <c r="A297" i="3" s="1"/>
  <c r="A296" i="3" s="1"/>
  <c r="A295" i="3" s="1"/>
  <c r="A294" i="3" s="1"/>
  <c r="A293" i="3" s="1"/>
  <c r="A292" i="3" s="1"/>
  <c r="A291" i="3" s="1"/>
  <c r="A290" i="3" s="1"/>
  <c r="A289" i="3" s="1"/>
  <c r="A288" i="3" s="1"/>
  <c r="A287" i="3" s="1"/>
  <c r="A286" i="3" s="1"/>
  <c r="A285" i="3" s="1"/>
  <c r="A284" i="3" s="1"/>
  <c r="A283" i="3" s="1"/>
  <c r="A282" i="3" s="1"/>
  <c r="A281" i="3" s="1"/>
  <c r="A280" i="3" s="1"/>
  <c r="A279" i="3" s="1"/>
  <c r="A278" i="3" s="1"/>
  <c r="A277" i="3" s="1"/>
  <c r="A276" i="3" s="1"/>
  <c r="A275" i="3" s="1"/>
  <c r="A274" i="3" s="1"/>
  <c r="A273" i="3" s="1"/>
  <c r="A272" i="3" s="1"/>
  <c r="A271" i="3" s="1"/>
  <c r="A270" i="3" s="1"/>
  <c r="A269" i="3" s="1"/>
  <c r="A268" i="3" s="1"/>
  <c r="A267" i="3" s="1"/>
  <c r="A266" i="3" s="1"/>
  <c r="A265" i="3" s="1"/>
  <c r="A264" i="3" s="1"/>
  <c r="A263" i="3" s="1"/>
  <c r="A262" i="3" s="1"/>
  <c r="A261" i="3" s="1"/>
  <c r="A260" i="3" s="1"/>
  <c r="A259" i="3" s="1"/>
  <c r="A258" i="3" s="1"/>
  <c r="A257" i="3" s="1"/>
  <c r="A256" i="3" s="1"/>
  <c r="A255" i="3" s="1"/>
  <c r="A254" i="3" s="1"/>
  <c r="A253" i="3" s="1"/>
  <c r="A252" i="3" s="1"/>
  <c r="A251" i="3" s="1"/>
  <c r="A250" i="3" s="1"/>
  <c r="A249" i="3" s="1"/>
  <c r="A248" i="3" s="1"/>
  <c r="A247" i="3" s="1"/>
  <c r="A246" i="3" s="1"/>
  <c r="A245" i="3" s="1"/>
  <c r="A244" i="3" s="1"/>
  <c r="A243" i="3" s="1"/>
  <c r="A242" i="3" s="1"/>
  <c r="A241" i="3" s="1"/>
  <c r="A240" i="3" s="1"/>
  <c r="A239" i="3" s="1"/>
  <c r="A238" i="3" s="1"/>
  <c r="A237" i="3" s="1"/>
  <c r="A236" i="3" s="1"/>
  <c r="A235" i="3" s="1"/>
  <c r="A234" i="3" s="1"/>
  <c r="A233" i="3" s="1"/>
  <c r="A232" i="3" s="1"/>
  <c r="A231" i="3" s="1"/>
  <c r="A230" i="3" s="1"/>
  <c r="A229" i="3" s="1"/>
  <c r="A228" i="3" s="1"/>
  <c r="A227" i="3" s="1"/>
  <c r="A226" i="3" s="1"/>
  <c r="A225" i="3" s="1"/>
  <c r="A224" i="3" s="1"/>
  <c r="A223" i="3" s="1"/>
  <c r="A222" i="3" s="1"/>
  <c r="A221" i="3" s="1"/>
  <c r="A220" i="3" s="1"/>
  <c r="A219" i="3" s="1"/>
  <c r="A218" i="3" s="1"/>
  <c r="A217" i="3" s="1"/>
  <c r="A216" i="3" s="1"/>
  <c r="A215" i="3" s="1"/>
  <c r="A214" i="3" s="1"/>
  <c r="A213" i="3" s="1"/>
  <c r="A212" i="3" s="1"/>
  <c r="A211" i="3" s="1"/>
  <c r="A210" i="3" s="1"/>
  <c r="A209" i="3" s="1"/>
  <c r="A208" i="3" s="1"/>
  <c r="A207" i="3" s="1"/>
  <c r="A206" i="3" s="1"/>
  <c r="A205" i="3" s="1"/>
  <c r="A204" i="3" s="1"/>
  <c r="A203" i="3" s="1"/>
  <c r="A202" i="3" s="1"/>
  <c r="A201" i="3" s="1"/>
  <c r="A200" i="3" s="1"/>
  <c r="A199" i="3" s="1"/>
  <c r="A198" i="3" s="1"/>
  <c r="A197" i="3" s="1"/>
  <c r="A196" i="3" s="1"/>
  <c r="A195" i="3" s="1"/>
  <c r="A194" i="3" s="1"/>
  <c r="A193" i="3" s="1"/>
  <c r="A192" i="3" s="1"/>
  <c r="A191" i="3" s="1"/>
  <c r="A190" i="3" s="1"/>
  <c r="A189" i="3" s="1"/>
  <c r="A188" i="3" s="1"/>
  <c r="A187" i="3" s="1"/>
  <c r="A186" i="3" s="1"/>
  <c r="A185" i="3" s="1"/>
  <c r="A184" i="3" s="1"/>
  <c r="A183" i="3" s="1"/>
  <c r="A182" i="3" s="1"/>
  <c r="A181" i="3" s="1"/>
  <c r="A180" i="3" s="1"/>
  <c r="A179" i="3" s="1"/>
  <c r="A178" i="3" s="1"/>
  <c r="A177" i="3" s="1"/>
  <c r="A176" i="3" s="1"/>
  <c r="A175" i="3" s="1"/>
  <c r="A174" i="3" s="1"/>
  <c r="A173" i="3" s="1"/>
  <c r="A172" i="3" s="1"/>
  <c r="A171" i="3" s="1"/>
  <c r="A170" i="3" s="1"/>
  <c r="A169" i="3" s="1"/>
  <c r="A168" i="3" s="1"/>
  <c r="A167" i="3" s="1"/>
  <c r="A166" i="3" s="1"/>
  <c r="A165" i="3" s="1"/>
  <c r="A164" i="3" s="1"/>
  <c r="A163" i="3" s="1"/>
  <c r="A162" i="3" s="1"/>
  <c r="A161" i="3" s="1"/>
  <c r="A160" i="3" s="1"/>
  <c r="A159" i="3" s="1"/>
  <c r="A158" i="3" s="1"/>
  <c r="A157" i="3" s="1"/>
  <c r="A156" i="3" s="1"/>
  <c r="A155" i="3" s="1"/>
  <c r="A154" i="3" s="1"/>
  <c r="A153" i="3" s="1"/>
  <c r="A152" i="3" s="1"/>
  <c r="A151" i="3" s="1"/>
  <c r="A150" i="3" s="1"/>
  <c r="A149" i="3" s="1"/>
  <c r="A148" i="3" s="1"/>
  <c r="A147" i="3" s="1"/>
  <c r="A146" i="3" s="1"/>
  <c r="A145" i="3" s="1"/>
  <c r="A144" i="3" s="1"/>
  <c r="A143" i="3" s="1"/>
  <c r="A142" i="3" s="1"/>
  <c r="A141" i="3" s="1"/>
  <c r="A140" i="3" s="1"/>
  <c r="A139" i="3" s="1"/>
  <c r="A138" i="3" s="1"/>
  <c r="A137" i="3" s="1"/>
  <c r="A136" i="3" s="1"/>
  <c r="A135" i="3" s="1"/>
  <c r="A134" i="3" s="1"/>
  <c r="A133" i="3" s="1"/>
  <c r="A132" i="3" s="1"/>
  <c r="A131" i="3" s="1"/>
  <c r="A130" i="3" s="1"/>
  <c r="A129" i="3" s="1"/>
  <c r="A128" i="3" s="1"/>
  <c r="A127" i="3" s="1"/>
  <c r="A126" i="3" s="1"/>
  <c r="A125" i="3" s="1"/>
  <c r="A124" i="3" s="1"/>
  <c r="A123" i="3" s="1"/>
  <c r="A122" i="3" s="1"/>
  <c r="A121" i="3" s="1"/>
  <c r="A120" i="3" s="1"/>
  <c r="A119" i="3" s="1"/>
  <c r="A118" i="3" s="1"/>
  <c r="A117" i="3" s="1"/>
  <c r="A116" i="3" s="1"/>
  <c r="A115" i="3" s="1"/>
  <c r="A114" i="3" s="1"/>
  <c r="A113" i="3" s="1"/>
  <c r="A112" i="3" s="1"/>
  <c r="A111" i="3" s="1"/>
  <c r="A110" i="3" s="1"/>
  <c r="A109" i="3" s="1"/>
  <c r="A108" i="3" s="1"/>
  <c r="A107" i="3" s="1"/>
  <c r="A106" i="3" s="1"/>
  <c r="A105" i="3" s="1"/>
  <c r="A104" i="3" s="1"/>
  <c r="A103" i="3" s="1"/>
  <c r="A102" i="3" s="1"/>
  <c r="A101" i="3" s="1"/>
  <c r="A100" i="3" s="1"/>
  <c r="A99" i="3" s="1"/>
  <c r="A98" i="3" s="1"/>
  <c r="A97" i="3" s="1"/>
  <c r="A96" i="3" s="1"/>
  <c r="A95" i="3" s="1"/>
  <c r="A94" i="3" s="1"/>
  <c r="A93" i="3" s="1"/>
  <c r="A92" i="3" s="1"/>
  <c r="A91" i="3" s="1"/>
  <c r="A90" i="3" s="1"/>
  <c r="A89" i="3" s="1"/>
  <c r="A88" i="3" s="1"/>
  <c r="A87" i="3" s="1"/>
  <c r="A86" i="3" s="1"/>
  <c r="A85" i="3" s="1"/>
  <c r="A84" i="3" s="1"/>
  <c r="A83" i="3" s="1"/>
  <c r="A82" i="3" s="1"/>
  <c r="A81" i="3" s="1"/>
  <c r="A80" i="3" s="1"/>
  <c r="A79" i="3" s="1"/>
  <c r="A78" i="3" s="1"/>
  <c r="A77" i="3" s="1"/>
  <c r="A76" i="3" s="1"/>
  <c r="A75" i="3" s="1"/>
  <c r="A74" i="3" s="1"/>
  <c r="A73" i="3" s="1"/>
  <c r="A72" i="3" s="1"/>
  <c r="A71" i="3" s="1"/>
  <c r="A70" i="3" s="1"/>
  <c r="A69" i="3" s="1"/>
  <c r="A68" i="3" s="1"/>
  <c r="A67" i="3" s="1"/>
  <c r="A66" i="3" s="1"/>
  <c r="A65" i="3" s="1"/>
  <c r="A64" i="3" s="1"/>
  <c r="A63" i="3" s="1"/>
  <c r="A62" i="3" s="1"/>
  <c r="A61" i="3" s="1"/>
  <c r="A60" i="3" s="1"/>
  <c r="A59" i="3" s="1"/>
  <c r="A58" i="3" s="1"/>
  <c r="A57" i="3" s="1"/>
  <c r="A56" i="3" s="1"/>
  <c r="A55" i="3" s="1"/>
  <c r="A54" i="3" s="1"/>
  <c r="A53" i="3" s="1"/>
  <c r="A52" i="3" s="1"/>
  <c r="A51" i="3" s="1"/>
  <c r="A50" i="3" s="1"/>
  <c r="A49" i="3" s="1"/>
  <c r="A48" i="3" s="1"/>
  <c r="A47" i="3" s="1"/>
  <c r="A46" i="3" s="1"/>
  <c r="A45" i="3" s="1"/>
  <c r="A44" i="3" s="1"/>
  <c r="A43" i="3" s="1"/>
  <c r="A42" i="3" s="1"/>
  <c r="A41" i="3" s="1"/>
  <c r="A40" i="3" s="1"/>
  <c r="A39" i="3" s="1"/>
  <c r="A38" i="3" s="1"/>
  <c r="A37" i="3" s="1"/>
  <c r="A36" i="3" s="1"/>
  <c r="A35" i="3" s="1"/>
  <c r="A34" i="3" s="1"/>
  <c r="A33" i="3" s="1"/>
  <c r="A32" i="3" s="1"/>
  <c r="A31" i="3" s="1"/>
  <c r="A30" i="3" s="1"/>
  <c r="A29" i="3" s="1"/>
  <c r="A28" i="3" s="1"/>
  <c r="A27" i="3" s="1"/>
  <c r="A26" i="3" s="1"/>
  <c r="A25" i="3" s="1"/>
  <c r="A24" i="3" s="1"/>
  <c r="A23" i="3" s="1"/>
  <c r="A22" i="3" s="1"/>
  <c r="A21" i="3" s="1"/>
  <c r="A20" i="3" s="1"/>
  <c r="A19" i="3" s="1"/>
  <c r="A18" i="3" s="1"/>
  <c r="A17" i="3" s="1"/>
  <c r="A16" i="3" s="1"/>
  <c r="A15" i="3" s="1"/>
  <c r="A14" i="3" s="1"/>
  <c r="A13" i="3" s="1"/>
  <c r="A12" i="3" s="1"/>
  <c r="A11" i="3" s="1"/>
  <c r="A10" i="3" s="1"/>
  <c r="A9" i="3" s="1"/>
  <c r="A8" i="3" s="1"/>
  <c r="A7" i="3" s="1"/>
  <c r="A6" i="3" s="1"/>
  <c r="A5" i="3" s="1"/>
  <c r="V73" i="3" l="1"/>
  <c r="S36" i="3"/>
  <c r="S75" i="3"/>
  <c r="F8" i="3"/>
  <c r="L11" i="2"/>
  <c r="E11" i="2"/>
  <c r="D11" i="2"/>
  <c r="C11" i="2"/>
  <c r="G8" i="3" l="1"/>
  <c r="U33" i="3" s="1"/>
  <c r="U72" i="3"/>
  <c r="F9" i="3"/>
  <c r="L12" i="2"/>
  <c r="E12" i="2"/>
  <c r="D12" i="2"/>
  <c r="C12" i="2"/>
  <c r="G9" i="3" l="1"/>
  <c r="T33" i="3" s="1"/>
  <c r="T72" i="3"/>
  <c r="F10" i="3"/>
  <c r="G10" i="3" l="1"/>
  <c r="S33" i="3" s="1"/>
  <c r="S72" i="3"/>
  <c r="L13" i="2"/>
  <c r="E13" i="2"/>
  <c r="D13" i="2"/>
  <c r="C13" i="2"/>
  <c r="F11" i="3" l="1"/>
  <c r="L14" i="2"/>
  <c r="E14" i="2"/>
  <c r="D14" i="2"/>
  <c r="C14" i="2"/>
  <c r="G11" i="3" l="1"/>
  <c r="R33" i="3" s="1"/>
  <c r="R72" i="3"/>
  <c r="F12" i="3"/>
  <c r="L15" i="2"/>
  <c r="E15" i="2"/>
  <c r="E16" i="2"/>
  <c r="D15" i="2"/>
  <c r="C15" i="2"/>
  <c r="G12" i="3" l="1"/>
  <c r="Q33" i="3" s="1"/>
  <c r="Q72" i="3"/>
  <c r="F13" i="3"/>
  <c r="L16" i="2"/>
  <c r="G13" i="3" l="1"/>
  <c r="P33" i="3" s="1"/>
  <c r="P72" i="3"/>
  <c r="D16" i="2"/>
  <c r="C16" i="2"/>
  <c r="F14" i="3" l="1"/>
  <c r="L17" i="2"/>
  <c r="E17" i="2"/>
  <c r="D17" i="2"/>
  <c r="C17" i="2"/>
  <c r="G14" i="3" l="1"/>
  <c r="O33" i="3" s="1"/>
  <c r="O72" i="3"/>
  <c r="F15" i="3"/>
  <c r="L18" i="2"/>
  <c r="E18" i="2"/>
  <c r="E19" i="2"/>
  <c r="D18" i="2"/>
  <c r="C18" i="2"/>
  <c r="G15" i="3" l="1"/>
  <c r="N33" i="3" s="1"/>
  <c r="N72" i="3"/>
  <c r="F16" i="3"/>
  <c r="G16" i="3" l="1"/>
  <c r="M33" i="3" s="1"/>
  <c r="M72" i="3"/>
  <c r="L19" i="2"/>
  <c r="D19" i="2"/>
  <c r="C19" i="2"/>
  <c r="F17" i="3" l="1"/>
  <c r="L20" i="2"/>
  <c r="E20" i="2"/>
  <c r="C20" i="2"/>
  <c r="D20" i="2"/>
  <c r="G17" i="3" l="1"/>
  <c r="L33" i="3" s="1"/>
  <c r="L72" i="3"/>
  <c r="F18" i="3"/>
  <c r="L21" i="2"/>
  <c r="E21" i="2"/>
  <c r="D21" i="2"/>
  <c r="D22" i="2"/>
  <c r="C21" i="2"/>
  <c r="G18" i="3" l="1"/>
  <c r="K33" i="3" s="1"/>
  <c r="K72" i="3"/>
  <c r="F19" i="3"/>
  <c r="J72" i="3" s="1"/>
  <c r="L22" i="2"/>
  <c r="E22" i="2"/>
  <c r="G19" i="3" l="1"/>
  <c r="J33" i="3" s="1"/>
  <c r="C22" i="2"/>
  <c r="F20" i="3" l="1"/>
  <c r="U71" i="3" s="1"/>
  <c r="G20" i="3" l="1"/>
  <c r="U32" i="3" s="1"/>
  <c r="L23" i="2"/>
  <c r="E23" i="2"/>
  <c r="D23" i="2"/>
  <c r="C23" i="2"/>
  <c r="F21" i="3" l="1"/>
  <c r="T71" i="3" s="1"/>
  <c r="E24" i="2"/>
  <c r="L24" i="2"/>
  <c r="D24" i="2"/>
  <c r="C24" i="2"/>
  <c r="G21" i="3" l="1"/>
  <c r="T32" i="3" s="1"/>
  <c r="E25" i="2"/>
  <c r="F22" i="3"/>
  <c r="S71" i="3" s="1"/>
  <c r="G22" i="3" l="1"/>
  <c r="S32" i="3" s="1"/>
  <c r="L25" i="2"/>
  <c r="D25" i="2"/>
  <c r="C25" i="2"/>
  <c r="F23" i="3" l="1"/>
  <c r="R71" i="3" s="1"/>
  <c r="E26" i="2"/>
  <c r="L26" i="2"/>
  <c r="D26" i="2"/>
  <c r="C26" i="2"/>
  <c r="G23" i="3" l="1"/>
  <c r="R32" i="3" s="1"/>
  <c r="F24" i="3"/>
  <c r="Q71" i="3" s="1"/>
  <c r="L27" i="2"/>
  <c r="E27" i="2"/>
  <c r="D27" i="2"/>
  <c r="C27" i="2"/>
  <c r="G24" i="3" l="1"/>
  <c r="Q32" i="3" s="1"/>
  <c r="F25" i="3"/>
  <c r="P71" i="3" s="1"/>
  <c r="L28" i="2"/>
  <c r="E28" i="2"/>
  <c r="D28" i="2"/>
  <c r="C28" i="2"/>
  <c r="G25" i="3" l="1"/>
  <c r="P32" i="3" s="1"/>
  <c r="F26" i="3"/>
  <c r="O71" i="3" s="1"/>
  <c r="E29" i="2"/>
  <c r="D29" i="2"/>
  <c r="C29" i="2"/>
  <c r="G26" i="3" l="1"/>
  <c r="O32" i="3" s="1"/>
  <c r="L29" i="2"/>
  <c r="F27" i="3" l="1"/>
  <c r="N71" i="3" s="1"/>
  <c r="E30" i="2"/>
  <c r="L30" i="2"/>
  <c r="D30" i="2"/>
  <c r="C30" i="2"/>
  <c r="G27" i="3" l="1"/>
  <c r="N32" i="3" s="1"/>
  <c r="F28" i="3"/>
  <c r="M71" i="3" s="1"/>
  <c r="E31" i="2"/>
  <c r="G28" i="3" l="1"/>
  <c r="M32" i="3" s="1"/>
  <c r="L31" i="2"/>
  <c r="D31" i="2"/>
  <c r="C31" i="2"/>
  <c r="E32" i="2" l="1"/>
  <c r="F29" i="3"/>
  <c r="L71" i="3" s="1"/>
  <c r="L32" i="2"/>
  <c r="D32" i="2"/>
  <c r="C32" i="2"/>
  <c r="G29" i="3" l="1"/>
  <c r="L32" i="3" s="1"/>
  <c r="F30" i="3"/>
  <c r="K71" i="3" s="1"/>
  <c r="L33" i="2"/>
  <c r="E33" i="2"/>
  <c r="D33" i="2"/>
  <c r="C33" i="2"/>
  <c r="G30" i="3" l="1"/>
  <c r="K32" i="3" s="1"/>
  <c r="F31" i="3"/>
  <c r="J71" i="3" s="1"/>
  <c r="S37" i="3"/>
  <c r="E34" i="2"/>
  <c r="L34" i="2"/>
  <c r="D34" i="2"/>
  <c r="C34" i="2"/>
  <c r="G31" i="3" l="1"/>
  <c r="J32" i="3" s="1"/>
  <c r="F32" i="3"/>
  <c r="U70" i="3" s="1"/>
  <c r="E35" i="2"/>
  <c r="L35" i="2"/>
  <c r="D35" i="2"/>
  <c r="C35" i="2"/>
  <c r="G32" i="3" l="1"/>
  <c r="U31" i="3" s="1"/>
  <c r="F33" i="3" l="1"/>
  <c r="T70" i="3" s="1"/>
  <c r="L36" i="2"/>
  <c r="E36" i="2"/>
  <c r="D36" i="2"/>
  <c r="C36" i="2"/>
  <c r="G33" i="3" l="1"/>
  <c r="T31" i="3" s="1"/>
  <c r="E37" i="2"/>
  <c r="F34" i="3"/>
  <c r="S70" i="3" s="1"/>
  <c r="G34" i="3" l="1"/>
  <c r="S31" i="3" s="1"/>
  <c r="L37" i="2"/>
  <c r="D37" i="2"/>
  <c r="C37" i="2"/>
  <c r="E38" i="2" l="1"/>
  <c r="F35" i="3"/>
  <c r="R70" i="3" s="1"/>
  <c r="F36" i="3"/>
  <c r="Q70" i="3" s="1"/>
  <c r="L38" i="2"/>
  <c r="D38" i="2"/>
  <c r="C38" i="2"/>
  <c r="G36" i="3" l="1"/>
  <c r="Q31" i="3" s="1"/>
  <c r="G35" i="3"/>
  <c r="R31" i="3" s="1"/>
  <c r="E39" i="2"/>
  <c r="L39" i="2"/>
  <c r="D39" i="2"/>
  <c r="C39" i="2"/>
  <c r="E40" i="2" l="1"/>
  <c r="F37" i="3"/>
  <c r="P70" i="3" s="1"/>
  <c r="L40" i="2"/>
  <c r="D40" i="2"/>
  <c r="C40" i="2"/>
  <c r="G37" i="3" l="1"/>
  <c r="P31" i="3" s="1"/>
  <c r="F38" i="3"/>
  <c r="O70" i="3" s="1"/>
  <c r="G38" i="3" l="1"/>
  <c r="O31" i="3" s="1"/>
  <c r="E41" i="2"/>
  <c r="L41" i="2"/>
  <c r="D41" i="2"/>
  <c r="C41" i="2"/>
  <c r="F39" i="3" l="1"/>
  <c r="N70" i="3" s="1"/>
  <c r="G39" i="3" l="1"/>
  <c r="N31" i="3" s="1"/>
  <c r="E42" i="2"/>
  <c r="L42" i="2"/>
  <c r="D42" i="2"/>
  <c r="C42" i="2"/>
  <c r="F40" i="3" l="1"/>
  <c r="M70" i="3" s="1"/>
  <c r="G40" i="3" l="1"/>
  <c r="M31" i="3" s="1"/>
  <c r="E43" i="2"/>
  <c r="L43" i="2"/>
  <c r="D43" i="2"/>
  <c r="C43" i="2"/>
  <c r="F41" i="3" l="1"/>
  <c r="L70" i="3" s="1"/>
  <c r="G41" i="3" l="1"/>
  <c r="L31" i="3" s="1"/>
  <c r="L44" i="2"/>
  <c r="E44" i="2"/>
  <c r="D44" i="2"/>
  <c r="C44" i="2"/>
  <c r="S76" i="3" l="1"/>
  <c r="F42" i="3"/>
  <c r="K70" i="3" s="1"/>
  <c r="G42" i="3" l="1"/>
  <c r="K31" i="3" s="1"/>
  <c r="E45" i="2"/>
  <c r="L45" i="2"/>
  <c r="D45" i="2"/>
  <c r="C45" i="2"/>
  <c r="E46" i="2" l="1"/>
  <c r="F43" i="3"/>
  <c r="J70" i="3" s="1"/>
  <c r="V70" i="3" s="1"/>
  <c r="G43" i="3" l="1"/>
  <c r="L46" i="2"/>
  <c r="D46" i="2"/>
  <c r="C46" i="2"/>
  <c r="J31" i="3" l="1"/>
  <c r="V31" i="3" s="1"/>
  <c r="F44" i="3"/>
  <c r="U69" i="3" s="1"/>
  <c r="L47" i="2"/>
  <c r="E47" i="2"/>
  <c r="D47" i="2"/>
  <c r="C47" i="2"/>
  <c r="G44" i="3" l="1"/>
  <c r="U30" i="3" s="1"/>
  <c r="L48" i="2"/>
  <c r="E48" i="2"/>
  <c r="C48" i="2"/>
  <c r="D48" i="2"/>
  <c r="V32" i="3" l="1"/>
  <c r="E49" i="2"/>
  <c r="L49" i="2"/>
  <c r="D49" i="2"/>
  <c r="C49" i="2"/>
  <c r="E50" i="2" l="1"/>
  <c r="L50" i="2"/>
  <c r="D50" i="2"/>
  <c r="C50" i="2"/>
  <c r="E51" i="2" l="1"/>
  <c r="L51" i="2"/>
  <c r="D51" i="2"/>
  <c r="C51" i="2"/>
  <c r="E52" i="2" l="1"/>
  <c r="L52" i="2" l="1"/>
  <c r="D52" i="2"/>
  <c r="C52" i="2"/>
  <c r="F45" i="3" l="1"/>
  <c r="T69" i="3" s="1"/>
  <c r="G45" i="3" l="1"/>
  <c r="T30" i="3" s="1"/>
  <c r="E53" i="2"/>
  <c r="L53" i="2"/>
  <c r="D53" i="2"/>
  <c r="C53" i="2"/>
  <c r="E54" i="2" l="1"/>
  <c r="L54" i="2"/>
  <c r="D54" i="2"/>
  <c r="C54" i="2"/>
  <c r="E55" i="2" l="1"/>
  <c r="L55" i="2"/>
  <c r="D55" i="2"/>
  <c r="C55" i="2"/>
  <c r="E56" i="2" l="1"/>
  <c r="L56" i="2"/>
  <c r="D56" i="2"/>
  <c r="C56" i="2"/>
  <c r="F46" i="3" l="1"/>
  <c r="S69" i="3" s="1"/>
  <c r="G46" i="3" l="1"/>
  <c r="S30" i="3" s="1"/>
  <c r="E57" i="2"/>
  <c r="E59" i="2"/>
  <c r="L57" i="2"/>
  <c r="D57" i="2"/>
  <c r="C57" i="2"/>
  <c r="E58" i="2" l="1"/>
  <c r="L58" i="2"/>
  <c r="C58" i="2"/>
  <c r="D58" i="2"/>
  <c r="L59" i="2" l="1"/>
  <c r="D59" i="2"/>
  <c r="C59" i="2"/>
  <c r="E60" i="2" l="1"/>
  <c r="L60" i="2" l="1"/>
  <c r="D60" i="2"/>
  <c r="C60" i="2"/>
  <c r="F47" i="3" l="1"/>
  <c r="R69" i="3" s="1"/>
  <c r="G47" i="3" l="1"/>
  <c r="R30" i="3" s="1"/>
  <c r="L61" i="2"/>
  <c r="E61" i="2"/>
  <c r="V33" i="3" l="1"/>
  <c r="D61" i="2"/>
  <c r="C61" i="2"/>
  <c r="E62" i="2" l="1"/>
  <c r="L62" i="2"/>
  <c r="D62" i="2"/>
  <c r="C62" i="2"/>
  <c r="E63" i="2" l="1"/>
  <c r="L63" i="2" l="1"/>
  <c r="D63" i="2"/>
  <c r="C63" i="2"/>
  <c r="E64" i="2" l="1"/>
  <c r="L64" i="2"/>
  <c r="D64" i="2"/>
  <c r="C64" i="2"/>
  <c r="E65" i="2" l="1"/>
  <c r="L65" i="2"/>
  <c r="D65" i="2"/>
  <c r="C65" i="2"/>
  <c r="F48" i="3" l="1"/>
  <c r="Q69" i="3" s="1"/>
  <c r="G48" i="3" l="1"/>
  <c r="Q30" i="3" s="1"/>
  <c r="L66" i="2"/>
  <c r="E66" i="2"/>
  <c r="D66" i="2"/>
  <c r="C66" i="2"/>
  <c r="L67" i="2" l="1"/>
  <c r="E67" i="2"/>
  <c r="D67" i="2"/>
  <c r="C67" i="2"/>
  <c r="C68" i="2"/>
  <c r="D68" i="2"/>
  <c r="E68" i="2"/>
  <c r="L68" i="2"/>
  <c r="E69" i="2" l="1"/>
  <c r="L69" i="2" l="1"/>
  <c r="D69" i="2"/>
  <c r="C69" i="2"/>
  <c r="F49" i="3" l="1"/>
  <c r="P69" i="3" s="1"/>
  <c r="G49" i="3" l="1"/>
  <c r="P30" i="3" s="1"/>
  <c r="E70" i="2"/>
  <c r="L70" i="2" l="1"/>
  <c r="D70" i="2"/>
  <c r="C70" i="2"/>
  <c r="E71" i="2" l="1"/>
  <c r="L71" i="2"/>
  <c r="D71" i="2"/>
  <c r="C71" i="2"/>
  <c r="E72" i="2" l="1"/>
  <c r="L72" i="2"/>
  <c r="D72" i="2"/>
  <c r="C72" i="2"/>
  <c r="E73" i="2" l="1"/>
  <c r="L73" i="2" l="1"/>
  <c r="D73" i="2"/>
  <c r="C73" i="2"/>
  <c r="E74" i="2" l="1"/>
  <c r="L74" i="2"/>
  <c r="D74" i="2"/>
  <c r="C74" i="2"/>
  <c r="F50" i="3" l="1"/>
  <c r="O69" i="3" s="1"/>
  <c r="G50" i="3" l="1"/>
  <c r="O30" i="3" s="1"/>
  <c r="E75" i="2"/>
  <c r="L75" i="2" l="1"/>
  <c r="D75" i="2"/>
  <c r="C75" i="2"/>
  <c r="E76" i="2" l="1"/>
  <c r="L76" i="2" l="1"/>
  <c r="D76" i="2"/>
  <c r="C76" i="2"/>
  <c r="E77" i="2" l="1"/>
  <c r="L77" i="2"/>
  <c r="D77" i="2"/>
  <c r="C77" i="2"/>
  <c r="E78" i="2" l="1"/>
  <c r="L78" i="2" l="1"/>
  <c r="D78" i="2"/>
  <c r="C78" i="2"/>
  <c r="F51" i="3" l="1"/>
  <c r="N69" i="3" s="1"/>
  <c r="E79" i="2"/>
  <c r="G51" i="3" l="1"/>
  <c r="N30" i="3" s="1"/>
  <c r="L79" i="2"/>
  <c r="D79" i="2"/>
  <c r="C79" i="2"/>
  <c r="E80" i="2" l="1"/>
  <c r="L80" i="2"/>
  <c r="D80" i="2"/>
  <c r="C80" i="2"/>
  <c r="E81" i="2" l="1"/>
  <c r="L81" i="2"/>
  <c r="D81" i="2"/>
  <c r="C81" i="2"/>
  <c r="B82" i="2" l="1"/>
  <c r="E82" i="2" l="1"/>
  <c r="L82" i="2"/>
  <c r="D82" i="2"/>
  <c r="C82" i="2"/>
  <c r="E83" i="2" l="1"/>
  <c r="F52" i="3"/>
  <c r="M69" i="3" s="1"/>
  <c r="L83" i="2"/>
  <c r="D83" i="2"/>
  <c r="C83" i="2"/>
  <c r="G52" i="3" l="1"/>
  <c r="M30" i="3" s="1"/>
  <c r="E84" i="2"/>
  <c r="L84" i="2"/>
  <c r="D84" i="2"/>
  <c r="C84" i="2"/>
  <c r="E85" i="2" l="1"/>
  <c r="L85" i="2"/>
  <c r="D85" i="2"/>
  <c r="C85" i="2"/>
  <c r="E86" i="2" l="1"/>
  <c r="L86" i="2"/>
  <c r="D86" i="2"/>
  <c r="C86" i="2"/>
  <c r="E87" i="2" l="1"/>
  <c r="L87" i="2"/>
  <c r="D87" i="2"/>
  <c r="C87" i="2"/>
  <c r="F53" i="3" l="1"/>
  <c r="L69" i="3" s="1"/>
  <c r="G53" i="3" l="1"/>
  <c r="L30" i="3" s="1"/>
  <c r="E88" i="2"/>
  <c r="L88" i="2"/>
  <c r="D88" i="2"/>
  <c r="C88" i="2"/>
  <c r="E89" i="2" l="1"/>
  <c r="L89" i="2"/>
  <c r="D89" i="2"/>
  <c r="C89" i="2"/>
  <c r="E90" i="2" l="1"/>
  <c r="L90" i="2"/>
  <c r="E91" i="2"/>
  <c r="D90" i="2"/>
  <c r="C90" i="2"/>
  <c r="L91" i="2" l="1"/>
  <c r="D91" i="2"/>
  <c r="C91" i="2"/>
  <c r="F54" i="3" l="1"/>
  <c r="K69" i="3" s="1"/>
  <c r="L92" i="2"/>
  <c r="E92" i="2"/>
  <c r="D92" i="2"/>
  <c r="C92" i="2"/>
  <c r="G54" i="3" l="1"/>
  <c r="K30" i="3" s="1"/>
  <c r="E93" i="2"/>
  <c r="L93" i="2"/>
  <c r="D93" i="2"/>
  <c r="C93" i="2"/>
  <c r="E94" i="2" l="1"/>
  <c r="L94" i="2"/>
  <c r="D94" i="2"/>
  <c r="C94" i="2"/>
  <c r="E95" i="2" l="1"/>
  <c r="L95" i="2"/>
  <c r="D95" i="2"/>
  <c r="C95" i="2"/>
  <c r="F55" i="3" l="1"/>
  <c r="J69" i="3" s="1"/>
  <c r="G55" i="3" l="1"/>
  <c r="V69" i="3"/>
  <c r="E96" i="2"/>
  <c r="L96" i="2"/>
  <c r="D96" i="2"/>
  <c r="C96" i="2"/>
  <c r="J30" i="3" l="1"/>
  <c r="V30" i="3" s="1"/>
  <c r="E97" i="2"/>
  <c r="L97" i="2"/>
  <c r="D97" i="2"/>
  <c r="C97" i="2"/>
  <c r="L98" i="2" l="1"/>
  <c r="E98" i="2"/>
  <c r="E99" i="2"/>
  <c r="C98" i="2"/>
  <c r="D98" i="2"/>
  <c r="L99" i="2" l="1"/>
  <c r="D99" i="2"/>
  <c r="C99" i="2"/>
  <c r="F56" i="3" l="1"/>
  <c r="U68" i="3" s="1"/>
  <c r="G56" i="3" l="1"/>
  <c r="U29" i="3" s="1"/>
  <c r="L100" i="2"/>
  <c r="L101" i="2"/>
  <c r="E100" i="2"/>
  <c r="C100" i="2"/>
  <c r="D100" i="2"/>
  <c r="E101" i="2" l="1"/>
  <c r="C101" i="2"/>
  <c r="D101" i="2"/>
  <c r="E102" i="2" l="1"/>
  <c r="L102" i="2"/>
  <c r="D102" i="2"/>
  <c r="C102" i="2"/>
  <c r="E103" i="2" l="1"/>
  <c r="L103" i="2"/>
  <c r="D103" i="2"/>
  <c r="C103" i="2"/>
  <c r="L104" i="2" l="1"/>
  <c r="E104" i="2"/>
  <c r="C104" i="2"/>
  <c r="D104" i="2"/>
  <c r="F57" i="3" l="1"/>
  <c r="T68" i="3" s="1"/>
  <c r="G57" i="3" l="1"/>
  <c r="T29" i="3" s="1"/>
  <c r="E105" i="2"/>
  <c r="L105" i="2"/>
  <c r="D105" i="2"/>
  <c r="C105" i="2"/>
  <c r="E106" i="2" l="1"/>
  <c r="L106" i="2"/>
  <c r="D106" i="2"/>
  <c r="C106" i="2"/>
  <c r="L107" i="2" l="1"/>
  <c r="C107" i="2"/>
  <c r="D107" i="2"/>
  <c r="E107" i="2"/>
  <c r="E108" i="2" l="1"/>
  <c r="L108" i="2"/>
  <c r="D108" i="2"/>
  <c r="C108" i="2"/>
  <c r="F58" i="3" l="1"/>
  <c r="S68" i="3" s="1"/>
  <c r="L109" i="2"/>
  <c r="E109" i="2"/>
  <c r="D109" i="2"/>
  <c r="C109" i="2"/>
  <c r="G58" i="3" l="1"/>
  <c r="S29" i="3" s="1"/>
  <c r="L110" i="2"/>
  <c r="E110" i="2"/>
  <c r="D110" i="2"/>
  <c r="C110" i="2"/>
  <c r="E113" i="2" l="1"/>
  <c r="E112" i="2"/>
  <c r="E111" i="2"/>
  <c r="L111" i="2" l="1"/>
  <c r="D111" i="2"/>
  <c r="C111" i="2"/>
  <c r="L112" i="2" l="1"/>
  <c r="C112" i="2" l="1"/>
  <c r="D112" i="2"/>
  <c r="L113" i="2" l="1"/>
  <c r="D113" i="2"/>
  <c r="C113" i="2"/>
  <c r="F59" i="3" l="1"/>
  <c r="R68" i="3" s="1"/>
  <c r="F60" i="3"/>
  <c r="Q68" i="3" s="1"/>
  <c r="G60" i="3" l="1"/>
  <c r="Q29" i="3" s="1"/>
  <c r="G59" i="3"/>
  <c r="R29" i="3" s="1"/>
  <c r="E114" i="2"/>
  <c r="L114" i="2"/>
  <c r="D114" i="2"/>
  <c r="C114" i="2"/>
  <c r="E115" i="2" l="1"/>
  <c r="L115" i="2"/>
  <c r="D115" i="2"/>
  <c r="C115" i="2"/>
  <c r="L116" i="2" l="1"/>
  <c r="E116" i="2"/>
  <c r="D116" i="2"/>
  <c r="C116" i="2"/>
  <c r="L117" i="2" l="1"/>
  <c r="E117" i="2"/>
  <c r="C117" i="2"/>
  <c r="D117" i="2"/>
  <c r="E118" i="2" l="1"/>
  <c r="L118" i="2" l="1"/>
  <c r="D118" i="2"/>
  <c r="C118" i="2"/>
  <c r="L119" i="2" l="1"/>
  <c r="E119" i="2" l="1"/>
  <c r="D119" i="2" l="1"/>
  <c r="C119" i="2"/>
  <c r="C120" i="2"/>
  <c r="E120" i="2" l="1"/>
  <c r="L120" i="2"/>
  <c r="D120" i="2"/>
  <c r="L121" i="2" l="1"/>
  <c r="E121" i="2"/>
  <c r="D121" i="2"/>
  <c r="C121" i="2"/>
  <c r="F61" i="3" l="1"/>
  <c r="P68" i="3" s="1"/>
  <c r="E122" i="2"/>
  <c r="G61" i="3" l="1"/>
  <c r="P29" i="3" s="1"/>
  <c r="L122" i="2"/>
  <c r="D122" i="2"/>
  <c r="C122" i="2"/>
  <c r="L123" i="2" l="1"/>
  <c r="E123" i="2"/>
  <c r="D123" i="2"/>
  <c r="C123" i="2"/>
  <c r="L124" i="2" l="1"/>
  <c r="E124" i="2"/>
  <c r="D124" i="2"/>
  <c r="C124" i="2"/>
  <c r="L125" i="2" l="1"/>
  <c r="E125" i="2"/>
  <c r="C125" i="2"/>
  <c r="D125" i="2"/>
  <c r="L126" i="2" l="1"/>
  <c r="E126" i="2"/>
  <c r="D126" i="2"/>
  <c r="C126" i="2"/>
  <c r="F62" i="3" l="1"/>
  <c r="O68" i="3" s="1"/>
  <c r="L127" i="2"/>
  <c r="E127" i="2"/>
  <c r="D127" i="2"/>
  <c r="C127" i="2"/>
  <c r="G62" i="3" l="1"/>
  <c r="O29" i="3" s="1"/>
  <c r="L128" i="2"/>
  <c r="E128" i="2"/>
  <c r="D128" i="2"/>
  <c r="C128" i="2"/>
  <c r="L129" i="2" l="1"/>
  <c r="E129" i="2"/>
  <c r="D129" i="2"/>
  <c r="C129" i="2"/>
  <c r="F343" i="3"/>
  <c r="J45" i="3" s="1"/>
  <c r="F342" i="3"/>
  <c r="K45" i="3" s="1"/>
  <c r="F341" i="3"/>
  <c r="L45" i="3" s="1"/>
  <c r="F340" i="3"/>
  <c r="M45" i="3" s="1"/>
  <c r="F339" i="3"/>
  <c r="N45" i="3" s="1"/>
  <c r="F338" i="3"/>
  <c r="O45" i="3" s="1"/>
  <c r="F337" i="3"/>
  <c r="P45" i="3" s="1"/>
  <c r="F336" i="3"/>
  <c r="Q45" i="3" s="1"/>
  <c r="F335" i="3"/>
  <c r="R45" i="3" s="1"/>
  <c r="F334" i="3"/>
  <c r="S45" i="3" s="1"/>
  <c r="F333" i="3"/>
  <c r="T45" i="3" s="1"/>
  <c r="F332" i="3"/>
  <c r="U45" i="3" s="1"/>
  <c r="F331" i="3"/>
  <c r="J46" i="3" s="1"/>
  <c r="F330" i="3"/>
  <c r="K46" i="3" s="1"/>
  <c r="F329" i="3"/>
  <c r="L46" i="3" s="1"/>
  <c r="F328" i="3"/>
  <c r="M46" i="3" s="1"/>
  <c r="F327" i="3"/>
  <c r="N46" i="3" s="1"/>
  <c r="F326" i="3"/>
  <c r="O46" i="3" s="1"/>
  <c r="F325" i="3"/>
  <c r="P46" i="3" s="1"/>
  <c r="F324" i="3"/>
  <c r="Q46" i="3" s="1"/>
  <c r="F323" i="3"/>
  <c r="R46" i="3" s="1"/>
  <c r="F322" i="3"/>
  <c r="S46" i="3" s="1"/>
  <c r="F321" i="3"/>
  <c r="T46" i="3" s="1"/>
  <c r="F320" i="3"/>
  <c r="U46" i="3" s="1"/>
  <c r="F319" i="3"/>
  <c r="J47" i="3" s="1"/>
  <c r="F318" i="3"/>
  <c r="K47" i="3" s="1"/>
  <c r="F317" i="3"/>
  <c r="L47" i="3" s="1"/>
  <c r="F316" i="3"/>
  <c r="M47" i="3" s="1"/>
  <c r="F315" i="3"/>
  <c r="N47" i="3" s="1"/>
  <c r="F314" i="3"/>
  <c r="O47" i="3" s="1"/>
  <c r="F313" i="3"/>
  <c r="P47" i="3" s="1"/>
  <c r="F312" i="3"/>
  <c r="Q47" i="3" s="1"/>
  <c r="F311" i="3"/>
  <c r="R47" i="3" s="1"/>
  <c r="F310" i="3"/>
  <c r="S47" i="3" s="1"/>
  <c r="F309" i="3"/>
  <c r="T47" i="3" s="1"/>
  <c r="F308" i="3"/>
  <c r="U47" i="3" s="1"/>
  <c r="F307" i="3"/>
  <c r="J48" i="3" s="1"/>
  <c r="F306" i="3"/>
  <c r="K48" i="3" s="1"/>
  <c r="F305" i="3"/>
  <c r="L48" i="3" s="1"/>
  <c r="F304" i="3"/>
  <c r="M48" i="3" s="1"/>
  <c r="F303" i="3"/>
  <c r="N48" i="3" s="1"/>
  <c r="F302" i="3"/>
  <c r="O48" i="3" s="1"/>
  <c r="F301" i="3"/>
  <c r="P48" i="3" s="1"/>
  <c r="F300" i="3"/>
  <c r="Q48" i="3" s="1"/>
  <c r="F299" i="3"/>
  <c r="R48" i="3" s="1"/>
  <c r="F298" i="3"/>
  <c r="S48" i="3" s="1"/>
  <c r="F297" i="3"/>
  <c r="T48" i="3" s="1"/>
  <c r="F296" i="3"/>
  <c r="U48" i="3" s="1"/>
  <c r="F295" i="3"/>
  <c r="J49" i="3" s="1"/>
  <c r="F294" i="3"/>
  <c r="K49" i="3" s="1"/>
  <c r="F293" i="3"/>
  <c r="L49" i="3" s="1"/>
  <c r="F292" i="3"/>
  <c r="M49" i="3" s="1"/>
  <c r="F291" i="3"/>
  <c r="N49" i="3" s="1"/>
  <c r="F290" i="3"/>
  <c r="O49" i="3" s="1"/>
  <c r="F289" i="3"/>
  <c r="P49" i="3" s="1"/>
  <c r="F288" i="3"/>
  <c r="Q49" i="3" s="1"/>
  <c r="F287" i="3"/>
  <c r="R49" i="3" s="1"/>
  <c r="F286" i="3"/>
  <c r="S49" i="3" s="1"/>
  <c r="F285" i="3"/>
  <c r="T49" i="3" s="1"/>
  <c r="F284" i="3"/>
  <c r="U49" i="3" s="1"/>
  <c r="F283" i="3"/>
  <c r="J50" i="3" s="1"/>
  <c r="F282" i="3"/>
  <c r="K50" i="3" s="1"/>
  <c r="F281" i="3"/>
  <c r="L50" i="3" s="1"/>
  <c r="F280" i="3"/>
  <c r="M50" i="3" s="1"/>
  <c r="F279" i="3"/>
  <c r="N50" i="3" s="1"/>
  <c r="F278" i="3"/>
  <c r="O50" i="3" s="1"/>
  <c r="F277" i="3"/>
  <c r="P50" i="3" s="1"/>
  <c r="F276" i="3"/>
  <c r="Q50" i="3" s="1"/>
  <c r="F275" i="3"/>
  <c r="R50" i="3" s="1"/>
  <c r="F274" i="3"/>
  <c r="S50" i="3" s="1"/>
  <c r="F273" i="3"/>
  <c r="T50" i="3" s="1"/>
  <c r="F272" i="3"/>
  <c r="U50" i="3" s="1"/>
  <c r="F271" i="3"/>
  <c r="J51" i="3" s="1"/>
  <c r="F270" i="3"/>
  <c r="K51" i="3" s="1"/>
  <c r="F269" i="3"/>
  <c r="L51" i="3" s="1"/>
  <c r="F268" i="3"/>
  <c r="M51" i="3" s="1"/>
  <c r="F267" i="3"/>
  <c r="N51" i="3" s="1"/>
  <c r="F266" i="3"/>
  <c r="O51" i="3" s="1"/>
  <c r="F265" i="3"/>
  <c r="P51" i="3" s="1"/>
  <c r="F264" i="3"/>
  <c r="Q51" i="3" s="1"/>
  <c r="F263" i="3"/>
  <c r="R51" i="3" s="1"/>
  <c r="F262" i="3"/>
  <c r="S51" i="3" s="1"/>
  <c r="F261" i="3"/>
  <c r="T51" i="3" s="1"/>
  <c r="F260" i="3"/>
  <c r="U51" i="3" s="1"/>
  <c r="F259" i="3"/>
  <c r="J52" i="3" s="1"/>
  <c r="F258" i="3"/>
  <c r="K52" i="3" s="1"/>
  <c r="F257" i="3"/>
  <c r="L52" i="3" s="1"/>
  <c r="F256" i="3"/>
  <c r="M52" i="3" s="1"/>
  <c r="F255" i="3"/>
  <c r="N52" i="3" s="1"/>
  <c r="F254" i="3"/>
  <c r="O52" i="3" s="1"/>
  <c r="F253" i="3"/>
  <c r="P52" i="3" s="1"/>
  <c r="F252" i="3"/>
  <c r="Q52" i="3" s="1"/>
  <c r="F251" i="3"/>
  <c r="R52" i="3" s="1"/>
  <c r="F250" i="3"/>
  <c r="S52" i="3" s="1"/>
  <c r="F249" i="3"/>
  <c r="T52" i="3" s="1"/>
  <c r="F248" i="3"/>
  <c r="U52" i="3" s="1"/>
  <c r="F247" i="3"/>
  <c r="J53" i="3" s="1"/>
  <c r="F246" i="3"/>
  <c r="K53" i="3" s="1"/>
  <c r="F245" i="3"/>
  <c r="L53" i="3" s="1"/>
  <c r="F244" i="3"/>
  <c r="M53" i="3" s="1"/>
  <c r="F243" i="3"/>
  <c r="N53" i="3" s="1"/>
  <c r="F242" i="3"/>
  <c r="O53" i="3" s="1"/>
  <c r="F241" i="3"/>
  <c r="P53" i="3" s="1"/>
  <c r="F240" i="3"/>
  <c r="Q53" i="3" s="1"/>
  <c r="F239" i="3"/>
  <c r="R53" i="3" s="1"/>
  <c r="F238" i="3"/>
  <c r="S53" i="3" s="1"/>
  <c r="F237" i="3"/>
  <c r="T53" i="3" s="1"/>
  <c r="F236" i="3"/>
  <c r="U53" i="3" s="1"/>
  <c r="F235" i="3"/>
  <c r="J54" i="3" s="1"/>
  <c r="F234" i="3"/>
  <c r="K54" i="3" s="1"/>
  <c r="F233" i="3"/>
  <c r="L54" i="3" s="1"/>
  <c r="F232" i="3"/>
  <c r="M54" i="3" s="1"/>
  <c r="F231" i="3"/>
  <c r="N54" i="3" s="1"/>
  <c r="F230" i="3"/>
  <c r="O54" i="3" s="1"/>
  <c r="F229" i="3"/>
  <c r="P54" i="3" s="1"/>
  <c r="F228" i="3"/>
  <c r="Q54" i="3" s="1"/>
  <c r="F227" i="3"/>
  <c r="R54" i="3" s="1"/>
  <c r="F226" i="3"/>
  <c r="S54" i="3" s="1"/>
  <c r="F225" i="3"/>
  <c r="T54" i="3" s="1"/>
  <c r="F224" i="3"/>
  <c r="U54" i="3" s="1"/>
  <c r="F223" i="3"/>
  <c r="J55" i="3" s="1"/>
  <c r="F222" i="3"/>
  <c r="K55" i="3" s="1"/>
  <c r="F221" i="3"/>
  <c r="L55" i="3" s="1"/>
  <c r="F220" i="3"/>
  <c r="M55" i="3" s="1"/>
  <c r="F219" i="3"/>
  <c r="N55" i="3" s="1"/>
  <c r="F218" i="3"/>
  <c r="O55" i="3" s="1"/>
  <c r="F217" i="3"/>
  <c r="P55" i="3" s="1"/>
  <c r="F216" i="3"/>
  <c r="Q55" i="3" s="1"/>
  <c r="F215" i="3"/>
  <c r="R55" i="3" s="1"/>
  <c r="F214" i="3"/>
  <c r="S55" i="3" s="1"/>
  <c r="F213" i="3"/>
  <c r="T55" i="3" s="1"/>
  <c r="F212" i="3"/>
  <c r="U55" i="3" s="1"/>
  <c r="F211" i="3"/>
  <c r="J56" i="3" s="1"/>
  <c r="F210" i="3"/>
  <c r="K56" i="3" s="1"/>
  <c r="F209" i="3"/>
  <c r="L56" i="3" s="1"/>
  <c r="F208" i="3"/>
  <c r="M56" i="3" s="1"/>
  <c r="F207" i="3"/>
  <c r="N56" i="3" s="1"/>
  <c r="F206" i="3"/>
  <c r="O56" i="3" s="1"/>
  <c r="F205" i="3"/>
  <c r="P56" i="3" s="1"/>
  <c r="F204" i="3"/>
  <c r="Q56" i="3" s="1"/>
  <c r="F203" i="3"/>
  <c r="R56" i="3" s="1"/>
  <c r="F202" i="3"/>
  <c r="S56" i="3" s="1"/>
  <c r="F201" i="3"/>
  <c r="T56" i="3" s="1"/>
  <c r="F200" i="3"/>
  <c r="U56" i="3" s="1"/>
  <c r="E200" i="3"/>
  <c r="D200" i="3"/>
  <c r="F199" i="3"/>
  <c r="J57" i="3" s="1"/>
  <c r="F198" i="3"/>
  <c r="K57" i="3" s="1"/>
  <c r="F197" i="3"/>
  <c r="L57" i="3" s="1"/>
  <c r="F196" i="3"/>
  <c r="M57" i="3" s="1"/>
  <c r="F195" i="3"/>
  <c r="N57" i="3" s="1"/>
  <c r="F194" i="3"/>
  <c r="O57" i="3" s="1"/>
  <c r="F193" i="3"/>
  <c r="P57" i="3" s="1"/>
  <c r="F192" i="3"/>
  <c r="Q57" i="3" s="1"/>
  <c r="F191" i="3"/>
  <c r="R57" i="3" s="1"/>
  <c r="F190" i="3"/>
  <c r="S57" i="3" s="1"/>
  <c r="F189" i="3"/>
  <c r="T57" i="3" s="1"/>
  <c r="F188" i="3"/>
  <c r="U57" i="3" s="1"/>
  <c r="F187" i="3"/>
  <c r="J58" i="3" s="1"/>
  <c r="F186" i="3"/>
  <c r="K58" i="3" s="1"/>
  <c r="F185" i="3"/>
  <c r="L58" i="3" s="1"/>
  <c r="F184" i="3"/>
  <c r="M58" i="3" s="1"/>
  <c r="F183" i="3"/>
  <c r="N58" i="3" s="1"/>
  <c r="F182" i="3"/>
  <c r="O58" i="3" s="1"/>
  <c r="F181" i="3"/>
  <c r="P58" i="3" s="1"/>
  <c r="E180" i="3"/>
  <c r="D180" i="3"/>
  <c r="C180" i="3"/>
  <c r="F180" i="3" s="1"/>
  <c r="Q58" i="3" s="1"/>
  <c r="E179" i="3"/>
  <c r="D179" i="3"/>
  <c r="C179" i="3"/>
  <c r="E178" i="3"/>
  <c r="D178" i="3"/>
  <c r="C178" i="3"/>
  <c r="F177" i="3" s="1"/>
  <c r="T58" i="3" s="1"/>
  <c r="E177" i="3"/>
  <c r="D177" i="3"/>
  <c r="E176" i="3"/>
  <c r="D176" i="3"/>
  <c r="C176" i="3"/>
  <c r="F176" i="3" s="1"/>
  <c r="U58" i="3" s="1"/>
  <c r="E175" i="3"/>
  <c r="D175" i="3"/>
  <c r="C175" i="3"/>
  <c r="E174" i="3"/>
  <c r="D174" i="3"/>
  <c r="C174" i="3"/>
  <c r="F172" i="3"/>
  <c r="M59" i="3" s="1"/>
  <c r="F171" i="3"/>
  <c r="N59" i="3" s="1"/>
  <c r="F170" i="3"/>
  <c r="O59" i="3" s="1"/>
  <c r="F169" i="3"/>
  <c r="P59" i="3" s="1"/>
  <c r="F168" i="3"/>
  <c r="Q59" i="3" s="1"/>
  <c r="F167" i="3"/>
  <c r="R59" i="3" s="1"/>
  <c r="F166" i="3"/>
  <c r="S59" i="3" s="1"/>
  <c r="F165" i="3"/>
  <c r="T59" i="3" s="1"/>
  <c r="F164" i="3"/>
  <c r="U59" i="3" s="1"/>
  <c r="F163" i="3"/>
  <c r="J60" i="3" s="1"/>
  <c r="F162" i="3"/>
  <c r="K60" i="3" s="1"/>
  <c r="F161" i="3"/>
  <c r="L60" i="3" s="1"/>
  <c r="F160" i="3"/>
  <c r="M60" i="3" s="1"/>
  <c r="F159" i="3"/>
  <c r="N60" i="3" s="1"/>
  <c r="F158" i="3"/>
  <c r="O60" i="3" s="1"/>
  <c r="F157" i="3"/>
  <c r="P60" i="3" s="1"/>
  <c r="F156" i="3"/>
  <c r="Q60" i="3" s="1"/>
  <c r="F155" i="3"/>
  <c r="R60" i="3" s="1"/>
  <c r="F154" i="3"/>
  <c r="S60" i="3" s="1"/>
  <c r="F153" i="3"/>
  <c r="T60" i="3" s="1"/>
  <c r="F152" i="3"/>
  <c r="U60" i="3" s="1"/>
  <c r="F151" i="3"/>
  <c r="J61" i="3" s="1"/>
  <c r="F150" i="3"/>
  <c r="K61" i="3" s="1"/>
  <c r="F149" i="3"/>
  <c r="L61" i="3" s="1"/>
  <c r="F148" i="3"/>
  <c r="M61" i="3" s="1"/>
  <c r="F147" i="3"/>
  <c r="N61" i="3" s="1"/>
  <c r="F146" i="3"/>
  <c r="O61" i="3" s="1"/>
  <c r="F145" i="3"/>
  <c r="P61" i="3" s="1"/>
  <c r="F144" i="3"/>
  <c r="Q61" i="3" s="1"/>
  <c r="F143" i="3"/>
  <c r="R61" i="3" s="1"/>
  <c r="F142" i="3"/>
  <c r="S61" i="3" s="1"/>
  <c r="F141" i="3"/>
  <c r="T61" i="3" s="1"/>
  <c r="F140" i="3"/>
  <c r="U61" i="3" s="1"/>
  <c r="F139" i="3"/>
  <c r="J62" i="3" s="1"/>
  <c r="F138" i="3"/>
  <c r="K62" i="3" s="1"/>
  <c r="F137" i="3"/>
  <c r="L62" i="3" s="1"/>
  <c r="F136" i="3"/>
  <c r="M62" i="3" s="1"/>
  <c r="F135" i="3"/>
  <c r="N62" i="3" s="1"/>
  <c r="F134" i="3"/>
  <c r="O62" i="3" s="1"/>
  <c r="F133" i="3"/>
  <c r="P62" i="3" s="1"/>
  <c r="F132" i="3"/>
  <c r="Q62" i="3" s="1"/>
  <c r="F131" i="3"/>
  <c r="R62" i="3" s="1"/>
  <c r="F130" i="3"/>
  <c r="S62" i="3" s="1"/>
  <c r="F129" i="3"/>
  <c r="T62" i="3" s="1"/>
  <c r="F128" i="3"/>
  <c r="U62" i="3" s="1"/>
  <c r="F127" i="3"/>
  <c r="J63" i="3" s="1"/>
  <c r="F126" i="3"/>
  <c r="K63" i="3" s="1"/>
  <c r="F125" i="3"/>
  <c r="L63" i="3" s="1"/>
  <c r="F124" i="3"/>
  <c r="M63" i="3" s="1"/>
  <c r="F123" i="3"/>
  <c r="N63" i="3" s="1"/>
  <c r="F122" i="3"/>
  <c r="O63" i="3" s="1"/>
  <c r="F121" i="3"/>
  <c r="P63" i="3" s="1"/>
  <c r="F120" i="3"/>
  <c r="Q63" i="3" s="1"/>
  <c r="F119" i="3"/>
  <c r="R63" i="3" s="1"/>
  <c r="F118" i="3"/>
  <c r="S63" i="3" s="1"/>
  <c r="F117" i="3"/>
  <c r="T63" i="3" s="1"/>
  <c r="F116" i="3"/>
  <c r="U63" i="3" s="1"/>
  <c r="F115" i="3"/>
  <c r="J64" i="3" s="1"/>
  <c r="F114" i="3"/>
  <c r="K64" i="3" s="1"/>
  <c r="F113" i="3"/>
  <c r="L64" i="3" s="1"/>
  <c r="F112" i="3"/>
  <c r="M64" i="3" s="1"/>
  <c r="F111" i="3"/>
  <c r="N64" i="3" s="1"/>
  <c r="F110" i="3"/>
  <c r="O64" i="3" s="1"/>
  <c r="F109" i="3"/>
  <c r="P64" i="3" s="1"/>
  <c r="F108" i="3"/>
  <c r="Q64" i="3" s="1"/>
  <c r="F107" i="3"/>
  <c r="R64" i="3" s="1"/>
  <c r="F106" i="3"/>
  <c r="S64" i="3" s="1"/>
  <c r="F105" i="3"/>
  <c r="T64" i="3" s="1"/>
  <c r="F104" i="3"/>
  <c r="U64" i="3" s="1"/>
  <c r="F103" i="3"/>
  <c r="J65" i="3" s="1"/>
  <c r="F102" i="3"/>
  <c r="K65" i="3" s="1"/>
  <c r="F101" i="3"/>
  <c r="L65" i="3" s="1"/>
  <c r="F100" i="3"/>
  <c r="M65" i="3" s="1"/>
  <c r="F99" i="3"/>
  <c r="N65" i="3" s="1"/>
  <c r="F98" i="3"/>
  <c r="O65" i="3" s="1"/>
  <c r="F97" i="3"/>
  <c r="P65" i="3" s="1"/>
  <c r="F96" i="3"/>
  <c r="Q65" i="3" s="1"/>
  <c r="F95" i="3"/>
  <c r="R65" i="3" s="1"/>
  <c r="F94" i="3"/>
  <c r="S65" i="3" s="1"/>
  <c r="F93" i="3"/>
  <c r="T65" i="3" s="1"/>
  <c r="F92" i="3"/>
  <c r="U65" i="3" s="1"/>
  <c r="F91" i="3"/>
  <c r="J66" i="3" s="1"/>
  <c r="F90" i="3"/>
  <c r="K66" i="3" s="1"/>
  <c r="F89" i="3"/>
  <c r="L66" i="3" s="1"/>
  <c r="F88" i="3"/>
  <c r="M66" i="3" s="1"/>
  <c r="F87" i="3"/>
  <c r="N66" i="3" s="1"/>
  <c r="F86" i="3"/>
  <c r="O66" i="3" s="1"/>
  <c r="F85" i="3"/>
  <c r="P66" i="3" s="1"/>
  <c r="F84" i="3"/>
  <c r="Q66" i="3" s="1"/>
  <c r="F83" i="3"/>
  <c r="R66" i="3" s="1"/>
  <c r="F82" i="3"/>
  <c r="S66" i="3" s="1"/>
  <c r="F81" i="3"/>
  <c r="T66" i="3" s="1"/>
  <c r="F80" i="3"/>
  <c r="U66" i="3" s="1"/>
  <c r="F79" i="3"/>
  <c r="J67" i="3" s="1"/>
  <c r="F78" i="3"/>
  <c r="K67" i="3" s="1"/>
  <c r="F77" i="3"/>
  <c r="L67" i="3" s="1"/>
  <c r="F76" i="3"/>
  <c r="M67" i="3" s="1"/>
  <c r="F75" i="3"/>
  <c r="N67" i="3" s="1"/>
  <c r="F74" i="3"/>
  <c r="O67" i="3" s="1"/>
  <c r="F73" i="3"/>
  <c r="P67" i="3" s="1"/>
  <c r="F72" i="3"/>
  <c r="Q67" i="3" s="1"/>
  <c r="F71" i="3"/>
  <c r="R67" i="3" s="1"/>
  <c r="F70" i="3"/>
  <c r="S67" i="3" s="1"/>
  <c r="F69" i="3"/>
  <c r="T67" i="3" s="1"/>
  <c r="F68" i="3"/>
  <c r="U67" i="3" s="1"/>
  <c r="F67" i="3"/>
  <c r="J68" i="3" s="1"/>
  <c r="F66" i="3"/>
  <c r="K68" i="3" s="1"/>
  <c r="F65" i="3"/>
  <c r="L68" i="3" s="1"/>
  <c r="F64" i="3"/>
  <c r="M68" i="3" s="1"/>
  <c r="F63" i="3"/>
  <c r="N68" i="3" s="1"/>
  <c r="L1378" i="2"/>
  <c r="E1378" i="2"/>
  <c r="L1377" i="2"/>
  <c r="E1377" i="2"/>
  <c r="L1376" i="2"/>
  <c r="E1376" i="2"/>
  <c r="L1375" i="2"/>
  <c r="E1375" i="2"/>
  <c r="L1374" i="2"/>
  <c r="E1374" i="2"/>
  <c r="L1373" i="2"/>
  <c r="E1373" i="2"/>
  <c r="L1372" i="2"/>
  <c r="E1372" i="2"/>
  <c r="L1371" i="2"/>
  <c r="E1371" i="2"/>
  <c r="L1370" i="2"/>
  <c r="E1370" i="2"/>
  <c r="L1369" i="2"/>
  <c r="E1369" i="2"/>
  <c r="L1368" i="2"/>
  <c r="E1368" i="2"/>
  <c r="L1367" i="2"/>
  <c r="E1367" i="2"/>
  <c r="L1366" i="2"/>
  <c r="E1366" i="2"/>
  <c r="L1365" i="2"/>
  <c r="E1365" i="2"/>
  <c r="L1364" i="2"/>
  <c r="E1364" i="2"/>
  <c r="L1363" i="2"/>
  <c r="E1363" i="2"/>
  <c r="L1362" i="2"/>
  <c r="E1362" i="2"/>
  <c r="L1361" i="2"/>
  <c r="E1361" i="2"/>
  <c r="L1360" i="2"/>
  <c r="E1360" i="2"/>
  <c r="L1359" i="2"/>
  <c r="E1359" i="2"/>
  <c r="L1358" i="2"/>
  <c r="E1358" i="2"/>
  <c r="L1357" i="2"/>
  <c r="E1357" i="2"/>
  <c r="L1356" i="2"/>
  <c r="E1356" i="2"/>
  <c r="L1355" i="2"/>
  <c r="E1355" i="2"/>
  <c r="L1354" i="2"/>
  <c r="E1354" i="2"/>
  <c r="L1353" i="2"/>
  <c r="E1353" i="2"/>
  <c r="L1352" i="2"/>
  <c r="E1352" i="2"/>
  <c r="L1351" i="2"/>
  <c r="E1351" i="2"/>
  <c r="L1350" i="2"/>
  <c r="E1350" i="2"/>
  <c r="L1349" i="2"/>
  <c r="E1349" i="2"/>
  <c r="L1348" i="2"/>
  <c r="E1348" i="2"/>
  <c r="L1347" i="2"/>
  <c r="E1347" i="2"/>
  <c r="L1346" i="2"/>
  <c r="E1346" i="2"/>
  <c r="L1345" i="2"/>
  <c r="E1345" i="2"/>
  <c r="L1344" i="2"/>
  <c r="E1344" i="2"/>
  <c r="L1343" i="2"/>
  <c r="E1343" i="2"/>
  <c r="L1342" i="2"/>
  <c r="E1342" i="2"/>
  <c r="L1341" i="2"/>
  <c r="E1341" i="2"/>
  <c r="L1340" i="2"/>
  <c r="E1340" i="2"/>
  <c r="L1339" i="2"/>
  <c r="E1339" i="2"/>
  <c r="L1338" i="2"/>
  <c r="E1338" i="2"/>
  <c r="L1337" i="2"/>
  <c r="E1337" i="2"/>
  <c r="L1336" i="2"/>
  <c r="E1336" i="2"/>
  <c r="L1335" i="2"/>
  <c r="E1335" i="2"/>
  <c r="L1334" i="2"/>
  <c r="E1334" i="2"/>
  <c r="L1333" i="2"/>
  <c r="E1333" i="2"/>
  <c r="L1332" i="2"/>
  <c r="E1332" i="2"/>
  <c r="L1331" i="2"/>
  <c r="E1331" i="2"/>
  <c r="L1330" i="2"/>
  <c r="E1330" i="2"/>
  <c r="L1329" i="2"/>
  <c r="E1329" i="2"/>
  <c r="L1328" i="2"/>
  <c r="E1328" i="2"/>
  <c r="L1327" i="2"/>
  <c r="E1327" i="2"/>
  <c r="L1326" i="2"/>
  <c r="E1326" i="2"/>
  <c r="L1325" i="2"/>
  <c r="E1325" i="2"/>
  <c r="L1324" i="2"/>
  <c r="E1324" i="2"/>
  <c r="L1323" i="2"/>
  <c r="E1323" i="2"/>
  <c r="L1322" i="2"/>
  <c r="E1322" i="2"/>
  <c r="L1321" i="2"/>
  <c r="E1321" i="2"/>
  <c r="L1320" i="2"/>
  <c r="E1320" i="2"/>
  <c r="L1319" i="2"/>
  <c r="E1319" i="2"/>
  <c r="L1318" i="2"/>
  <c r="E1318" i="2"/>
  <c r="L1317" i="2"/>
  <c r="E1317" i="2"/>
  <c r="L1316" i="2"/>
  <c r="E1316" i="2"/>
  <c r="L1315" i="2"/>
  <c r="E1315" i="2"/>
  <c r="L1314" i="2"/>
  <c r="E1314" i="2"/>
  <c r="L1313" i="2"/>
  <c r="E1313" i="2"/>
  <c r="L1312" i="2"/>
  <c r="E1312" i="2"/>
  <c r="L1311" i="2"/>
  <c r="E1311" i="2"/>
  <c r="L1310" i="2"/>
  <c r="E1310" i="2"/>
  <c r="L1309" i="2"/>
  <c r="E1309" i="2"/>
  <c r="L1308" i="2"/>
  <c r="E1308" i="2"/>
  <c r="L1307" i="2"/>
  <c r="E1307" i="2"/>
  <c r="L1306" i="2"/>
  <c r="E1306" i="2"/>
  <c r="L1305" i="2"/>
  <c r="E1305" i="2"/>
  <c r="L1304" i="2"/>
  <c r="E1304" i="2"/>
  <c r="L1303" i="2"/>
  <c r="E1303" i="2"/>
  <c r="L1302" i="2"/>
  <c r="E1302" i="2"/>
  <c r="L1301" i="2"/>
  <c r="E1301" i="2"/>
  <c r="L1300" i="2"/>
  <c r="E1300" i="2"/>
  <c r="L1299" i="2"/>
  <c r="E1299" i="2"/>
  <c r="L1298" i="2"/>
  <c r="E1298" i="2"/>
  <c r="L1297" i="2"/>
  <c r="E1297" i="2"/>
  <c r="L1296" i="2"/>
  <c r="E1296" i="2"/>
  <c r="L1295" i="2"/>
  <c r="E1295" i="2"/>
  <c r="L1294" i="2"/>
  <c r="E1294" i="2"/>
  <c r="L1293" i="2"/>
  <c r="E1293" i="2"/>
  <c r="L1292" i="2"/>
  <c r="E1292" i="2"/>
  <c r="L1291" i="2"/>
  <c r="E1291" i="2"/>
  <c r="L1290" i="2"/>
  <c r="E1290" i="2"/>
  <c r="L1289" i="2"/>
  <c r="E1289" i="2"/>
  <c r="L1288" i="2"/>
  <c r="E1288" i="2"/>
  <c r="L1287" i="2"/>
  <c r="E1287" i="2"/>
  <c r="L1286" i="2"/>
  <c r="E1286" i="2"/>
  <c r="L1285" i="2"/>
  <c r="E1285" i="2"/>
  <c r="L1284" i="2"/>
  <c r="E1284" i="2"/>
  <c r="L1283" i="2"/>
  <c r="E1283" i="2"/>
  <c r="L1282" i="2"/>
  <c r="E1282" i="2"/>
  <c r="L1281" i="2"/>
  <c r="E1281" i="2"/>
  <c r="L1280" i="2"/>
  <c r="E1280" i="2"/>
  <c r="L1279" i="2"/>
  <c r="E1279" i="2"/>
  <c r="L1278" i="2"/>
  <c r="E1278" i="2"/>
  <c r="L1277" i="2"/>
  <c r="E1277" i="2"/>
  <c r="L1276" i="2"/>
  <c r="E1276" i="2"/>
  <c r="L1275" i="2"/>
  <c r="E1275" i="2"/>
  <c r="L1274" i="2"/>
  <c r="E1274" i="2"/>
  <c r="L1273" i="2"/>
  <c r="E1273" i="2"/>
  <c r="L1272" i="2"/>
  <c r="E1272" i="2"/>
  <c r="L1271" i="2"/>
  <c r="E1271" i="2"/>
  <c r="L1270" i="2"/>
  <c r="E1270" i="2"/>
  <c r="L1269" i="2"/>
  <c r="E1269" i="2"/>
  <c r="L1268" i="2"/>
  <c r="E1268" i="2"/>
  <c r="L1267" i="2"/>
  <c r="E1267" i="2"/>
  <c r="L1266" i="2"/>
  <c r="E1266" i="2"/>
  <c r="L1265" i="2"/>
  <c r="E1265" i="2"/>
  <c r="L1264" i="2"/>
  <c r="E1264" i="2"/>
  <c r="L1263" i="2"/>
  <c r="E1263" i="2"/>
  <c r="L1262" i="2"/>
  <c r="E1262" i="2"/>
  <c r="L1261" i="2"/>
  <c r="E1261" i="2"/>
  <c r="L1260" i="2"/>
  <c r="E1260" i="2"/>
  <c r="L1259" i="2"/>
  <c r="E1259" i="2"/>
  <c r="L1258" i="2"/>
  <c r="E1258" i="2"/>
  <c r="L1257" i="2"/>
  <c r="E1257" i="2"/>
  <c r="L1256" i="2"/>
  <c r="E1256" i="2"/>
  <c r="L1255" i="2"/>
  <c r="E1255" i="2"/>
  <c r="L1254" i="2"/>
  <c r="E1254" i="2"/>
  <c r="L1253" i="2"/>
  <c r="E1253" i="2"/>
  <c r="L1252" i="2"/>
  <c r="E1252" i="2"/>
  <c r="L1251" i="2"/>
  <c r="E1251" i="2"/>
  <c r="L1250" i="2"/>
  <c r="E1250" i="2"/>
  <c r="L1249" i="2"/>
  <c r="E1249" i="2"/>
  <c r="L1248" i="2"/>
  <c r="E1248" i="2"/>
  <c r="L1247" i="2"/>
  <c r="E1247" i="2"/>
  <c r="L1246" i="2"/>
  <c r="E1246" i="2"/>
  <c r="L1245" i="2"/>
  <c r="E1245" i="2"/>
  <c r="L1244" i="2"/>
  <c r="E1244" i="2"/>
  <c r="L1243" i="2"/>
  <c r="E1243" i="2"/>
  <c r="L1242" i="2"/>
  <c r="E1242" i="2"/>
  <c r="L1241" i="2"/>
  <c r="E1241" i="2"/>
  <c r="L1240" i="2"/>
  <c r="E1240" i="2"/>
  <c r="L1239" i="2"/>
  <c r="E1239" i="2"/>
  <c r="L1238" i="2"/>
  <c r="E1238" i="2"/>
  <c r="L1237" i="2"/>
  <c r="E1237" i="2"/>
  <c r="L1236" i="2"/>
  <c r="E1236" i="2"/>
  <c r="L1235" i="2"/>
  <c r="E1235" i="2"/>
  <c r="L1234" i="2"/>
  <c r="E1234" i="2"/>
  <c r="L1233" i="2"/>
  <c r="E1233" i="2"/>
  <c r="L1232" i="2"/>
  <c r="E1232" i="2"/>
  <c r="L1231" i="2"/>
  <c r="E1231" i="2"/>
  <c r="L1230" i="2"/>
  <c r="E1230" i="2"/>
  <c r="L1229" i="2"/>
  <c r="E1229" i="2"/>
  <c r="L1228" i="2"/>
  <c r="E1228" i="2"/>
  <c r="L1227" i="2"/>
  <c r="E1227" i="2"/>
  <c r="L1226" i="2"/>
  <c r="E1226" i="2"/>
  <c r="L1225" i="2"/>
  <c r="E1225" i="2"/>
  <c r="L1224" i="2"/>
  <c r="E1224" i="2"/>
  <c r="L1223" i="2"/>
  <c r="E1223" i="2"/>
  <c r="L1222" i="2"/>
  <c r="E1222" i="2"/>
  <c r="L1221" i="2"/>
  <c r="E1221" i="2"/>
  <c r="L1220" i="2"/>
  <c r="E1220" i="2"/>
  <c r="L1219" i="2"/>
  <c r="E1219" i="2"/>
  <c r="L1218" i="2"/>
  <c r="E1218" i="2"/>
  <c r="L1217" i="2"/>
  <c r="E1217" i="2"/>
  <c r="L1216" i="2"/>
  <c r="E1216" i="2"/>
  <c r="L1215" i="2"/>
  <c r="E1215" i="2"/>
  <c r="L1214" i="2"/>
  <c r="E1214" i="2"/>
  <c r="L1213" i="2"/>
  <c r="E1213" i="2"/>
  <c r="L1212" i="2"/>
  <c r="E1212" i="2"/>
  <c r="L1211" i="2"/>
  <c r="E1211" i="2"/>
  <c r="L1210" i="2"/>
  <c r="E1210" i="2"/>
  <c r="L1209" i="2"/>
  <c r="E1209" i="2"/>
  <c r="L1208" i="2"/>
  <c r="E1208" i="2"/>
  <c r="L1207" i="2"/>
  <c r="E1207" i="2"/>
  <c r="L1206" i="2"/>
  <c r="E1206" i="2"/>
  <c r="L1205" i="2"/>
  <c r="E1205" i="2"/>
  <c r="L1204" i="2"/>
  <c r="E1204" i="2"/>
  <c r="L1203" i="2"/>
  <c r="E1203" i="2"/>
  <c r="L1202" i="2"/>
  <c r="E1202" i="2"/>
  <c r="L1201" i="2"/>
  <c r="E1201" i="2"/>
  <c r="L1200" i="2"/>
  <c r="E1200" i="2"/>
  <c r="L1199" i="2"/>
  <c r="E1199" i="2"/>
  <c r="L1198" i="2"/>
  <c r="E1198" i="2"/>
  <c r="L1197" i="2"/>
  <c r="E1197" i="2"/>
  <c r="L1196" i="2"/>
  <c r="E1196" i="2"/>
  <c r="L1195" i="2"/>
  <c r="E1195" i="2"/>
  <c r="L1194" i="2"/>
  <c r="E1194" i="2"/>
  <c r="L1193" i="2"/>
  <c r="E1193" i="2"/>
  <c r="L1192" i="2"/>
  <c r="E1192" i="2"/>
  <c r="L1191" i="2"/>
  <c r="E1191" i="2"/>
  <c r="L1190" i="2"/>
  <c r="E1190" i="2"/>
  <c r="L1189" i="2"/>
  <c r="E1189" i="2"/>
  <c r="L1188" i="2"/>
  <c r="E1188" i="2"/>
  <c r="L1187" i="2"/>
  <c r="E1187" i="2"/>
  <c r="L1186" i="2"/>
  <c r="E1186" i="2"/>
  <c r="L1185" i="2"/>
  <c r="E1185" i="2"/>
  <c r="L1184" i="2"/>
  <c r="E1184" i="2"/>
  <c r="L1183" i="2"/>
  <c r="E1183" i="2"/>
  <c r="L1182" i="2"/>
  <c r="E1182" i="2"/>
  <c r="L1181" i="2"/>
  <c r="E1181" i="2"/>
  <c r="L1180" i="2"/>
  <c r="E1180" i="2"/>
  <c r="L1179" i="2"/>
  <c r="E1179" i="2"/>
  <c r="L1178" i="2"/>
  <c r="E1178" i="2"/>
  <c r="L1177" i="2"/>
  <c r="E1177" i="2"/>
  <c r="L1176" i="2"/>
  <c r="E1176" i="2"/>
  <c r="L1175" i="2"/>
  <c r="E1175" i="2"/>
  <c r="L1174" i="2"/>
  <c r="E1174" i="2"/>
  <c r="L1173" i="2"/>
  <c r="E1173" i="2"/>
  <c r="L1172" i="2"/>
  <c r="E1172" i="2"/>
  <c r="L1171" i="2"/>
  <c r="E1171" i="2"/>
  <c r="L1170" i="2"/>
  <c r="E1170" i="2"/>
  <c r="L1169" i="2"/>
  <c r="E1169" i="2"/>
  <c r="L1168" i="2"/>
  <c r="E1168" i="2"/>
  <c r="L1167" i="2"/>
  <c r="E1167" i="2"/>
  <c r="L1166" i="2"/>
  <c r="E1166" i="2"/>
  <c r="L1165" i="2"/>
  <c r="E1165" i="2"/>
  <c r="L1164" i="2"/>
  <c r="E1164" i="2"/>
  <c r="L1163" i="2"/>
  <c r="E1163" i="2"/>
  <c r="L1162" i="2"/>
  <c r="E1162" i="2"/>
  <c r="L1161" i="2"/>
  <c r="E1161" i="2"/>
  <c r="L1160" i="2"/>
  <c r="E1160" i="2"/>
  <c r="L1159" i="2"/>
  <c r="E1159" i="2"/>
  <c r="L1158" i="2"/>
  <c r="E1158" i="2"/>
  <c r="L1157" i="2"/>
  <c r="E1157" i="2"/>
  <c r="L1156" i="2"/>
  <c r="E1156" i="2"/>
  <c r="L1155" i="2"/>
  <c r="E1155" i="2"/>
  <c r="L1154" i="2"/>
  <c r="E1154" i="2"/>
  <c r="L1153" i="2"/>
  <c r="E1153" i="2"/>
  <c r="L1152" i="2"/>
  <c r="E1152" i="2"/>
  <c r="L1151" i="2"/>
  <c r="E1151" i="2"/>
  <c r="L1150" i="2"/>
  <c r="E1150" i="2"/>
  <c r="L1149" i="2"/>
  <c r="E1149" i="2"/>
  <c r="L1148" i="2"/>
  <c r="E1148" i="2"/>
  <c r="L1147" i="2"/>
  <c r="E1147" i="2"/>
  <c r="L1146" i="2"/>
  <c r="E1146" i="2"/>
  <c r="L1145" i="2"/>
  <c r="E1145" i="2"/>
  <c r="L1144" i="2"/>
  <c r="E1144" i="2"/>
  <c r="L1143" i="2"/>
  <c r="E1143" i="2"/>
  <c r="L1142" i="2"/>
  <c r="E1142" i="2"/>
  <c r="L1141" i="2"/>
  <c r="E1141" i="2"/>
  <c r="L1140" i="2"/>
  <c r="E1140" i="2"/>
  <c r="L1139" i="2"/>
  <c r="E1139" i="2"/>
  <c r="L1138" i="2"/>
  <c r="E1138" i="2"/>
  <c r="L1137" i="2"/>
  <c r="E1137" i="2"/>
  <c r="C1137" i="2"/>
  <c r="L1136" i="2"/>
  <c r="E1136" i="2"/>
  <c r="L1135" i="2"/>
  <c r="E1135" i="2"/>
  <c r="L1134" i="2"/>
  <c r="E1134" i="2"/>
  <c r="L1133" i="2"/>
  <c r="E1133" i="2"/>
  <c r="L1132" i="2"/>
  <c r="E1132" i="2"/>
  <c r="L1131" i="2"/>
  <c r="E1131" i="2"/>
  <c r="L1130" i="2"/>
  <c r="E1130" i="2"/>
  <c r="L1129" i="2"/>
  <c r="E1129" i="2"/>
  <c r="L1128" i="2"/>
  <c r="E1128" i="2"/>
  <c r="L1127" i="2"/>
  <c r="E1127" i="2"/>
  <c r="L1126" i="2"/>
  <c r="E1126" i="2"/>
  <c r="L1125" i="2"/>
  <c r="E1125" i="2"/>
  <c r="L1124" i="2"/>
  <c r="E1124" i="2"/>
  <c r="L1123" i="2"/>
  <c r="E1123" i="2"/>
  <c r="L1122" i="2"/>
  <c r="E1122" i="2"/>
  <c r="L1121" i="2"/>
  <c r="E1121" i="2"/>
  <c r="L1120" i="2"/>
  <c r="E1120" i="2"/>
  <c r="L1119" i="2"/>
  <c r="E1119" i="2"/>
  <c r="L1118" i="2"/>
  <c r="E1118" i="2"/>
  <c r="L1117" i="2"/>
  <c r="E1117" i="2"/>
  <c r="L1116" i="2"/>
  <c r="E1116" i="2"/>
  <c r="L1115" i="2"/>
  <c r="E1115" i="2"/>
  <c r="L1114" i="2"/>
  <c r="E1114" i="2"/>
  <c r="L1113" i="2"/>
  <c r="E1113" i="2"/>
  <c r="L1112" i="2"/>
  <c r="E1112" i="2"/>
  <c r="L1111" i="2"/>
  <c r="E1111" i="2"/>
  <c r="L1110" i="2"/>
  <c r="E1110" i="2"/>
  <c r="L1109" i="2"/>
  <c r="E1109" i="2"/>
  <c r="L1108" i="2"/>
  <c r="E1108" i="2"/>
  <c r="L1107" i="2"/>
  <c r="E1107" i="2"/>
  <c r="L1106" i="2"/>
  <c r="E1106" i="2"/>
  <c r="L1105" i="2"/>
  <c r="E1105" i="2"/>
  <c r="L1104" i="2"/>
  <c r="E1104" i="2"/>
  <c r="L1103" i="2"/>
  <c r="E1103" i="2"/>
  <c r="L1102" i="2"/>
  <c r="E1102" i="2"/>
  <c r="L1101" i="2"/>
  <c r="E1101" i="2"/>
  <c r="L1100" i="2"/>
  <c r="E1100" i="2"/>
  <c r="L1099" i="2"/>
  <c r="E1099" i="2"/>
  <c r="L1098" i="2"/>
  <c r="E1098" i="2"/>
  <c r="L1097" i="2"/>
  <c r="E1097" i="2"/>
  <c r="L1096" i="2"/>
  <c r="E1096" i="2"/>
  <c r="L1095" i="2"/>
  <c r="E1095" i="2"/>
  <c r="L1094" i="2"/>
  <c r="E1094" i="2"/>
  <c r="L1093" i="2"/>
  <c r="E1093" i="2"/>
  <c r="L1092" i="2"/>
  <c r="E1092" i="2"/>
  <c r="L1091" i="2"/>
  <c r="E1091" i="2"/>
  <c r="L1090" i="2"/>
  <c r="E1090" i="2"/>
  <c r="L1089" i="2"/>
  <c r="E1089" i="2"/>
  <c r="L1088" i="2"/>
  <c r="E1088" i="2"/>
  <c r="L1087" i="2"/>
  <c r="E1087" i="2"/>
  <c r="L1086" i="2"/>
  <c r="E1086" i="2"/>
  <c r="L1085" i="2"/>
  <c r="E1085" i="2"/>
  <c r="L1084" i="2"/>
  <c r="E1084" i="2"/>
  <c r="L1083" i="2"/>
  <c r="E1083" i="2"/>
  <c r="L1082" i="2"/>
  <c r="E1082" i="2"/>
  <c r="L1081" i="2"/>
  <c r="E1081" i="2"/>
  <c r="L1080" i="2"/>
  <c r="E1080" i="2"/>
  <c r="L1079" i="2"/>
  <c r="E1079" i="2"/>
  <c r="L1078" i="2"/>
  <c r="E1078" i="2"/>
  <c r="L1077" i="2"/>
  <c r="E1077" i="2"/>
  <c r="L1076" i="2"/>
  <c r="E1076" i="2"/>
  <c r="L1075" i="2"/>
  <c r="E1075" i="2"/>
  <c r="L1074" i="2"/>
  <c r="E1074" i="2"/>
  <c r="L1073" i="2"/>
  <c r="E1073" i="2"/>
  <c r="L1072" i="2"/>
  <c r="E1072" i="2"/>
  <c r="L1071" i="2"/>
  <c r="E1071" i="2"/>
  <c r="L1070" i="2"/>
  <c r="E1070" i="2"/>
  <c r="L1069" i="2"/>
  <c r="E1069" i="2"/>
  <c r="L1068" i="2"/>
  <c r="E1068" i="2"/>
  <c r="L1067" i="2"/>
  <c r="E1067" i="2"/>
  <c r="L1066" i="2"/>
  <c r="E1066" i="2"/>
  <c r="D1066" i="2"/>
  <c r="C1066" i="2"/>
  <c r="L1065" i="2"/>
  <c r="E1065" i="2"/>
  <c r="D1065" i="2"/>
  <c r="C1065" i="2"/>
  <c r="L1064" i="2"/>
  <c r="E1064" i="2"/>
  <c r="D1064" i="2"/>
  <c r="C1064" i="2"/>
  <c r="L1063" i="2"/>
  <c r="E1063" i="2"/>
  <c r="D1063" i="2"/>
  <c r="C1063" i="2"/>
  <c r="L1062" i="2"/>
  <c r="E1062" i="2"/>
  <c r="D1062" i="2"/>
  <c r="C1062" i="2"/>
  <c r="E1061" i="2"/>
  <c r="D1061" i="2"/>
  <c r="C1061" i="2"/>
  <c r="L1060" i="2"/>
  <c r="E1060" i="2"/>
  <c r="D1060" i="2"/>
  <c r="C1060" i="2"/>
  <c r="K1059" i="2"/>
  <c r="E1059" i="2"/>
  <c r="D1059" i="2"/>
  <c r="C1059" i="2"/>
  <c r="L1058" i="2"/>
  <c r="K1058" i="2"/>
  <c r="E1058" i="2"/>
  <c r="D1058" i="2"/>
  <c r="C1058" i="2"/>
  <c r="K1057" i="2"/>
  <c r="E1057" i="2"/>
  <c r="D1057" i="2"/>
  <c r="C1057" i="2"/>
  <c r="K1056" i="2"/>
  <c r="L1056" i="2" s="1"/>
  <c r="E1056" i="2"/>
  <c r="D1056" i="2"/>
  <c r="C1056" i="2"/>
  <c r="E1055" i="2"/>
  <c r="D1055" i="2"/>
  <c r="C1055" i="2"/>
  <c r="L1054" i="2"/>
  <c r="E1054" i="2"/>
  <c r="D1054" i="2"/>
  <c r="C1054" i="2"/>
  <c r="L1053" i="2"/>
  <c r="E1053" i="2"/>
  <c r="D1053" i="2"/>
  <c r="C1053" i="2"/>
  <c r="E1052" i="2"/>
  <c r="D1052" i="2"/>
  <c r="C1052" i="2"/>
  <c r="E1051" i="2"/>
  <c r="D1051" i="2"/>
  <c r="C1051" i="2"/>
  <c r="E1050" i="2"/>
  <c r="D1050" i="2"/>
  <c r="C1050" i="2"/>
  <c r="L1049" i="2"/>
  <c r="E1049" i="2"/>
  <c r="D1049" i="2"/>
  <c r="C1049" i="2"/>
  <c r="K1048" i="2"/>
  <c r="E1048" i="2"/>
  <c r="D1048" i="2"/>
  <c r="C1048" i="2"/>
  <c r="E1047" i="2"/>
  <c r="D1047" i="2"/>
  <c r="C1047" i="2"/>
  <c r="K1046" i="2"/>
  <c r="L1046" i="2" s="1"/>
  <c r="E1046" i="2"/>
  <c r="D1046" i="2"/>
  <c r="C1046" i="2"/>
  <c r="L1045" i="2"/>
  <c r="E1045" i="2"/>
  <c r="D1045" i="2"/>
  <c r="C1045" i="2"/>
  <c r="E1044" i="2"/>
  <c r="D1044" i="2"/>
  <c r="C1044" i="2"/>
  <c r="L1043" i="2"/>
  <c r="E1043" i="2"/>
  <c r="D1043" i="2"/>
  <c r="C1043" i="2"/>
  <c r="L1042" i="2"/>
  <c r="E1042" i="2"/>
  <c r="D1042" i="2"/>
  <c r="C1042" i="2"/>
  <c r="L1041" i="2"/>
  <c r="E1041" i="2"/>
  <c r="D1041" i="2"/>
  <c r="C1041" i="2"/>
  <c r="L1040" i="2"/>
  <c r="E1040" i="2"/>
  <c r="D1040" i="2"/>
  <c r="C1040" i="2"/>
  <c r="L1039" i="2"/>
  <c r="E1039" i="2"/>
  <c r="D1039" i="2"/>
  <c r="C1039" i="2"/>
  <c r="K1038" i="2"/>
  <c r="L1038" i="2" s="1"/>
  <c r="E1038" i="2"/>
  <c r="D1038" i="2"/>
  <c r="C1038" i="2"/>
  <c r="L1037" i="2"/>
  <c r="E1037" i="2"/>
  <c r="D1037" i="2"/>
  <c r="C1037" i="2"/>
  <c r="L1036" i="2"/>
  <c r="E1036" i="2"/>
  <c r="D1036" i="2"/>
  <c r="C1036" i="2"/>
  <c r="L1035" i="2"/>
  <c r="E1035" i="2"/>
  <c r="D1035" i="2"/>
  <c r="C1035" i="2"/>
  <c r="L1034" i="2"/>
  <c r="E1034" i="2"/>
  <c r="D1034" i="2"/>
  <c r="C1034" i="2"/>
  <c r="L1033" i="2"/>
  <c r="E1033" i="2"/>
  <c r="D1033" i="2"/>
  <c r="C1033" i="2"/>
  <c r="L1032" i="2"/>
  <c r="E1032" i="2"/>
  <c r="D1032" i="2"/>
  <c r="C1032" i="2"/>
  <c r="L1031" i="2"/>
  <c r="E1031" i="2"/>
  <c r="D1031" i="2"/>
  <c r="C1031" i="2"/>
  <c r="L1030" i="2"/>
  <c r="E1030" i="2"/>
  <c r="D1030" i="2"/>
  <c r="C1030" i="2"/>
  <c r="L1029" i="2"/>
  <c r="E1029" i="2"/>
  <c r="D1029" i="2"/>
  <c r="C1029" i="2"/>
  <c r="L1028" i="2"/>
  <c r="E1028" i="2"/>
  <c r="D1028" i="2"/>
  <c r="C1028" i="2"/>
  <c r="L1027" i="2"/>
  <c r="E1027" i="2"/>
  <c r="D1027" i="2"/>
  <c r="C1027" i="2"/>
  <c r="L1026" i="2"/>
  <c r="E1026" i="2"/>
  <c r="D1026" i="2"/>
  <c r="C1026" i="2"/>
  <c r="L1025" i="2"/>
  <c r="E1025" i="2"/>
  <c r="D1025" i="2"/>
  <c r="C1025" i="2"/>
  <c r="L1024" i="2"/>
  <c r="E1024" i="2"/>
  <c r="D1024" i="2"/>
  <c r="C1024" i="2"/>
  <c r="L1023" i="2"/>
  <c r="E1023" i="2"/>
  <c r="D1023" i="2"/>
  <c r="C1023" i="2"/>
  <c r="L1022" i="2"/>
  <c r="E1022" i="2"/>
  <c r="D1022" i="2"/>
  <c r="C1022" i="2"/>
  <c r="L1021" i="2"/>
  <c r="E1021" i="2"/>
  <c r="D1021" i="2"/>
  <c r="C1021" i="2"/>
  <c r="L1020" i="2"/>
  <c r="E1020" i="2"/>
  <c r="D1020" i="2"/>
  <c r="C1020" i="2"/>
  <c r="L1019" i="2"/>
  <c r="E1019" i="2"/>
  <c r="D1019" i="2"/>
  <c r="C1019" i="2"/>
  <c r="L1018" i="2"/>
  <c r="E1018" i="2"/>
  <c r="D1018" i="2"/>
  <c r="C1018" i="2"/>
  <c r="L1017" i="2"/>
  <c r="E1017" i="2"/>
  <c r="D1017" i="2"/>
  <c r="C1017" i="2"/>
  <c r="L1016" i="2"/>
  <c r="E1016" i="2"/>
  <c r="D1016" i="2"/>
  <c r="C1016" i="2"/>
  <c r="L1015" i="2"/>
  <c r="E1015" i="2"/>
  <c r="D1015" i="2"/>
  <c r="C1015" i="2"/>
  <c r="L1014" i="2"/>
  <c r="E1014" i="2"/>
  <c r="D1014" i="2"/>
  <c r="C1014" i="2"/>
  <c r="L1013" i="2"/>
  <c r="E1013" i="2"/>
  <c r="D1013" i="2"/>
  <c r="C1013" i="2"/>
  <c r="L1012" i="2"/>
  <c r="E1012" i="2"/>
  <c r="D1012" i="2"/>
  <c r="C1012" i="2"/>
  <c r="L1011" i="2"/>
  <c r="E1011" i="2"/>
  <c r="D1011" i="2"/>
  <c r="C1011" i="2"/>
  <c r="L1010" i="2"/>
  <c r="E1010" i="2"/>
  <c r="D1010" i="2"/>
  <c r="C1010" i="2"/>
  <c r="L1009" i="2"/>
  <c r="E1009" i="2"/>
  <c r="L1008" i="2"/>
  <c r="E1008" i="2"/>
  <c r="L1007" i="2"/>
  <c r="E1007" i="2"/>
  <c r="L1006" i="2"/>
  <c r="E1006" i="2"/>
  <c r="L1005" i="2"/>
  <c r="E1005" i="2"/>
  <c r="L1004" i="2"/>
  <c r="E1004" i="2"/>
  <c r="L1003" i="2"/>
  <c r="E1003" i="2"/>
  <c r="L1002" i="2"/>
  <c r="E1002" i="2"/>
  <c r="L1001" i="2"/>
  <c r="E1001" i="2"/>
  <c r="L1000" i="2"/>
  <c r="E1000" i="2"/>
  <c r="L999" i="2"/>
  <c r="E999" i="2"/>
  <c r="L998" i="2"/>
  <c r="E998" i="2"/>
  <c r="L997" i="2"/>
  <c r="E997" i="2"/>
  <c r="L996" i="2"/>
  <c r="E996" i="2"/>
  <c r="L995" i="2"/>
  <c r="E995" i="2"/>
  <c r="L994" i="2"/>
  <c r="E994" i="2"/>
  <c r="L993" i="2"/>
  <c r="E993" i="2"/>
  <c r="L992" i="2"/>
  <c r="E992" i="2"/>
  <c r="L991" i="2"/>
  <c r="E991" i="2"/>
  <c r="L990" i="2"/>
  <c r="E990" i="2"/>
  <c r="L989" i="2"/>
  <c r="E989" i="2"/>
  <c r="L988" i="2"/>
  <c r="E988" i="2"/>
  <c r="L987" i="2"/>
  <c r="E987" i="2"/>
  <c r="L986" i="2"/>
  <c r="E986" i="2"/>
  <c r="L985" i="2"/>
  <c r="E985" i="2"/>
  <c r="L984" i="2"/>
  <c r="E984" i="2"/>
  <c r="L983" i="2"/>
  <c r="E983" i="2"/>
  <c r="L982" i="2"/>
  <c r="E982" i="2"/>
  <c r="L981" i="2"/>
  <c r="E981" i="2"/>
  <c r="L980" i="2"/>
  <c r="E980" i="2"/>
  <c r="L979" i="2"/>
  <c r="E979" i="2"/>
  <c r="L978" i="2"/>
  <c r="E978" i="2"/>
  <c r="L977" i="2"/>
  <c r="E977" i="2"/>
  <c r="D977" i="2"/>
  <c r="C977" i="2"/>
  <c r="L976" i="2"/>
  <c r="E976" i="2"/>
  <c r="D976" i="2"/>
  <c r="C976" i="2"/>
  <c r="L975" i="2"/>
  <c r="E975" i="2"/>
  <c r="D975" i="2"/>
  <c r="C975" i="2"/>
  <c r="L974" i="2"/>
  <c r="E974" i="2"/>
  <c r="D974" i="2"/>
  <c r="C974" i="2"/>
  <c r="L973" i="2"/>
  <c r="E973" i="2"/>
  <c r="D973" i="2"/>
  <c r="C973" i="2"/>
  <c r="L972" i="2"/>
  <c r="E972" i="2"/>
  <c r="D972" i="2"/>
  <c r="C972" i="2"/>
  <c r="L971" i="2"/>
  <c r="E971" i="2"/>
  <c r="D971" i="2"/>
  <c r="C971" i="2"/>
  <c r="L970" i="2"/>
  <c r="E970" i="2"/>
  <c r="D970" i="2"/>
  <c r="C970" i="2"/>
  <c r="L969" i="2"/>
  <c r="E969" i="2"/>
  <c r="D969" i="2"/>
  <c r="C969" i="2"/>
  <c r="L968" i="2"/>
  <c r="E968" i="2"/>
  <c r="D968" i="2"/>
  <c r="C968" i="2"/>
  <c r="L967" i="2"/>
  <c r="E967" i="2"/>
  <c r="D967" i="2"/>
  <c r="C967" i="2"/>
  <c r="L966" i="2"/>
  <c r="E966" i="2"/>
  <c r="D966" i="2"/>
  <c r="C966" i="2"/>
  <c r="L965" i="2"/>
  <c r="E965" i="2"/>
  <c r="D965" i="2"/>
  <c r="C965" i="2"/>
  <c r="L964" i="2"/>
  <c r="E964" i="2"/>
  <c r="D964" i="2"/>
  <c r="C964" i="2"/>
  <c r="L963" i="2"/>
  <c r="E963" i="2"/>
  <c r="D963" i="2"/>
  <c r="C963" i="2"/>
  <c r="L962" i="2"/>
  <c r="E962" i="2"/>
  <c r="D962" i="2"/>
  <c r="C962" i="2"/>
  <c r="L961" i="2"/>
  <c r="E961" i="2"/>
  <c r="D961" i="2"/>
  <c r="C961" i="2"/>
  <c r="L960" i="2"/>
  <c r="E960" i="2"/>
  <c r="D960" i="2"/>
  <c r="C960" i="2"/>
  <c r="L959" i="2"/>
  <c r="E959" i="2"/>
  <c r="D959" i="2"/>
  <c r="C959" i="2"/>
  <c r="L958" i="2"/>
  <c r="E958" i="2"/>
  <c r="D958" i="2"/>
  <c r="C958" i="2"/>
  <c r="L957" i="2"/>
  <c r="E957" i="2"/>
  <c r="D957" i="2"/>
  <c r="C957" i="2"/>
  <c r="L956" i="2"/>
  <c r="E956" i="2"/>
  <c r="L955" i="2"/>
  <c r="E955" i="2"/>
  <c r="D955" i="2"/>
  <c r="C955" i="2"/>
  <c r="L954" i="2"/>
  <c r="E954" i="2"/>
  <c r="D954" i="2"/>
  <c r="C954" i="2"/>
  <c r="L953" i="2"/>
  <c r="E953" i="2"/>
  <c r="D953" i="2"/>
  <c r="C953" i="2"/>
  <c r="L952" i="2"/>
  <c r="E952" i="2"/>
  <c r="D952" i="2"/>
  <c r="C952" i="2"/>
  <c r="L951" i="2"/>
  <c r="E951" i="2"/>
  <c r="D951" i="2"/>
  <c r="C951" i="2"/>
  <c r="L950" i="2"/>
  <c r="E950" i="2"/>
  <c r="D950" i="2"/>
  <c r="C950" i="2"/>
  <c r="L949" i="2"/>
  <c r="E949" i="2"/>
  <c r="D949" i="2"/>
  <c r="C949" i="2"/>
  <c r="L948" i="2"/>
  <c r="E948" i="2"/>
  <c r="D948" i="2"/>
  <c r="C948" i="2"/>
  <c r="L947" i="2"/>
  <c r="E947" i="2"/>
  <c r="D947" i="2"/>
  <c r="C947" i="2"/>
  <c r="L946" i="2"/>
  <c r="E946" i="2"/>
  <c r="D946" i="2"/>
  <c r="C946" i="2"/>
  <c r="L945" i="2"/>
  <c r="E945" i="2"/>
  <c r="D945" i="2"/>
  <c r="C945" i="2"/>
  <c r="L944" i="2"/>
  <c r="E944" i="2"/>
  <c r="D944" i="2"/>
  <c r="C944" i="2"/>
  <c r="L943" i="2"/>
  <c r="E943" i="2"/>
  <c r="D943" i="2"/>
  <c r="C943" i="2"/>
  <c r="L942" i="2"/>
  <c r="E942" i="2"/>
  <c r="D942" i="2"/>
  <c r="C942" i="2"/>
  <c r="L941" i="2"/>
  <c r="E941" i="2"/>
  <c r="D941" i="2"/>
  <c r="C941" i="2"/>
  <c r="L940" i="2"/>
  <c r="E940" i="2"/>
  <c r="D940" i="2"/>
  <c r="C940" i="2"/>
  <c r="L939" i="2"/>
  <c r="E939" i="2"/>
  <c r="D939" i="2"/>
  <c r="C939" i="2"/>
  <c r="L938" i="2"/>
  <c r="E938" i="2"/>
  <c r="D938" i="2"/>
  <c r="C938" i="2"/>
  <c r="L937" i="2"/>
  <c r="E937" i="2"/>
  <c r="D937" i="2"/>
  <c r="C937" i="2"/>
  <c r="L936" i="2"/>
  <c r="E936" i="2"/>
  <c r="D936" i="2"/>
  <c r="C936" i="2"/>
  <c r="L935" i="2"/>
  <c r="E935" i="2"/>
  <c r="D935" i="2"/>
  <c r="C935" i="2"/>
  <c r="L934" i="2"/>
  <c r="E934" i="2"/>
  <c r="D934" i="2"/>
  <c r="C934" i="2"/>
  <c r="L933" i="2"/>
  <c r="E933" i="2"/>
  <c r="D933" i="2"/>
  <c r="C933" i="2"/>
  <c r="L932" i="2"/>
  <c r="E932" i="2"/>
  <c r="D932" i="2"/>
  <c r="C932" i="2"/>
  <c r="L931" i="2"/>
  <c r="E931" i="2"/>
  <c r="D931" i="2"/>
  <c r="C931" i="2"/>
  <c r="L930" i="2"/>
  <c r="E930" i="2"/>
  <c r="D930" i="2"/>
  <c r="C930" i="2"/>
  <c r="L929" i="2"/>
  <c r="E929" i="2"/>
  <c r="D929" i="2"/>
  <c r="C929" i="2"/>
  <c r="L928" i="2"/>
  <c r="E928" i="2"/>
  <c r="D928" i="2"/>
  <c r="C928" i="2"/>
  <c r="L927" i="2"/>
  <c r="E927" i="2"/>
  <c r="D927" i="2"/>
  <c r="C927" i="2"/>
  <c r="L926" i="2"/>
  <c r="E926" i="2"/>
  <c r="D926" i="2"/>
  <c r="C926" i="2"/>
  <c r="L925" i="2"/>
  <c r="E925" i="2"/>
  <c r="D925" i="2"/>
  <c r="C925" i="2"/>
  <c r="L924" i="2"/>
  <c r="E924" i="2"/>
  <c r="D924" i="2"/>
  <c r="C924" i="2"/>
  <c r="L923" i="2"/>
  <c r="E923" i="2"/>
  <c r="D923" i="2"/>
  <c r="C923" i="2"/>
  <c r="L922" i="2"/>
  <c r="E922" i="2"/>
  <c r="D922" i="2"/>
  <c r="C922" i="2"/>
  <c r="L921" i="2"/>
  <c r="E921" i="2"/>
  <c r="D921" i="2"/>
  <c r="C921" i="2"/>
  <c r="L920" i="2"/>
  <c r="E920" i="2"/>
  <c r="D920" i="2"/>
  <c r="C920" i="2"/>
  <c r="L919" i="2"/>
  <c r="E919" i="2"/>
  <c r="D919" i="2"/>
  <c r="C919" i="2"/>
  <c r="L918" i="2"/>
  <c r="E918" i="2"/>
  <c r="D918" i="2"/>
  <c r="C918" i="2"/>
  <c r="L917" i="2"/>
  <c r="E917" i="2"/>
  <c r="D917" i="2"/>
  <c r="C917" i="2"/>
  <c r="L916" i="2"/>
  <c r="E916" i="2"/>
  <c r="D916" i="2"/>
  <c r="C916" i="2"/>
  <c r="L915" i="2"/>
  <c r="E915" i="2"/>
  <c r="D915" i="2"/>
  <c r="C915" i="2"/>
  <c r="L914" i="2"/>
  <c r="E914" i="2"/>
  <c r="D914" i="2"/>
  <c r="C914" i="2"/>
  <c r="L913" i="2"/>
  <c r="E913" i="2"/>
  <c r="D913" i="2"/>
  <c r="C913" i="2"/>
  <c r="L912" i="2"/>
  <c r="E912" i="2"/>
  <c r="D912" i="2"/>
  <c r="C912" i="2"/>
  <c r="L911" i="2"/>
  <c r="E911" i="2"/>
  <c r="D911" i="2"/>
  <c r="C911" i="2"/>
  <c r="L910" i="2"/>
  <c r="E910" i="2"/>
  <c r="D910" i="2"/>
  <c r="C910" i="2"/>
  <c r="L909" i="2"/>
  <c r="E909" i="2"/>
  <c r="D909" i="2"/>
  <c r="C909" i="2"/>
  <c r="L908" i="2"/>
  <c r="E908" i="2"/>
  <c r="D908" i="2"/>
  <c r="C908" i="2"/>
  <c r="L907" i="2"/>
  <c r="E907" i="2"/>
  <c r="D907" i="2"/>
  <c r="C907" i="2"/>
  <c r="L906" i="2"/>
  <c r="E906" i="2"/>
  <c r="D906" i="2"/>
  <c r="C906" i="2"/>
  <c r="L905" i="2"/>
  <c r="E905" i="2"/>
  <c r="D905" i="2"/>
  <c r="C905" i="2"/>
  <c r="L904" i="2"/>
  <c r="E904" i="2"/>
  <c r="D904" i="2"/>
  <c r="C904" i="2"/>
  <c r="L903" i="2"/>
  <c r="E903" i="2"/>
  <c r="D903" i="2"/>
  <c r="C903" i="2"/>
  <c r="L902" i="2"/>
  <c r="E902" i="2"/>
  <c r="D902" i="2"/>
  <c r="C902" i="2"/>
  <c r="L901" i="2"/>
  <c r="E901" i="2"/>
  <c r="D901" i="2"/>
  <c r="C901" i="2"/>
  <c r="L900" i="2"/>
  <c r="E900" i="2"/>
  <c r="L899" i="2"/>
  <c r="E899" i="2"/>
  <c r="D899" i="2"/>
  <c r="C899" i="2"/>
  <c r="L898" i="2"/>
  <c r="E898" i="2"/>
  <c r="D898" i="2"/>
  <c r="C898" i="2"/>
  <c r="L897" i="2"/>
  <c r="E897" i="2"/>
  <c r="D897" i="2"/>
  <c r="C897" i="2"/>
  <c r="L896" i="2"/>
  <c r="E896" i="2"/>
  <c r="D896" i="2"/>
  <c r="C896" i="2"/>
  <c r="L895" i="2"/>
  <c r="E895" i="2"/>
  <c r="D895" i="2"/>
  <c r="C895" i="2"/>
  <c r="L894" i="2"/>
  <c r="E894" i="2"/>
  <c r="D894" i="2"/>
  <c r="C894" i="2"/>
  <c r="L893" i="2"/>
  <c r="E893" i="2"/>
  <c r="D893" i="2"/>
  <c r="C893" i="2"/>
  <c r="L892" i="2"/>
  <c r="E892" i="2"/>
  <c r="D892" i="2"/>
  <c r="C892" i="2"/>
  <c r="L891" i="2"/>
  <c r="E891" i="2"/>
  <c r="D891" i="2"/>
  <c r="C891" i="2"/>
  <c r="L890" i="2"/>
  <c r="E890" i="2"/>
  <c r="D890" i="2"/>
  <c r="C890" i="2"/>
  <c r="L889" i="2"/>
  <c r="E889" i="2"/>
  <c r="D889" i="2"/>
  <c r="C889" i="2"/>
  <c r="L888" i="2"/>
  <c r="E888" i="2"/>
  <c r="D888" i="2"/>
  <c r="C888" i="2"/>
  <c r="L887" i="2"/>
  <c r="E887" i="2"/>
  <c r="D887" i="2"/>
  <c r="C887" i="2"/>
  <c r="L886" i="2"/>
  <c r="E886" i="2"/>
  <c r="D886" i="2"/>
  <c r="C886" i="2"/>
  <c r="L885" i="2"/>
  <c r="E885" i="2"/>
  <c r="D885" i="2"/>
  <c r="C885" i="2"/>
  <c r="L884" i="2"/>
  <c r="E884" i="2"/>
  <c r="D884" i="2"/>
  <c r="C884" i="2"/>
  <c r="L883" i="2"/>
  <c r="E883" i="2"/>
  <c r="D883" i="2"/>
  <c r="C883" i="2"/>
  <c r="L882" i="2"/>
  <c r="E882" i="2"/>
  <c r="D882" i="2"/>
  <c r="C882" i="2"/>
  <c r="L881" i="2"/>
  <c r="E881" i="2"/>
  <c r="D881" i="2"/>
  <c r="C881" i="2"/>
  <c r="L880" i="2"/>
  <c r="E880" i="2"/>
  <c r="D880" i="2"/>
  <c r="C880" i="2"/>
  <c r="L879" i="2"/>
  <c r="E879" i="2"/>
  <c r="D879" i="2"/>
  <c r="C879" i="2"/>
  <c r="L878" i="2"/>
  <c r="E878" i="2"/>
  <c r="D878" i="2"/>
  <c r="C878" i="2"/>
  <c r="L877" i="2"/>
  <c r="E877" i="2"/>
  <c r="D877" i="2"/>
  <c r="C877" i="2"/>
  <c r="L876" i="2"/>
  <c r="E876" i="2"/>
  <c r="D876" i="2"/>
  <c r="C876" i="2"/>
  <c r="L875" i="2"/>
  <c r="E875" i="2"/>
  <c r="D875" i="2"/>
  <c r="C875" i="2"/>
  <c r="L874" i="2"/>
  <c r="E874" i="2"/>
  <c r="D874" i="2"/>
  <c r="C874" i="2"/>
  <c r="L873" i="2"/>
  <c r="E873" i="2"/>
  <c r="D873" i="2"/>
  <c r="C873" i="2"/>
  <c r="L872" i="2"/>
  <c r="E872" i="2"/>
  <c r="D872" i="2"/>
  <c r="C872" i="2"/>
  <c r="L871" i="2"/>
  <c r="E871" i="2"/>
  <c r="D871" i="2"/>
  <c r="C871" i="2"/>
  <c r="L870" i="2"/>
  <c r="E870" i="2"/>
  <c r="D870" i="2"/>
  <c r="C870" i="2"/>
  <c r="L869" i="2"/>
  <c r="E869" i="2"/>
  <c r="D869" i="2"/>
  <c r="C869" i="2"/>
  <c r="L868" i="2"/>
  <c r="E868" i="2"/>
  <c r="D868" i="2"/>
  <c r="C868" i="2"/>
  <c r="L867" i="2"/>
  <c r="E867" i="2"/>
  <c r="D867" i="2"/>
  <c r="C867" i="2"/>
  <c r="L866" i="2"/>
  <c r="E866" i="2"/>
  <c r="D866" i="2"/>
  <c r="C866" i="2"/>
  <c r="L865" i="2"/>
  <c r="E865" i="2"/>
  <c r="D865" i="2"/>
  <c r="C865" i="2"/>
  <c r="L864" i="2"/>
  <c r="E864" i="2"/>
  <c r="D864" i="2"/>
  <c r="C864" i="2"/>
  <c r="L863" i="2"/>
  <c r="E863" i="2"/>
  <c r="D863" i="2"/>
  <c r="C863" i="2"/>
  <c r="L862" i="2"/>
  <c r="E862" i="2"/>
  <c r="D862" i="2"/>
  <c r="C862" i="2"/>
  <c r="L861" i="2"/>
  <c r="E861" i="2"/>
  <c r="D861" i="2"/>
  <c r="C861" i="2"/>
  <c r="L860" i="2"/>
  <c r="E860" i="2"/>
  <c r="D860" i="2"/>
  <c r="C860" i="2"/>
  <c r="L859" i="2"/>
  <c r="E859" i="2"/>
  <c r="D859" i="2"/>
  <c r="C859" i="2"/>
  <c r="L858" i="2"/>
  <c r="E858" i="2"/>
  <c r="D858" i="2"/>
  <c r="C858" i="2"/>
  <c r="L857" i="2"/>
  <c r="E857" i="2"/>
  <c r="D857" i="2"/>
  <c r="C857" i="2"/>
  <c r="L856" i="2"/>
  <c r="E856" i="2"/>
  <c r="D856" i="2"/>
  <c r="C856" i="2"/>
  <c r="L855" i="2"/>
  <c r="E855" i="2"/>
  <c r="D855" i="2"/>
  <c r="C855" i="2"/>
  <c r="L854" i="2"/>
  <c r="E854" i="2"/>
  <c r="D854" i="2"/>
  <c r="C854" i="2"/>
  <c r="L853" i="2"/>
  <c r="E853" i="2"/>
  <c r="D853" i="2"/>
  <c r="C853" i="2"/>
  <c r="L852" i="2"/>
  <c r="E852" i="2"/>
  <c r="D852" i="2"/>
  <c r="C852" i="2"/>
  <c r="L851" i="2"/>
  <c r="E851" i="2"/>
  <c r="D851" i="2"/>
  <c r="C851" i="2"/>
  <c r="L850" i="2"/>
  <c r="E850" i="2"/>
  <c r="D850" i="2"/>
  <c r="C850" i="2"/>
  <c r="L849" i="2"/>
  <c r="E849" i="2"/>
  <c r="D849" i="2"/>
  <c r="C849" i="2"/>
  <c r="L848" i="2"/>
  <c r="E848" i="2"/>
  <c r="D848" i="2"/>
  <c r="C848" i="2"/>
  <c r="L847" i="2"/>
  <c r="E847" i="2"/>
  <c r="D847" i="2"/>
  <c r="C847" i="2"/>
  <c r="L846" i="2"/>
  <c r="E846" i="2"/>
  <c r="D846" i="2"/>
  <c r="C846" i="2"/>
  <c r="L845" i="2"/>
  <c r="E845" i="2"/>
  <c r="D845" i="2"/>
  <c r="C845" i="2"/>
  <c r="L844" i="2"/>
  <c r="E844" i="2"/>
  <c r="D844" i="2"/>
  <c r="C844" i="2"/>
  <c r="L843" i="2"/>
  <c r="E843" i="2"/>
  <c r="D843" i="2"/>
  <c r="C843" i="2"/>
  <c r="L842" i="2"/>
  <c r="E842" i="2"/>
  <c r="D842" i="2"/>
  <c r="C842" i="2"/>
  <c r="L841" i="2"/>
  <c r="E841" i="2"/>
  <c r="D841" i="2"/>
  <c r="C841" i="2"/>
  <c r="L840" i="2"/>
  <c r="E840" i="2"/>
  <c r="D840" i="2"/>
  <c r="C840" i="2"/>
  <c r="L839" i="2"/>
  <c r="E839" i="2"/>
  <c r="D839" i="2"/>
  <c r="C839" i="2"/>
  <c r="L838" i="2"/>
  <c r="E838" i="2"/>
  <c r="D838" i="2"/>
  <c r="C838" i="2"/>
  <c r="L837" i="2"/>
  <c r="E837" i="2"/>
  <c r="D837" i="2"/>
  <c r="C837" i="2"/>
  <c r="L836" i="2"/>
  <c r="E836" i="2"/>
  <c r="D836" i="2"/>
  <c r="C836" i="2"/>
  <c r="L835" i="2"/>
  <c r="E835" i="2"/>
  <c r="D835" i="2"/>
  <c r="C835" i="2"/>
  <c r="L834" i="2"/>
  <c r="E834" i="2"/>
  <c r="D834" i="2"/>
  <c r="C834" i="2"/>
  <c r="L833" i="2"/>
  <c r="E833" i="2"/>
  <c r="D833" i="2"/>
  <c r="C833" i="2"/>
  <c r="L832" i="2"/>
  <c r="E832" i="2"/>
  <c r="D832" i="2"/>
  <c r="C832" i="2"/>
  <c r="L831" i="2"/>
  <c r="E831" i="2"/>
  <c r="D831" i="2"/>
  <c r="C831" i="2"/>
  <c r="L830" i="2"/>
  <c r="E830" i="2"/>
  <c r="D830" i="2"/>
  <c r="C830" i="2"/>
  <c r="L829" i="2"/>
  <c r="E829" i="2"/>
  <c r="D829" i="2"/>
  <c r="C829" i="2"/>
  <c r="L828" i="2"/>
  <c r="E828" i="2"/>
  <c r="D828" i="2"/>
  <c r="C828" i="2"/>
  <c r="L827" i="2"/>
  <c r="E827" i="2"/>
  <c r="D827" i="2"/>
  <c r="C827" i="2"/>
  <c r="L826" i="2"/>
  <c r="E826" i="2"/>
  <c r="D826" i="2"/>
  <c r="C826" i="2"/>
  <c r="L825" i="2"/>
  <c r="E825" i="2"/>
  <c r="D825" i="2"/>
  <c r="C825" i="2"/>
  <c r="L824" i="2"/>
  <c r="E824" i="2"/>
  <c r="D824" i="2"/>
  <c r="C824" i="2"/>
  <c r="L823" i="2"/>
  <c r="E823" i="2"/>
  <c r="D823" i="2"/>
  <c r="C823" i="2"/>
  <c r="L822" i="2"/>
  <c r="E822" i="2"/>
  <c r="D822" i="2"/>
  <c r="C822" i="2"/>
  <c r="L821" i="2"/>
  <c r="E821" i="2"/>
  <c r="D821" i="2"/>
  <c r="C821" i="2"/>
  <c r="L820" i="2"/>
  <c r="E820" i="2"/>
  <c r="D820" i="2"/>
  <c r="C820" i="2"/>
  <c r="L819" i="2"/>
  <c r="E819" i="2"/>
  <c r="D819" i="2"/>
  <c r="C819" i="2"/>
  <c r="L818" i="2"/>
  <c r="E818" i="2"/>
  <c r="D818" i="2"/>
  <c r="C818" i="2"/>
  <c r="L817" i="2"/>
  <c r="E817" i="2"/>
  <c r="D817" i="2"/>
  <c r="C817" i="2"/>
  <c r="L816" i="2"/>
  <c r="E816" i="2"/>
  <c r="D816" i="2"/>
  <c r="C816" i="2"/>
  <c r="L815" i="2"/>
  <c r="E815" i="2"/>
  <c r="D815" i="2"/>
  <c r="C815" i="2"/>
  <c r="L814" i="2"/>
  <c r="E814" i="2"/>
  <c r="D814" i="2"/>
  <c r="C814" i="2"/>
  <c r="L813" i="2"/>
  <c r="E813" i="2"/>
  <c r="D813" i="2"/>
  <c r="C813" i="2"/>
  <c r="L812" i="2"/>
  <c r="E812" i="2"/>
  <c r="D812" i="2"/>
  <c r="C812" i="2"/>
  <c r="L811" i="2"/>
  <c r="E811" i="2"/>
  <c r="D811" i="2"/>
  <c r="C811" i="2"/>
  <c r="L810" i="2"/>
  <c r="E810" i="2"/>
  <c r="D810" i="2"/>
  <c r="C810" i="2"/>
  <c r="L809" i="2"/>
  <c r="E809" i="2"/>
  <c r="D809" i="2"/>
  <c r="C809" i="2"/>
  <c r="L808" i="2"/>
  <c r="E808" i="2"/>
  <c r="D808" i="2"/>
  <c r="C808" i="2"/>
  <c r="L807" i="2"/>
  <c r="E807" i="2"/>
  <c r="D807" i="2"/>
  <c r="C807" i="2"/>
  <c r="L806" i="2"/>
  <c r="E806" i="2"/>
  <c r="D806" i="2"/>
  <c r="C806" i="2"/>
  <c r="L805" i="2"/>
  <c r="E805" i="2"/>
  <c r="D805" i="2"/>
  <c r="C805" i="2"/>
  <c r="L804" i="2"/>
  <c r="E804" i="2"/>
  <c r="D804" i="2"/>
  <c r="C804" i="2"/>
  <c r="L803" i="2"/>
  <c r="E803" i="2"/>
  <c r="D803" i="2"/>
  <c r="C803" i="2"/>
  <c r="L802" i="2"/>
  <c r="E802" i="2"/>
  <c r="D802" i="2"/>
  <c r="C802" i="2"/>
  <c r="L801" i="2"/>
  <c r="E801" i="2"/>
  <c r="D801" i="2"/>
  <c r="C801" i="2"/>
  <c r="L800" i="2"/>
  <c r="E800" i="2"/>
  <c r="D800" i="2"/>
  <c r="C800" i="2"/>
  <c r="L799" i="2"/>
  <c r="E799" i="2"/>
  <c r="D799" i="2"/>
  <c r="C799" i="2"/>
  <c r="L798" i="2"/>
  <c r="E798" i="2"/>
  <c r="D798" i="2"/>
  <c r="C798" i="2"/>
  <c r="L797" i="2"/>
  <c r="E797" i="2"/>
  <c r="D797" i="2"/>
  <c r="C797" i="2"/>
  <c r="L796" i="2"/>
  <c r="E796" i="2"/>
  <c r="D796" i="2"/>
  <c r="C796" i="2"/>
  <c r="L795" i="2"/>
  <c r="E795" i="2"/>
  <c r="D795" i="2"/>
  <c r="C795" i="2"/>
  <c r="L794" i="2"/>
  <c r="E794" i="2"/>
  <c r="D794" i="2"/>
  <c r="C794" i="2"/>
  <c r="L793" i="2"/>
  <c r="E793" i="2"/>
  <c r="D793" i="2"/>
  <c r="C793" i="2"/>
  <c r="L792" i="2"/>
  <c r="E792" i="2"/>
  <c r="D792" i="2"/>
  <c r="C792" i="2"/>
  <c r="L791" i="2"/>
  <c r="E791" i="2"/>
  <c r="D791" i="2"/>
  <c r="C791" i="2"/>
  <c r="L790" i="2"/>
  <c r="E790" i="2"/>
  <c r="D790" i="2"/>
  <c r="C790" i="2"/>
  <c r="L789" i="2"/>
  <c r="E789" i="2"/>
  <c r="D789" i="2"/>
  <c r="C789" i="2"/>
  <c r="L788" i="2"/>
  <c r="E788" i="2"/>
  <c r="D788" i="2"/>
  <c r="C788" i="2"/>
  <c r="L787" i="2"/>
  <c r="E787" i="2"/>
  <c r="D787" i="2"/>
  <c r="C787" i="2"/>
  <c r="L786" i="2"/>
  <c r="E786" i="2"/>
  <c r="D786" i="2"/>
  <c r="C786" i="2"/>
  <c r="L785" i="2"/>
  <c r="E785" i="2"/>
  <c r="D785" i="2"/>
  <c r="C785" i="2"/>
  <c r="L784" i="2"/>
  <c r="E784" i="2"/>
  <c r="D784" i="2"/>
  <c r="C784" i="2"/>
  <c r="L783" i="2"/>
  <c r="E783" i="2"/>
  <c r="D783" i="2"/>
  <c r="C783" i="2"/>
  <c r="L782" i="2"/>
  <c r="E782" i="2"/>
  <c r="D782" i="2"/>
  <c r="C782" i="2"/>
  <c r="L781" i="2"/>
  <c r="E781" i="2"/>
  <c r="D781" i="2"/>
  <c r="C781" i="2"/>
  <c r="L780" i="2"/>
  <c r="E780" i="2"/>
  <c r="D780" i="2"/>
  <c r="C780" i="2"/>
  <c r="L779" i="2"/>
  <c r="E779" i="2"/>
  <c r="D779" i="2"/>
  <c r="C779" i="2"/>
  <c r="L778" i="2"/>
  <c r="E778" i="2"/>
  <c r="D778" i="2"/>
  <c r="C778" i="2"/>
  <c r="L777" i="2"/>
  <c r="E777" i="2"/>
  <c r="D777" i="2"/>
  <c r="C777" i="2"/>
  <c r="L776" i="2"/>
  <c r="E776" i="2"/>
  <c r="D776" i="2"/>
  <c r="C776" i="2"/>
  <c r="L775" i="2"/>
  <c r="E775" i="2"/>
  <c r="D775" i="2"/>
  <c r="C775" i="2"/>
  <c r="L774" i="2"/>
  <c r="E774" i="2"/>
  <c r="D774" i="2"/>
  <c r="C774" i="2"/>
  <c r="L773" i="2"/>
  <c r="E773" i="2"/>
  <c r="D773" i="2"/>
  <c r="C773" i="2"/>
  <c r="L772" i="2"/>
  <c r="E772" i="2"/>
  <c r="D772" i="2"/>
  <c r="C772" i="2"/>
  <c r="L771" i="2"/>
  <c r="E771" i="2"/>
  <c r="D771" i="2"/>
  <c r="C771" i="2"/>
  <c r="L770" i="2"/>
  <c r="E770" i="2"/>
  <c r="D770" i="2"/>
  <c r="C770" i="2"/>
  <c r="L769" i="2"/>
  <c r="E769" i="2"/>
  <c r="D769" i="2"/>
  <c r="C769" i="2"/>
  <c r="L768" i="2"/>
  <c r="E768" i="2"/>
  <c r="D768" i="2"/>
  <c r="C768" i="2"/>
  <c r="L767" i="2"/>
  <c r="E767" i="2"/>
  <c r="D767" i="2"/>
  <c r="C767" i="2"/>
  <c r="L766" i="2"/>
  <c r="E766" i="2"/>
  <c r="D766" i="2"/>
  <c r="C766" i="2"/>
  <c r="L765" i="2"/>
  <c r="E765" i="2"/>
  <c r="D765" i="2"/>
  <c r="C765" i="2"/>
  <c r="L764" i="2"/>
  <c r="E764" i="2"/>
  <c r="D764" i="2"/>
  <c r="C764" i="2"/>
  <c r="L763" i="2"/>
  <c r="E763" i="2"/>
  <c r="D763" i="2"/>
  <c r="C763" i="2"/>
  <c r="L762" i="2"/>
  <c r="E762" i="2"/>
  <c r="D762" i="2"/>
  <c r="C762" i="2"/>
  <c r="L761" i="2"/>
  <c r="E761" i="2"/>
  <c r="D761" i="2"/>
  <c r="C761" i="2"/>
  <c r="L760" i="2"/>
  <c r="E760" i="2"/>
  <c r="D760" i="2"/>
  <c r="C760" i="2"/>
  <c r="L759" i="2"/>
  <c r="E759" i="2"/>
  <c r="D759" i="2"/>
  <c r="C759" i="2"/>
  <c r="L758" i="2"/>
  <c r="E758" i="2"/>
  <c r="D758" i="2"/>
  <c r="C758" i="2"/>
  <c r="L757" i="2"/>
  <c r="E757" i="2"/>
  <c r="D757" i="2"/>
  <c r="C757" i="2"/>
  <c r="L756" i="2"/>
  <c r="E756" i="2"/>
  <c r="D756" i="2"/>
  <c r="C756" i="2"/>
  <c r="L755" i="2"/>
  <c r="E755" i="2"/>
  <c r="D755" i="2"/>
  <c r="C755" i="2"/>
  <c r="L754" i="2"/>
  <c r="E754" i="2"/>
  <c r="D754" i="2"/>
  <c r="C754" i="2"/>
  <c r="L753" i="2"/>
  <c r="E753" i="2"/>
  <c r="D753" i="2"/>
  <c r="C753" i="2"/>
  <c r="L752" i="2"/>
  <c r="E752" i="2"/>
  <c r="D752" i="2"/>
  <c r="C752" i="2"/>
  <c r="L751" i="2"/>
  <c r="E751" i="2"/>
  <c r="D751" i="2"/>
  <c r="C751" i="2"/>
  <c r="L750" i="2"/>
  <c r="E750" i="2"/>
  <c r="D750" i="2"/>
  <c r="C750" i="2"/>
  <c r="L749" i="2"/>
  <c r="E749" i="2"/>
  <c r="D749" i="2"/>
  <c r="C749" i="2"/>
  <c r="L748" i="2"/>
  <c r="E748" i="2"/>
  <c r="D748" i="2"/>
  <c r="C748" i="2"/>
  <c r="L747" i="2"/>
  <c r="E747" i="2"/>
  <c r="D747" i="2"/>
  <c r="C747" i="2"/>
  <c r="L746" i="2"/>
  <c r="E746" i="2"/>
  <c r="D746" i="2"/>
  <c r="C746" i="2"/>
  <c r="L745" i="2"/>
  <c r="E745" i="2"/>
  <c r="D745" i="2"/>
  <c r="C745" i="2"/>
  <c r="L744" i="2"/>
  <c r="E744" i="2"/>
  <c r="D744" i="2"/>
  <c r="C744" i="2"/>
  <c r="L743" i="2"/>
  <c r="E743" i="2"/>
  <c r="D743" i="2"/>
  <c r="C743" i="2"/>
  <c r="L742" i="2"/>
  <c r="E742" i="2"/>
  <c r="D742" i="2"/>
  <c r="C742" i="2"/>
  <c r="L741" i="2"/>
  <c r="E741" i="2"/>
  <c r="D741" i="2"/>
  <c r="C741" i="2"/>
  <c r="L740" i="2"/>
  <c r="E740" i="2"/>
  <c r="D740" i="2"/>
  <c r="C740" i="2"/>
  <c r="L739" i="2"/>
  <c r="E739" i="2"/>
  <c r="D739" i="2"/>
  <c r="C739" i="2"/>
  <c r="L738" i="2"/>
  <c r="E738" i="2"/>
  <c r="L737" i="2"/>
  <c r="E737" i="2"/>
  <c r="D737" i="2"/>
  <c r="C737" i="2"/>
  <c r="L736" i="2"/>
  <c r="E736" i="2"/>
  <c r="D736" i="2"/>
  <c r="C736" i="2"/>
  <c r="L735" i="2"/>
  <c r="E735" i="2"/>
  <c r="D735" i="2"/>
  <c r="C735" i="2"/>
  <c r="L734" i="2"/>
  <c r="E734" i="2"/>
  <c r="D734" i="2"/>
  <c r="C734" i="2"/>
  <c r="L733" i="2"/>
  <c r="E733" i="2"/>
  <c r="D733" i="2"/>
  <c r="C733" i="2"/>
  <c r="L732" i="2"/>
  <c r="E732" i="2"/>
  <c r="D732" i="2"/>
  <c r="C732" i="2"/>
  <c r="L731" i="2"/>
  <c r="E731" i="2"/>
  <c r="D731" i="2"/>
  <c r="C731" i="2"/>
  <c r="L730" i="2"/>
  <c r="E730" i="2"/>
  <c r="D730" i="2"/>
  <c r="C730" i="2"/>
  <c r="L729" i="2"/>
  <c r="E729" i="2"/>
  <c r="D729" i="2"/>
  <c r="C729" i="2"/>
  <c r="L728" i="2"/>
  <c r="E728" i="2"/>
  <c r="D728" i="2"/>
  <c r="C728" i="2"/>
  <c r="L727" i="2"/>
  <c r="E727" i="2"/>
  <c r="D727" i="2"/>
  <c r="C727" i="2"/>
  <c r="L726" i="2"/>
  <c r="E726" i="2"/>
  <c r="D726" i="2"/>
  <c r="C726" i="2"/>
  <c r="L725" i="2"/>
  <c r="E725" i="2"/>
  <c r="D725" i="2"/>
  <c r="C725" i="2"/>
  <c r="L724" i="2"/>
  <c r="E724" i="2"/>
  <c r="D724" i="2"/>
  <c r="C724" i="2"/>
  <c r="L723" i="2"/>
  <c r="E723" i="2"/>
  <c r="D723" i="2"/>
  <c r="C723" i="2"/>
  <c r="L722" i="2"/>
  <c r="E722" i="2"/>
  <c r="D722" i="2"/>
  <c r="C722" i="2"/>
  <c r="L721" i="2"/>
  <c r="E721" i="2"/>
  <c r="D721" i="2"/>
  <c r="C721" i="2"/>
  <c r="L720" i="2"/>
  <c r="E720" i="2"/>
  <c r="D720" i="2"/>
  <c r="C720" i="2"/>
  <c r="L719" i="2"/>
  <c r="E719" i="2"/>
  <c r="D719" i="2"/>
  <c r="C719" i="2"/>
  <c r="L718" i="2"/>
  <c r="E718" i="2"/>
  <c r="D718" i="2"/>
  <c r="C718" i="2"/>
  <c r="L717" i="2"/>
  <c r="E717" i="2"/>
  <c r="D717" i="2"/>
  <c r="C717" i="2"/>
  <c r="L716" i="2"/>
  <c r="E716" i="2"/>
  <c r="D716" i="2"/>
  <c r="C716" i="2"/>
  <c r="L715" i="2"/>
  <c r="E715" i="2"/>
  <c r="D715" i="2"/>
  <c r="C715" i="2"/>
  <c r="L714" i="2"/>
  <c r="E714" i="2"/>
  <c r="D714" i="2"/>
  <c r="C714" i="2"/>
  <c r="L713" i="2"/>
  <c r="E713" i="2"/>
  <c r="D713" i="2"/>
  <c r="C713" i="2"/>
  <c r="L712" i="2"/>
  <c r="E712" i="2"/>
  <c r="D712" i="2"/>
  <c r="C712" i="2"/>
  <c r="L711" i="2"/>
  <c r="E711" i="2"/>
  <c r="D711" i="2"/>
  <c r="C711" i="2"/>
  <c r="L710" i="2"/>
  <c r="E710" i="2"/>
  <c r="D710" i="2"/>
  <c r="C710" i="2"/>
  <c r="L709" i="2"/>
  <c r="E709" i="2"/>
  <c r="D709" i="2"/>
  <c r="C709" i="2"/>
  <c r="L708" i="2"/>
  <c r="E708" i="2"/>
  <c r="D708" i="2"/>
  <c r="C708" i="2"/>
  <c r="L707" i="2"/>
  <c r="E707" i="2"/>
  <c r="D707" i="2"/>
  <c r="C707" i="2"/>
  <c r="L706" i="2"/>
  <c r="E706" i="2"/>
  <c r="D706" i="2"/>
  <c r="C706" i="2"/>
  <c r="L705" i="2"/>
  <c r="E705" i="2"/>
  <c r="D705" i="2"/>
  <c r="C705" i="2"/>
  <c r="L704" i="2"/>
  <c r="E704" i="2"/>
  <c r="D704" i="2"/>
  <c r="C704" i="2"/>
  <c r="L703" i="2"/>
  <c r="E703" i="2"/>
  <c r="D703" i="2"/>
  <c r="C703" i="2"/>
  <c r="L702" i="2"/>
  <c r="E702" i="2"/>
  <c r="D702" i="2"/>
  <c r="C702" i="2"/>
  <c r="L701" i="2"/>
  <c r="E701" i="2"/>
  <c r="D701" i="2"/>
  <c r="C701" i="2"/>
  <c r="L700" i="2"/>
  <c r="E700" i="2"/>
  <c r="D700" i="2"/>
  <c r="C700" i="2"/>
  <c r="L699" i="2"/>
  <c r="E699" i="2"/>
  <c r="D699" i="2"/>
  <c r="C699" i="2"/>
  <c r="L698" i="2"/>
  <c r="E698" i="2"/>
  <c r="D698" i="2"/>
  <c r="C698" i="2"/>
  <c r="L697" i="2"/>
  <c r="E697" i="2"/>
  <c r="D697" i="2"/>
  <c r="C697" i="2"/>
  <c r="L696" i="2"/>
  <c r="E696" i="2"/>
  <c r="D696" i="2"/>
  <c r="C696" i="2"/>
  <c r="L695" i="2"/>
  <c r="E695" i="2"/>
  <c r="D695" i="2"/>
  <c r="C695" i="2"/>
  <c r="L694" i="2"/>
  <c r="E694" i="2"/>
  <c r="D694" i="2"/>
  <c r="C694" i="2"/>
  <c r="L693" i="2"/>
  <c r="E693" i="2"/>
  <c r="D693" i="2"/>
  <c r="C693" i="2"/>
  <c r="L692" i="2"/>
  <c r="E692" i="2"/>
  <c r="D692" i="2"/>
  <c r="C692" i="2"/>
  <c r="L691" i="2"/>
  <c r="E691" i="2"/>
  <c r="D691" i="2"/>
  <c r="C691" i="2"/>
  <c r="L690" i="2"/>
  <c r="E690" i="2"/>
  <c r="D690" i="2"/>
  <c r="C690" i="2"/>
  <c r="L689" i="2"/>
  <c r="E689" i="2"/>
  <c r="D689" i="2"/>
  <c r="C689" i="2"/>
  <c r="L688" i="2"/>
  <c r="E688" i="2"/>
  <c r="D688" i="2"/>
  <c r="C688" i="2"/>
  <c r="L687" i="2"/>
  <c r="E687" i="2"/>
  <c r="D687" i="2"/>
  <c r="C687" i="2"/>
  <c r="L686" i="2"/>
  <c r="E686" i="2"/>
  <c r="D686" i="2"/>
  <c r="C686" i="2"/>
  <c r="L685" i="2"/>
  <c r="E685" i="2"/>
  <c r="D685" i="2"/>
  <c r="C685" i="2"/>
  <c r="L684" i="2"/>
  <c r="E684" i="2"/>
  <c r="D684" i="2"/>
  <c r="C684" i="2"/>
  <c r="L683" i="2"/>
  <c r="E683" i="2"/>
  <c r="D683" i="2"/>
  <c r="C683" i="2"/>
  <c r="L682" i="2"/>
  <c r="E682" i="2"/>
  <c r="D682" i="2"/>
  <c r="C682" i="2"/>
  <c r="L681" i="2"/>
  <c r="E681" i="2"/>
  <c r="D681" i="2"/>
  <c r="C681" i="2"/>
  <c r="L680" i="2"/>
  <c r="E680" i="2"/>
  <c r="D680" i="2"/>
  <c r="C680" i="2"/>
  <c r="L679" i="2"/>
  <c r="E679" i="2"/>
  <c r="D679" i="2"/>
  <c r="C679" i="2"/>
  <c r="L678" i="2"/>
  <c r="E678" i="2"/>
  <c r="D678" i="2"/>
  <c r="C678" i="2"/>
  <c r="L677" i="2"/>
  <c r="E677" i="2"/>
  <c r="D677" i="2"/>
  <c r="C677" i="2"/>
  <c r="L676" i="2"/>
  <c r="E676" i="2"/>
  <c r="D676" i="2"/>
  <c r="C676" i="2"/>
  <c r="L675" i="2"/>
  <c r="E675" i="2"/>
  <c r="D675" i="2"/>
  <c r="C675" i="2"/>
  <c r="L674" i="2"/>
  <c r="E674" i="2"/>
  <c r="D674" i="2"/>
  <c r="C674" i="2"/>
  <c r="L673" i="2"/>
  <c r="E673" i="2"/>
  <c r="D673" i="2"/>
  <c r="C673" i="2"/>
  <c r="L672" i="2"/>
  <c r="E672" i="2"/>
  <c r="D672" i="2"/>
  <c r="C672" i="2"/>
  <c r="L671" i="2"/>
  <c r="E671" i="2"/>
  <c r="D671" i="2"/>
  <c r="C671" i="2"/>
  <c r="L670" i="2"/>
  <c r="E670" i="2"/>
  <c r="D670" i="2"/>
  <c r="C670" i="2"/>
  <c r="L669" i="2"/>
  <c r="E669" i="2"/>
  <c r="D669" i="2"/>
  <c r="C669" i="2"/>
  <c r="L668" i="2"/>
  <c r="E668" i="2"/>
  <c r="D668" i="2"/>
  <c r="C668" i="2"/>
  <c r="L667" i="2"/>
  <c r="E667" i="2"/>
  <c r="D667" i="2"/>
  <c r="C667" i="2"/>
  <c r="L666" i="2"/>
  <c r="E666" i="2"/>
  <c r="D666" i="2"/>
  <c r="C666" i="2"/>
  <c r="L665" i="2"/>
  <c r="E665" i="2"/>
  <c r="D665" i="2"/>
  <c r="C665" i="2"/>
  <c r="L664" i="2"/>
  <c r="E664" i="2"/>
  <c r="D664" i="2"/>
  <c r="C664" i="2"/>
  <c r="L663" i="2"/>
  <c r="E663" i="2"/>
  <c r="D663" i="2"/>
  <c r="C663" i="2"/>
  <c r="L662" i="2"/>
  <c r="E662" i="2"/>
  <c r="D662" i="2"/>
  <c r="C662" i="2"/>
  <c r="L661" i="2"/>
  <c r="E661" i="2"/>
  <c r="D661" i="2"/>
  <c r="C661" i="2"/>
  <c r="L660" i="2"/>
  <c r="E660" i="2"/>
  <c r="D660" i="2"/>
  <c r="C660" i="2"/>
  <c r="L659" i="2"/>
  <c r="E659" i="2"/>
  <c r="D659" i="2"/>
  <c r="C659" i="2"/>
  <c r="L658" i="2"/>
  <c r="E658" i="2"/>
  <c r="D658" i="2"/>
  <c r="C658" i="2"/>
  <c r="L657" i="2"/>
  <c r="E657" i="2"/>
  <c r="D657" i="2"/>
  <c r="C657" i="2"/>
  <c r="L656" i="2"/>
  <c r="E656" i="2"/>
  <c r="D656" i="2"/>
  <c r="C656" i="2"/>
  <c r="L655" i="2"/>
  <c r="E655" i="2"/>
  <c r="D655" i="2"/>
  <c r="C655" i="2"/>
  <c r="L654" i="2"/>
  <c r="E654" i="2"/>
  <c r="D654" i="2"/>
  <c r="C654" i="2"/>
  <c r="L653" i="2"/>
  <c r="E653" i="2"/>
  <c r="D653" i="2"/>
  <c r="C653" i="2"/>
  <c r="L652" i="2"/>
  <c r="E652" i="2"/>
  <c r="D652" i="2"/>
  <c r="C652" i="2"/>
  <c r="L651" i="2"/>
  <c r="E651" i="2"/>
  <c r="D651" i="2"/>
  <c r="C651" i="2"/>
  <c r="L650" i="2"/>
  <c r="E650" i="2"/>
  <c r="D650" i="2"/>
  <c r="C650" i="2"/>
  <c r="L649" i="2"/>
  <c r="E649" i="2"/>
  <c r="D649" i="2"/>
  <c r="C649" i="2"/>
  <c r="L648" i="2"/>
  <c r="E648" i="2"/>
  <c r="D648" i="2"/>
  <c r="C648" i="2"/>
  <c r="L647" i="2"/>
  <c r="E647" i="2"/>
  <c r="D647" i="2"/>
  <c r="C647" i="2"/>
  <c r="L646" i="2"/>
  <c r="E646" i="2"/>
  <c r="D646" i="2"/>
  <c r="C646" i="2"/>
  <c r="L645" i="2"/>
  <c r="E645" i="2"/>
  <c r="D645" i="2"/>
  <c r="C645" i="2"/>
  <c r="L644" i="2"/>
  <c r="E644" i="2"/>
  <c r="D644" i="2"/>
  <c r="C644" i="2"/>
  <c r="L643" i="2"/>
  <c r="E643" i="2"/>
  <c r="D643" i="2"/>
  <c r="C643" i="2"/>
  <c r="L642" i="2"/>
  <c r="E642" i="2"/>
  <c r="D642" i="2"/>
  <c r="C642" i="2"/>
  <c r="L641" i="2"/>
  <c r="E641" i="2"/>
  <c r="D641" i="2"/>
  <c r="C641" i="2"/>
  <c r="L640" i="2"/>
  <c r="E640" i="2"/>
  <c r="D640" i="2"/>
  <c r="C640" i="2"/>
  <c r="L639" i="2"/>
  <c r="E639" i="2"/>
  <c r="D639" i="2"/>
  <c r="C639" i="2"/>
  <c r="L638" i="2"/>
  <c r="E638" i="2"/>
  <c r="D638" i="2"/>
  <c r="C638" i="2"/>
  <c r="L637" i="2"/>
  <c r="E637" i="2"/>
  <c r="D637" i="2"/>
  <c r="C637" i="2"/>
  <c r="L636" i="2"/>
  <c r="E636" i="2"/>
  <c r="D636" i="2"/>
  <c r="C636" i="2"/>
  <c r="L635" i="2"/>
  <c r="E635" i="2"/>
  <c r="D635" i="2"/>
  <c r="C635" i="2"/>
  <c r="L634" i="2"/>
  <c r="E634" i="2"/>
  <c r="D634" i="2"/>
  <c r="C634" i="2"/>
  <c r="L633" i="2"/>
  <c r="E633" i="2"/>
  <c r="D633" i="2"/>
  <c r="C633" i="2"/>
  <c r="L632" i="2"/>
  <c r="E632" i="2"/>
  <c r="D632" i="2"/>
  <c r="C632" i="2"/>
  <c r="L631" i="2"/>
  <c r="E631" i="2"/>
  <c r="D631" i="2"/>
  <c r="C631" i="2"/>
  <c r="L630" i="2"/>
  <c r="E630" i="2"/>
  <c r="D630" i="2"/>
  <c r="C630" i="2"/>
  <c r="L629" i="2"/>
  <c r="E629" i="2"/>
  <c r="D629" i="2"/>
  <c r="C629" i="2"/>
  <c r="L628" i="2"/>
  <c r="E628" i="2"/>
  <c r="D628" i="2"/>
  <c r="C628" i="2"/>
  <c r="L627" i="2"/>
  <c r="E627" i="2"/>
  <c r="D627" i="2"/>
  <c r="C627" i="2"/>
  <c r="L626" i="2"/>
  <c r="E626" i="2"/>
  <c r="D626" i="2"/>
  <c r="C626" i="2"/>
  <c r="L625" i="2"/>
  <c r="E625" i="2"/>
  <c r="D625" i="2"/>
  <c r="C625" i="2"/>
  <c r="L624" i="2"/>
  <c r="E624" i="2"/>
  <c r="D624" i="2"/>
  <c r="C624" i="2"/>
  <c r="L623" i="2"/>
  <c r="E623" i="2"/>
  <c r="D623" i="2"/>
  <c r="C623" i="2"/>
  <c r="L622" i="2"/>
  <c r="E622" i="2"/>
  <c r="D622" i="2"/>
  <c r="C622" i="2"/>
  <c r="L621" i="2"/>
  <c r="E621" i="2"/>
  <c r="D621" i="2"/>
  <c r="C621" i="2"/>
  <c r="L620" i="2"/>
  <c r="E620" i="2"/>
  <c r="D620" i="2"/>
  <c r="C620" i="2"/>
  <c r="L619" i="2"/>
  <c r="E619" i="2"/>
  <c r="D619" i="2"/>
  <c r="C619" i="2"/>
  <c r="L618" i="2"/>
  <c r="E618" i="2"/>
  <c r="D618" i="2"/>
  <c r="C618" i="2"/>
  <c r="L617" i="2"/>
  <c r="E617" i="2"/>
  <c r="D617" i="2"/>
  <c r="C617" i="2"/>
  <c r="L616" i="2"/>
  <c r="E616" i="2"/>
  <c r="D616" i="2"/>
  <c r="C616" i="2"/>
  <c r="L615" i="2"/>
  <c r="E615" i="2"/>
  <c r="D615" i="2"/>
  <c r="C615" i="2"/>
  <c r="L614" i="2"/>
  <c r="E614" i="2"/>
  <c r="D614" i="2"/>
  <c r="C614" i="2"/>
  <c r="L613" i="2"/>
  <c r="E613" i="2"/>
  <c r="D613" i="2"/>
  <c r="C613" i="2"/>
  <c r="L612" i="2"/>
  <c r="E612" i="2"/>
  <c r="D612" i="2"/>
  <c r="C612" i="2"/>
  <c r="L611" i="2"/>
  <c r="E611" i="2"/>
  <c r="D611" i="2"/>
  <c r="C611" i="2"/>
  <c r="L610" i="2"/>
  <c r="E610" i="2"/>
  <c r="D610" i="2"/>
  <c r="C610" i="2"/>
  <c r="L609" i="2"/>
  <c r="E609" i="2"/>
  <c r="D609" i="2"/>
  <c r="C609" i="2"/>
  <c r="L608" i="2"/>
  <c r="E608" i="2"/>
  <c r="D608" i="2"/>
  <c r="C608" i="2"/>
  <c r="L607" i="2"/>
  <c r="E607" i="2"/>
  <c r="D607" i="2"/>
  <c r="C607" i="2"/>
  <c r="L606" i="2"/>
  <c r="E606" i="2"/>
  <c r="D606" i="2"/>
  <c r="C606" i="2"/>
  <c r="L605" i="2"/>
  <c r="E605" i="2"/>
  <c r="D605" i="2"/>
  <c r="C605" i="2"/>
  <c r="L604" i="2"/>
  <c r="E604" i="2"/>
  <c r="D604" i="2"/>
  <c r="C604" i="2"/>
  <c r="L603" i="2"/>
  <c r="E603" i="2"/>
  <c r="D603" i="2"/>
  <c r="C603" i="2"/>
  <c r="L602" i="2"/>
  <c r="E602" i="2"/>
  <c r="D602" i="2"/>
  <c r="C602" i="2"/>
  <c r="L601" i="2"/>
  <c r="E601" i="2"/>
  <c r="D601" i="2"/>
  <c r="C601" i="2"/>
  <c r="L600" i="2"/>
  <c r="E600" i="2"/>
  <c r="D600" i="2"/>
  <c r="C600" i="2"/>
  <c r="L599" i="2"/>
  <c r="E599" i="2"/>
  <c r="D599" i="2"/>
  <c r="C599" i="2"/>
  <c r="L598" i="2"/>
  <c r="E598" i="2"/>
  <c r="D598" i="2"/>
  <c r="C598" i="2"/>
  <c r="L597" i="2"/>
  <c r="E597" i="2"/>
  <c r="D597" i="2"/>
  <c r="C597" i="2"/>
  <c r="L596" i="2"/>
  <c r="E596" i="2"/>
  <c r="D596" i="2"/>
  <c r="C596" i="2"/>
  <c r="L595" i="2"/>
  <c r="E595" i="2"/>
  <c r="D595" i="2"/>
  <c r="C595" i="2"/>
  <c r="L594" i="2"/>
  <c r="E594" i="2"/>
  <c r="D594" i="2"/>
  <c r="C594" i="2"/>
  <c r="L593" i="2"/>
  <c r="E593" i="2"/>
  <c r="D593" i="2"/>
  <c r="C593" i="2"/>
  <c r="L592" i="2"/>
  <c r="E592" i="2"/>
  <c r="D592" i="2"/>
  <c r="C592" i="2"/>
  <c r="L591" i="2"/>
  <c r="E591" i="2"/>
  <c r="D591" i="2"/>
  <c r="C591" i="2"/>
  <c r="L590" i="2"/>
  <c r="E590" i="2"/>
  <c r="D590" i="2"/>
  <c r="C590" i="2"/>
  <c r="L589" i="2"/>
  <c r="E589" i="2"/>
  <c r="D589" i="2"/>
  <c r="C589" i="2"/>
  <c r="L588" i="2"/>
  <c r="E588" i="2"/>
  <c r="D588" i="2"/>
  <c r="C588" i="2"/>
  <c r="L587" i="2"/>
  <c r="E587" i="2"/>
  <c r="D587" i="2"/>
  <c r="C587" i="2"/>
  <c r="L586" i="2"/>
  <c r="E586" i="2"/>
  <c r="D586" i="2"/>
  <c r="C586" i="2"/>
  <c r="L585" i="2"/>
  <c r="E585" i="2"/>
  <c r="D585" i="2"/>
  <c r="C585" i="2"/>
  <c r="L584" i="2"/>
  <c r="E584" i="2"/>
  <c r="D584" i="2"/>
  <c r="C584" i="2"/>
  <c r="L583" i="2"/>
  <c r="E583" i="2"/>
  <c r="D583" i="2"/>
  <c r="C583" i="2"/>
  <c r="L582" i="2"/>
  <c r="E582" i="2"/>
  <c r="D582" i="2"/>
  <c r="C582" i="2"/>
  <c r="L581" i="2"/>
  <c r="E581" i="2"/>
  <c r="D581" i="2"/>
  <c r="C581" i="2"/>
  <c r="L580" i="2"/>
  <c r="E580" i="2"/>
  <c r="D580" i="2"/>
  <c r="C580" i="2"/>
  <c r="L579" i="2"/>
  <c r="E579" i="2"/>
  <c r="D579" i="2"/>
  <c r="C579" i="2"/>
  <c r="L578" i="2"/>
  <c r="E578" i="2"/>
  <c r="D578" i="2"/>
  <c r="C578" i="2"/>
  <c r="L577" i="2"/>
  <c r="E577" i="2"/>
  <c r="D577" i="2"/>
  <c r="C577" i="2"/>
  <c r="L576" i="2"/>
  <c r="E576" i="2"/>
  <c r="D576" i="2"/>
  <c r="C576" i="2"/>
  <c r="L575" i="2"/>
  <c r="E575" i="2"/>
  <c r="D575" i="2"/>
  <c r="C575" i="2"/>
  <c r="L574" i="2"/>
  <c r="E574" i="2"/>
  <c r="D574" i="2"/>
  <c r="C574" i="2"/>
  <c r="L573" i="2"/>
  <c r="E573" i="2"/>
  <c r="D573" i="2"/>
  <c r="C573" i="2"/>
  <c r="L572" i="2"/>
  <c r="E572" i="2"/>
  <c r="D572" i="2"/>
  <c r="C572" i="2"/>
  <c r="L571" i="2"/>
  <c r="E571" i="2"/>
  <c r="D571" i="2"/>
  <c r="C571" i="2"/>
  <c r="L570" i="2"/>
  <c r="E570" i="2"/>
  <c r="D570" i="2"/>
  <c r="C570" i="2"/>
  <c r="L569" i="2"/>
  <c r="E569" i="2"/>
  <c r="D569" i="2"/>
  <c r="C569" i="2"/>
  <c r="L568" i="2"/>
  <c r="E568" i="2"/>
  <c r="D568" i="2"/>
  <c r="C568" i="2"/>
  <c r="L567" i="2"/>
  <c r="E567" i="2"/>
  <c r="D567" i="2"/>
  <c r="C567" i="2"/>
  <c r="L566" i="2"/>
  <c r="E566" i="2"/>
  <c r="D566" i="2"/>
  <c r="C566" i="2"/>
  <c r="L565" i="2"/>
  <c r="E565" i="2"/>
  <c r="D565" i="2"/>
  <c r="C565" i="2"/>
  <c r="L564" i="2"/>
  <c r="E564" i="2"/>
  <c r="D564" i="2"/>
  <c r="C564" i="2"/>
  <c r="L563" i="2"/>
  <c r="E563" i="2"/>
  <c r="D563" i="2"/>
  <c r="C563" i="2"/>
  <c r="L562" i="2"/>
  <c r="E562" i="2"/>
  <c r="D562" i="2"/>
  <c r="C562" i="2"/>
  <c r="L561" i="2"/>
  <c r="E561" i="2"/>
  <c r="D561" i="2"/>
  <c r="C561" i="2"/>
  <c r="L560" i="2"/>
  <c r="E560" i="2"/>
  <c r="D560" i="2"/>
  <c r="C560" i="2"/>
  <c r="L559" i="2"/>
  <c r="E559" i="2"/>
  <c r="D559" i="2"/>
  <c r="C559" i="2"/>
  <c r="L558" i="2"/>
  <c r="E558" i="2"/>
  <c r="D558" i="2"/>
  <c r="C558" i="2"/>
  <c r="L557" i="2"/>
  <c r="E557" i="2"/>
  <c r="D557" i="2"/>
  <c r="C557" i="2"/>
  <c r="L556" i="2"/>
  <c r="E556" i="2"/>
  <c r="D556" i="2"/>
  <c r="C556" i="2"/>
  <c r="L555" i="2"/>
  <c r="E555" i="2"/>
  <c r="D555" i="2"/>
  <c r="C555" i="2"/>
  <c r="L554" i="2"/>
  <c r="E554" i="2"/>
  <c r="D554" i="2"/>
  <c r="C554" i="2"/>
  <c r="L553" i="2"/>
  <c r="E553" i="2"/>
  <c r="D553" i="2"/>
  <c r="C553" i="2"/>
  <c r="L552" i="2"/>
  <c r="E552" i="2"/>
  <c r="D552" i="2"/>
  <c r="C552" i="2"/>
  <c r="L551" i="2"/>
  <c r="E551" i="2"/>
  <c r="D551" i="2"/>
  <c r="C551" i="2"/>
  <c r="L550" i="2"/>
  <c r="E550" i="2"/>
  <c r="D550" i="2"/>
  <c r="C550" i="2"/>
  <c r="L549" i="2"/>
  <c r="E549" i="2"/>
  <c r="D549" i="2"/>
  <c r="C549" i="2"/>
  <c r="L548" i="2"/>
  <c r="E548" i="2"/>
  <c r="D548" i="2"/>
  <c r="C548" i="2"/>
  <c r="L547" i="2"/>
  <c r="E547" i="2"/>
  <c r="D547" i="2"/>
  <c r="C547" i="2"/>
  <c r="L546" i="2"/>
  <c r="E546" i="2"/>
  <c r="D546" i="2"/>
  <c r="C546" i="2"/>
  <c r="L545" i="2"/>
  <c r="E545" i="2"/>
  <c r="D545" i="2"/>
  <c r="C545" i="2"/>
  <c r="L544" i="2"/>
  <c r="E544" i="2"/>
  <c r="D544" i="2"/>
  <c r="C544" i="2"/>
  <c r="L543" i="2"/>
  <c r="E543" i="2"/>
  <c r="D543" i="2"/>
  <c r="C543" i="2"/>
  <c r="L542" i="2"/>
  <c r="E542" i="2"/>
  <c r="D542" i="2"/>
  <c r="C542" i="2"/>
  <c r="L541" i="2"/>
  <c r="E541" i="2"/>
  <c r="D541" i="2"/>
  <c r="C541" i="2"/>
  <c r="L540" i="2"/>
  <c r="E540" i="2"/>
  <c r="D540" i="2"/>
  <c r="C540" i="2"/>
  <c r="L539" i="2"/>
  <c r="E539" i="2"/>
  <c r="D539" i="2"/>
  <c r="C539" i="2"/>
  <c r="L538" i="2"/>
  <c r="E538" i="2"/>
  <c r="D538" i="2"/>
  <c r="C538" i="2"/>
  <c r="L537" i="2"/>
  <c r="E537" i="2"/>
  <c r="D537" i="2"/>
  <c r="C537" i="2"/>
  <c r="L536" i="2"/>
  <c r="E536" i="2"/>
  <c r="D536" i="2"/>
  <c r="C536" i="2"/>
  <c r="L535" i="2"/>
  <c r="E535" i="2"/>
  <c r="D535" i="2"/>
  <c r="C535" i="2"/>
  <c r="L534" i="2"/>
  <c r="E534" i="2"/>
  <c r="D534" i="2"/>
  <c r="C534" i="2"/>
  <c r="L533" i="2"/>
  <c r="E533" i="2"/>
  <c r="D533" i="2"/>
  <c r="C533" i="2"/>
  <c r="L532" i="2"/>
  <c r="E532" i="2"/>
  <c r="D532" i="2"/>
  <c r="C532" i="2"/>
  <c r="L531" i="2"/>
  <c r="E531" i="2"/>
  <c r="D531" i="2"/>
  <c r="C531" i="2"/>
  <c r="L530" i="2"/>
  <c r="E530" i="2"/>
  <c r="D530" i="2"/>
  <c r="C530" i="2"/>
  <c r="L529" i="2"/>
  <c r="E529" i="2"/>
  <c r="D529" i="2"/>
  <c r="C529" i="2"/>
  <c r="L528" i="2"/>
  <c r="E528" i="2"/>
  <c r="D528" i="2"/>
  <c r="C528" i="2"/>
  <c r="L527" i="2"/>
  <c r="E527" i="2"/>
  <c r="D527" i="2"/>
  <c r="C527" i="2"/>
  <c r="L526" i="2"/>
  <c r="E526" i="2"/>
  <c r="D526" i="2"/>
  <c r="C526" i="2"/>
  <c r="L525" i="2"/>
  <c r="E525" i="2"/>
  <c r="D525" i="2"/>
  <c r="C525" i="2"/>
  <c r="L524" i="2"/>
  <c r="E524" i="2"/>
  <c r="D524" i="2"/>
  <c r="C524" i="2"/>
  <c r="L523" i="2"/>
  <c r="E523" i="2"/>
  <c r="D523" i="2"/>
  <c r="C523" i="2"/>
  <c r="L522" i="2"/>
  <c r="E522" i="2"/>
  <c r="D522" i="2"/>
  <c r="C522" i="2"/>
  <c r="L521" i="2"/>
  <c r="E521" i="2"/>
  <c r="D521" i="2"/>
  <c r="C521" i="2"/>
  <c r="L520" i="2"/>
  <c r="E520" i="2"/>
  <c r="D520" i="2"/>
  <c r="C520" i="2"/>
  <c r="L519" i="2"/>
  <c r="E519" i="2"/>
  <c r="D519" i="2"/>
  <c r="C519" i="2"/>
  <c r="L518" i="2"/>
  <c r="E518" i="2"/>
  <c r="D518" i="2"/>
  <c r="C518" i="2"/>
  <c r="L517" i="2"/>
  <c r="E517" i="2"/>
  <c r="D517" i="2"/>
  <c r="C517" i="2"/>
  <c r="L516" i="2"/>
  <c r="E516" i="2"/>
  <c r="D516" i="2"/>
  <c r="C516" i="2"/>
  <c r="L515" i="2"/>
  <c r="E515" i="2"/>
  <c r="D515" i="2"/>
  <c r="C515" i="2"/>
  <c r="L514" i="2"/>
  <c r="E514" i="2"/>
  <c r="D514" i="2"/>
  <c r="C514" i="2"/>
  <c r="L513" i="2"/>
  <c r="E513" i="2"/>
  <c r="D513" i="2"/>
  <c r="C513" i="2"/>
  <c r="L512" i="2"/>
  <c r="E512" i="2"/>
  <c r="D512" i="2"/>
  <c r="C512" i="2"/>
  <c r="L511" i="2"/>
  <c r="E511" i="2"/>
  <c r="D511" i="2"/>
  <c r="C511" i="2"/>
  <c r="L510" i="2"/>
  <c r="E510" i="2"/>
  <c r="D510" i="2"/>
  <c r="C510" i="2"/>
  <c r="L509" i="2"/>
  <c r="E509" i="2"/>
  <c r="D509" i="2"/>
  <c r="C509" i="2"/>
  <c r="L508" i="2"/>
  <c r="E508" i="2"/>
  <c r="D508" i="2"/>
  <c r="C508" i="2"/>
  <c r="L507" i="2"/>
  <c r="E507" i="2"/>
  <c r="D507" i="2"/>
  <c r="C507" i="2"/>
  <c r="L506" i="2"/>
  <c r="E506" i="2"/>
  <c r="D506" i="2"/>
  <c r="C506" i="2"/>
  <c r="L505" i="2"/>
  <c r="E505" i="2"/>
  <c r="D505" i="2"/>
  <c r="C505" i="2"/>
  <c r="L504" i="2"/>
  <c r="E504" i="2"/>
  <c r="D504" i="2"/>
  <c r="C504" i="2"/>
  <c r="L503" i="2"/>
  <c r="E503" i="2"/>
  <c r="D503" i="2"/>
  <c r="C503" i="2"/>
  <c r="L502" i="2"/>
  <c r="E502" i="2"/>
  <c r="D502" i="2"/>
  <c r="C502" i="2"/>
  <c r="L501" i="2"/>
  <c r="E501" i="2"/>
  <c r="D501" i="2"/>
  <c r="C501" i="2"/>
  <c r="L500" i="2"/>
  <c r="E500" i="2"/>
  <c r="D500" i="2"/>
  <c r="C500" i="2"/>
  <c r="L499" i="2"/>
  <c r="E499" i="2"/>
  <c r="D499" i="2"/>
  <c r="C499" i="2"/>
  <c r="L498" i="2"/>
  <c r="E498" i="2"/>
  <c r="D498" i="2"/>
  <c r="C498" i="2"/>
  <c r="L497" i="2"/>
  <c r="E497" i="2"/>
  <c r="D497" i="2"/>
  <c r="C497" i="2"/>
  <c r="L496" i="2"/>
  <c r="E496" i="2"/>
  <c r="D496" i="2"/>
  <c r="C496" i="2"/>
  <c r="L495" i="2"/>
  <c r="E495" i="2"/>
  <c r="D495" i="2"/>
  <c r="C495" i="2"/>
  <c r="L494" i="2"/>
  <c r="E494" i="2"/>
  <c r="D494" i="2"/>
  <c r="C494" i="2"/>
  <c r="L493" i="2"/>
  <c r="E493" i="2"/>
  <c r="D493" i="2"/>
  <c r="C493" i="2"/>
  <c r="L492" i="2"/>
  <c r="E492" i="2"/>
  <c r="D492" i="2"/>
  <c r="C492" i="2"/>
  <c r="L491" i="2"/>
  <c r="E491" i="2"/>
  <c r="D491" i="2"/>
  <c r="C491" i="2"/>
  <c r="L490" i="2"/>
  <c r="E490" i="2"/>
  <c r="D490" i="2"/>
  <c r="C490" i="2"/>
  <c r="L489" i="2"/>
  <c r="E489" i="2"/>
  <c r="D489" i="2"/>
  <c r="C489" i="2"/>
  <c r="L488" i="2"/>
  <c r="E488" i="2"/>
  <c r="D488" i="2"/>
  <c r="C488" i="2"/>
  <c r="L487" i="2"/>
  <c r="E487" i="2"/>
  <c r="D487" i="2"/>
  <c r="C487" i="2"/>
  <c r="L486" i="2"/>
  <c r="E486" i="2"/>
  <c r="D486" i="2"/>
  <c r="C486" i="2"/>
  <c r="L485" i="2"/>
  <c r="E485" i="2"/>
  <c r="D485" i="2"/>
  <c r="C485" i="2"/>
  <c r="L484" i="2"/>
  <c r="E484" i="2"/>
  <c r="D484" i="2"/>
  <c r="C484" i="2"/>
  <c r="L483" i="2"/>
  <c r="E483" i="2"/>
  <c r="D483" i="2"/>
  <c r="C483" i="2"/>
  <c r="L482" i="2"/>
  <c r="E482" i="2"/>
  <c r="D482" i="2"/>
  <c r="C482" i="2"/>
  <c r="L481" i="2"/>
  <c r="E481" i="2"/>
  <c r="D481" i="2"/>
  <c r="C481" i="2"/>
  <c r="L480" i="2"/>
  <c r="E480" i="2"/>
  <c r="D480" i="2"/>
  <c r="C480" i="2"/>
  <c r="L479" i="2"/>
  <c r="E479" i="2"/>
  <c r="D479" i="2"/>
  <c r="C479" i="2"/>
  <c r="L478" i="2"/>
  <c r="E478" i="2"/>
  <c r="D478" i="2"/>
  <c r="C478" i="2"/>
  <c r="L477" i="2"/>
  <c r="E477" i="2"/>
  <c r="D477" i="2"/>
  <c r="C477" i="2"/>
  <c r="L476" i="2"/>
  <c r="E476" i="2"/>
  <c r="D476" i="2"/>
  <c r="C476" i="2"/>
  <c r="L475" i="2"/>
  <c r="E475" i="2"/>
  <c r="D475" i="2"/>
  <c r="C475" i="2"/>
  <c r="L474" i="2"/>
  <c r="E474" i="2"/>
  <c r="D474" i="2"/>
  <c r="C474" i="2"/>
  <c r="L473" i="2"/>
  <c r="E473" i="2"/>
  <c r="D473" i="2"/>
  <c r="C473" i="2"/>
  <c r="L472" i="2"/>
  <c r="E472" i="2"/>
  <c r="D472" i="2"/>
  <c r="L471" i="2"/>
  <c r="E471" i="2"/>
  <c r="D471" i="2"/>
  <c r="C471" i="2"/>
  <c r="L470" i="2"/>
  <c r="E470" i="2"/>
  <c r="D470" i="2"/>
  <c r="C470" i="2"/>
  <c r="L469" i="2"/>
  <c r="E469" i="2"/>
  <c r="D469" i="2"/>
  <c r="C469" i="2"/>
  <c r="L468" i="2"/>
  <c r="E468" i="2"/>
  <c r="D468" i="2"/>
  <c r="C468" i="2"/>
  <c r="L467" i="2"/>
  <c r="E467" i="2"/>
  <c r="D467" i="2"/>
  <c r="C467" i="2"/>
  <c r="L466" i="2"/>
  <c r="E466" i="2"/>
  <c r="D466" i="2"/>
  <c r="C466" i="2"/>
  <c r="L465" i="2"/>
  <c r="E465" i="2"/>
  <c r="D465" i="2"/>
  <c r="C465" i="2"/>
  <c r="L464" i="2"/>
  <c r="E464" i="2"/>
  <c r="D464" i="2"/>
  <c r="C464" i="2"/>
  <c r="L463" i="2"/>
  <c r="E463" i="2"/>
  <c r="D463" i="2"/>
  <c r="C463" i="2"/>
  <c r="L462" i="2"/>
  <c r="E462" i="2"/>
  <c r="D462" i="2"/>
  <c r="C462" i="2"/>
  <c r="L461" i="2"/>
  <c r="E461" i="2"/>
  <c r="D461" i="2"/>
  <c r="C461" i="2"/>
  <c r="L460" i="2"/>
  <c r="E460" i="2"/>
  <c r="D460" i="2"/>
  <c r="C460" i="2"/>
  <c r="L459" i="2"/>
  <c r="E459" i="2"/>
  <c r="D459" i="2"/>
  <c r="C459" i="2"/>
  <c r="L458" i="2"/>
  <c r="E458" i="2"/>
  <c r="D458" i="2"/>
  <c r="C458" i="2"/>
  <c r="L457" i="2"/>
  <c r="E457" i="2"/>
  <c r="D457" i="2"/>
  <c r="C457" i="2"/>
  <c r="L456" i="2"/>
  <c r="E456" i="2"/>
  <c r="D456" i="2"/>
  <c r="C456" i="2"/>
  <c r="L455" i="2"/>
  <c r="E455" i="2"/>
  <c r="D455" i="2"/>
  <c r="C455" i="2"/>
  <c r="L454" i="2"/>
  <c r="E454" i="2"/>
  <c r="D454" i="2"/>
  <c r="C454" i="2"/>
  <c r="L453" i="2"/>
  <c r="E453" i="2"/>
  <c r="D453" i="2"/>
  <c r="C453" i="2"/>
  <c r="L452" i="2"/>
  <c r="E452" i="2"/>
  <c r="D452" i="2"/>
  <c r="C452" i="2"/>
  <c r="L451" i="2"/>
  <c r="E451" i="2"/>
  <c r="D451" i="2"/>
  <c r="C451" i="2"/>
  <c r="L450" i="2"/>
  <c r="E450" i="2"/>
  <c r="D450" i="2"/>
  <c r="C450" i="2"/>
  <c r="L449" i="2"/>
  <c r="E449" i="2"/>
  <c r="D449" i="2"/>
  <c r="C449" i="2"/>
  <c r="L448" i="2"/>
  <c r="E448" i="2"/>
  <c r="D448" i="2"/>
  <c r="C448" i="2"/>
  <c r="L447" i="2"/>
  <c r="E447" i="2"/>
  <c r="D447" i="2"/>
  <c r="C447" i="2"/>
  <c r="L446" i="2"/>
  <c r="E446" i="2"/>
  <c r="D446" i="2"/>
  <c r="C446" i="2"/>
  <c r="L445" i="2"/>
  <c r="E445" i="2"/>
  <c r="D445" i="2"/>
  <c r="C445" i="2"/>
  <c r="L444" i="2"/>
  <c r="E444" i="2"/>
  <c r="D444" i="2"/>
  <c r="C444" i="2"/>
  <c r="L443" i="2"/>
  <c r="E443" i="2"/>
  <c r="D443" i="2"/>
  <c r="C443" i="2"/>
  <c r="L442" i="2"/>
  <c r="E442" i="2"/>
  <c r="D442" i="2"/>
  <c r="C442" i="2"/>
  <c r="L441" i="2"/>
  <c r="E441" i="2"/>
  <c r="D441" i="2"/>
  <c r="C441" i="2"/>
  <c r="L440" i="2"/>
  <c r="E440" i="2"/>
  <c r="D440" i="2"/>
  <c r="C440" i="2"/>
  <c r="L439" i="2"/>
  <c r="E439" i="2"/>
  <c r="D439" i="2"/>
  <c r="C439" i="2"/>
  <c r="L438" i="2"/>
  <c r="E438" i="2"/>
  <c r="D438" i="2"/>
  <c r="C438" i="2"/>
  <c r="L437" i="2"/>
  <c r="E437" i="2"/>
  <c r="D437" i="2"/>
  <c r="C437" i="2"/>
  <c r="L436" i="2"/>
  <c r="E436" i="2"/>
  <c r="D436" i="2"/>
  <c r="C436" i="2"/>
  <c r="L435" i="2"/>
  <c r="E435" i="2"/>
  <c r="D435" i="2"/>
  <c r="C435" i="2"/>
  <c r="L434" i="2"/>
  <c r="E434" i="2"/>
  <c r="D434" i="2"/>
  <c r="C434" i="2"/>
  <c r="L433" i="2"/>
  <c r="E433" i="2"/>
  <c r="D433" i="2"/>
  <c r="C433" i="2"/>
  <c r="L432" i="2"/>
  <c r="E432" i="2"/>
  <c r="D432" i="2"/>
  <c r="C432" i="2"/>
  <c r="L431" i="2"/>
  <c r="E431" i="2"/>
  <c r="D431" i="2"/>
  <c r="C431" i="2"/>
  <c r="L430" i="2"/>
  <c r="E430" i="2"/>
  <c r="D430" i="2"/>
  <c r="C430" i="2"/>
  <c r="L429" i="2"/>
  <c r="E429" i="2"/>
  <c r="D429" i="2"/>
  <c r="C429" i="2"/>
  <c r="L428" i="2"/>
  <c r="E428" i="2"/>
  <c r="D428" i="2"/>
  <c r="C428" i="2"/>
  <c r="L427" i="2"/>
  <c r="E427" i="2"/>
  <c r="D427" i="2"/>
  <c r="C427" i="2"/>
  <c r="L426" i="2"/>
  <c r="E426" i="2"/>
  <c r="D426" i="2"/>
  <c r="C426" i="2"/>
  <c r="L425" i="2"/>
  <c r="E425" i="2"/>
  <c r="D425" i="2"/>
  <c r="C425" i="2"/>
  <c r="L424" i="2"/>
  <c r="E424" i="2"/>
  <c r="D424" i="2"/>
  <c r="C424" i="2"/>
  <c r="L423" i="2"/>
  <c r="E423" i="2"/>
  <c r="D423" i="2"/>
  <c r="C423" i="2"/>
  <c r="L422" i="2"/>
  <c r="E422" i="2"/>
  <c r="D422" i="2"/>
  <c r="C422" i="2"/>
  <c r="L421" i="2"/>
  <c r="E421" i="2"/>
  <c r="D421" i="2"/>
  <c r="C421" i="2"/>
  <c r="L420" i="2"/>
  <c r="E420" i="2"/>
  <c r="D420" i="2"/>
  <c r="C420" i="2"/>
  <c r="L419" i="2"/>
  <c r="E419" i="2"/>
  <c r="D419" i="2"/>
  <c r="C419" i="2"/>
  <c r="L418" i="2"/>
  <c r="E418" i="2"/>
  <c r="D418" i="2"/>
  <c r="C418" i="2"/>
  <c r="L417" i="2"/>
  <c r="E417" i="2"/>
  <c r="D417" i="2"/>
  <c r="C417" i="2"/>
  <c r="L416" i="2"/>
  <c r="E416" i="2"/>
  <c r="D416" i="2"/>
  <c r="C416" i="2"/>
  <c r="L415" i="2"/>
  <c r="E415" i="2"/>
  <c r="D415" i="2"/>
  <c r="C415" i="2"/>
  <c r="L414" i="2"/>
  <c r="E414" i="2"/>
  <c r="D414" i="2"/>
  <c r="C414" i="2"/>
  <c r="L413" i="2"/>
  <c r="E413" i="2"/>
  <c r="D413" i="2"/>
  <c r="C413" i="2"/>
  <c r="L412" i="2"/>
  <c r="E412" i="2"/>
  <c r="D412" i="2"/>
  <c r="C412" i="2"/>
  <c r="L411" i="2"/>
  <c r="E411" i="2"/>
  <c r="D411" i="2"/>
  <c r="C411" i="2"/>
  <c r="L410" i="2"/>
  <c r="E410" i="2"/>
  <c r="D410" i="2"/>
  <c r="C410" i="2"/>
  <c r="L409" i="2"/>
  <c r="E409" i="2"/>
  <c r="D409" i="2"/>
  <c r="C409" i="2"/>
  <c r="L408" i="2"/>
  <c r="E408" i="2"/>
  <c r="D408" i="2"/>
  <c r="C408" i="2"/>
  <c r="L407" i="2"/>
  <c r="E407" i="2"/>
  <c r="D407" i="2"/>
  <c r="C407" i="2"/>
  <c r="L406" i="2"/>
  <c r="E406" i="2"/>
  <c r="D406" i="2"/>
  <c r="C406" i="2"/>
  <c r="L405" i="2"/>
  <c r="E405" i="2"/>
  <c r="D405" i="2"/>
  <c r="C405" i="2"/>
  <c r="L404" i="2"/>
  <c r="E404" i="2"/>
  <c r="D404" i="2"/>
  <c r="C404" i="2"/>
  <c r="L403" i="2"/>
  <c r="E403" i="2"/>
  <c r="D403" i="2"/>
  <c r="C403" i="2"/>
  <c r="L402" i="2"/>
  <c r="E402" i="2"/>
  <c r="D402" i="2"/>
  <c r="C402" i="2"/>
  <c r="L401" i="2"/>
  <c r="E401" i="2"/>
  <c r="D401" i="2"/>
  <c r="C401" i="2"/>
  <c r="L400" i="2"/>
  <c r="E400" i="2"/>
  <c r="D400" i="2"/>
  <c r="C400" i="2"/>
  <c r="L399" i="2"/>
  <c r="E399" i="2"/>
  <c r="D399" i="2"/>
  <c r="C399" i="2"/>
  <c r="L398" i="2"/>
  <c r="E398" i="2"/>
  <c r="D398" i="2"/>
  <c r="C398" i="2"/>
  <c r="L397" i="2"/>
  <c r="E397" i="2"/>
  <c r="D397" i="2"/>
  <c r="C397" i="2"/>
  <c r="L396" i="2"/>
  <c r="E396" i="2"/>
  <c r="D396" i="2"/>
  <c r="C396" i="2"/>
  <c r="L395" i="2"/>
  <c r="E395" i="2"/>
  <c r="D395" i="2"/>
  <c r="C395" i="2"/>
  <c r="L394" i="2"/>
  <c r="E394" i="2"/>
  <c r="D394" i="2"/>
  <c r="C394" i="2"/>
  <c r="L393" i="2"/>
  <c r="E393" i="2"/>
  <c r="D393" i="2"/>
  <c r="C393" i="2"/>
  <c r="L392" i="2"/>
  <c r="E392" i="2"/>
  <c r="D392" i="2"/>
  <c r="C392" i="2"/>
  <c r="L391" i="2"/>
  <c r="E391" i="2"/>
  <c r="D391" i="2"/>
  <c r="C391" i="2"/>
  <c r="L390" i="2"/>
  <c r="E390" i="2"/>
  <c r="D390" i="2"/>
  <c r="C390" i="2"/>
  <c r="L389" i="2"/>
  <c r="E389" i="2"/>
  <c r="D389" i="2"/>
  <c r="C389" i="2"/>
  <c r="L388" i="2"/>
  <c r="E388" i="2"/>
  <c r="D388" i="2"/>
  <c r="C388" i="2"/>
  <c r="L387" i="2"/>
  <c r="E387" i="2"/>
  <c r="D387" i="2"/>
  <c r="C387" i="2"/>
  <c r="L386" i="2"/>
  <c r="E386" i="2"/>
  <c r="D386" i="2"/>
  <c r="C386" i="2"/>
  <c r="L385" i="2"/>
  <c r="E385" i="2"/>
  <c r="D385" i="2"/>
  <c r="C385" i="2"/>
  <c r="L384" i="2"/>
  <c r="E384" i="2"/>
  <c r="D384" i="2"/>
  <c r="C384" i="2"/>
  <c r="L383" i="2"/>
  <c r="E383" i="2"/>
  <c r="D383" i="2"/>
  <c r="C383" i="2"/>
  <c r="L382" i="2"/>
  <c r="E382" i="2"/>
  <c r="D382" i="2"/>
  <c r="C382" i="2"/>
  <c r="L381" i="2"/>
  <c r="E381" i="2"/>
  <c r="D381" i="2"/>
  <c r="C381" i="2"/>
  <c r="L380" i="2"/>
  <c r="E380" i="2"/>
  <c r="D380" i="2"/>
  <c r="C380" i="2"/>
  <c r="L379" i="2"/>
  <c r="E379" i="2"/>
  <c r="D379" i="2"/>
  <c r="C379" i="2"/>
  <c r="L378" i="2"/>
  <c r="E378" i="2"/>
  <c r="D378" i="2"/>
  <c r="C378" i="2"/>
  <c r="L377" i="2"/>
  <c r="E377" i="2"/>
  <c r="D377" i="2"/>
  <c r="C377" i="2"/>
  <c r="L376" i="2"/>
  <c r="E376" i="2"/>
  <c r="D376" i="2"/>
  <c r="C376" i="2"/>
  <c r="L375" i="2"/>
  <c r="E375" i="2"/>
  <c r="D375" i="2"/>
  <c r="C375" i="2"/>
  <c r="L374" i="2"/>
  <c r="E374" i="2"/>
  <c r="D374" i="2"/>
  <c r="C374" i="2"/>
  <c r="L373" i="2"/>
  <c r="E373" i="2"/>
  <c r="D373" i="2"/>
  <c r="C373" i="2"/>
  <c r="L372" i="2"/>
  <c r="E372" i="2"/>
  <c r="D372" i="2"/>
  <c r="C372" i="2"/>
  <c r="L371" i="2"/>
  <c r="E371" i="2"/>
  <c r="D371" i="2"/>
  <c r="C371" i="2"/>
  <c r="L370" i="2"/>
  <c r="E370" i="2"/>
  <c r="D370" i="2"/>
  <c r="C370" i="2"/>
  <c r="L369" i="2"/>
  <c r="E369" i="2"/>
  <c r="D369" i="2"/>
  <c r="C369" i="2"/>
  <c r="L368" i="2"/>
  <c r="E368" i="2"/>
  <c r="D368" i="2"/>
  <c r="C368" i="2"/>
  <c r="L367" i="2"/>
  <c r="E367" i="2"/>
  <c r="D367" i="2"/>
  <c r="C367" i="2"/>
  <c r="L366" i="2"/>
  <c r="E366" i="2"/>
  <c r="D366" i="2"/>
  <c r="C366" i="2"/>
  <c r="L365" i="2"/>
  <c r="E365" i="2"/>
  <c r="D365" i="2"/>
  <c r="C365" i="2"/>
  <c r="L364" i="2"/>
  <c r="E364" i="2"/>
  <c r="D364" i="2"/>
  <c r="C364" i="2"/>
  <c r="L363" i="2"/>
  <c r="E363" i="2"/>
  <c r="D363" i="2"/>
  <c r="C363" i="2"/>
  <c r="L362" i="2"/>
  <c r="E362" i="2"/>
  <c r="D362" i="2"/>
  <c r="C362" i="2"/>
  <c r="L361" i="2"/>
  <c r="E361" i="2"/>
  <c r="D361" i="2"/>
  <c r="C361" i="2"/>
  <c r="L360" i="2"/>
  <c r="E360" i="2"/>
  <c r="D360" i="2"/>
  <c r="C360" i="2"/>
  <c r="L359" i="2"/>
  <c r="E359" i="2"/>
  <c r="D359" i="2"/>
  <c r="C359" i="2"/>
  <c r="L358" i="2"/>
  <c r="E358" i="2"/>
  <c r="D358" i="2"/>
  <c r="C358" i="2"/>
  <c r="L357" i="2"/>
  <c r="E357" i="2"/>
  <c r="D357" i="2"/>
  <c r="C357" i="2"/>
  <c r="L356" i="2"/>
  <c r="E356" i="2"/>
  <c r="D356" i="2"/>
  <c r="C356" i="2"/>
  <c r="L355" i="2"/>
  <c r="E355" i="2"/>
  <c r="D355" i="2"/>
  <c r="C355" i="2"/>
  <c r="L354" i="2"/>
  <c r="E354" i="2"/>
  <c r="D354" i="2"/>
  <c r="C354" i="2"/>
  <c r="L353" i="2"/>
  <c r="E353" i="2"/>
  <c r="D353" i="2"/>
  <c r="C353" i="2"/>
  <c r="L352" i="2"/>
  <c r="E352" i="2"/>
  <c r="D352" i="2"/>
  <c r="C352" i="2"/>
  <c r="L351" i="2"/>
  <c r="E351" i="2"/>
  <c r="D351" i="2"/>
  <c r="C351" i="2"/>
  <c r="L350" i="2"/>
  <c r="E350" i="2"/>
  <c r="D350" i="2"/>
  <c r="C350" i="2"/>
  <c r="L349" i="2"/>
  <c r="E349" i="2"/>
  <c r="D349" i="2"/>
  <c r="C349" i="2"/>
  <c r="L348" i="2"/>
  <c r="E348" i="2"/>
  <c r="D348" i="2"/>
  <c r="C348" i="2"/>
  <c r="L347" i="2"/>
  <c r="E347" i="2"/>
  <c r="D347" i="2"/>
  <c r="C347" i="2"/>
  <c r="L346" i="2"/>
  <c r="E346" i="2"/>
  <c r="D346" i="2"/>
  <c r="C346" i="2"/>
  <c r="L345" i="2"/>
  <c r="E345" i="2"/>
  <c r="D345" i="2"/>
  <c r="C345" i="2"/>
  <c r="L344" i="2"/>
  <c r="E344" i="2"/>
  <c r="D344" i="2"/>
  <c r="C344" i="2"/>
  <c r="L343" i="2"/>
  <c r="E343" i="2"/>
  <c r="D343" i="2"/>
  <c r="C343" i="2"/>
  <c r="L342" i="2"/>
  <c r="E342" i="2"/>
  <c r="D342" i="2"/>
  <c r="C342" i="2"/>
  <c r="L341" i="2"/>
  <c r="E341" i="2"/>
  <c r="D341" i="2"/>
  <c r="C341" i="2"/>
  <c r="L340" i="2"/>
  <c r="E340" i="2"/>
  <c r="D340" i="2"/>
  <c r="C340" i="2"/>
  <c r="L339" i="2"/>
  <c r="E339" i="2"/>
  <c r="D339" i="2"/>
  <c r="C339" i="2"/>
  <c r="L338" i="2"/>
  <c r="E338" i="2"/>
  <c r="D338" i="2"/>
  <c r="C338" i="2"/>
  <c r="L337" i="2"/>
  <c r="E337" i="2"/>
  <c r="D337" i="2"/>
  <c r="C337" i="2"/>
  <c r="L336" i="2"/>
  <c r="E336" i="2"/>
  <c r="D336" i="2"/>
  <c r="C336" i="2"/>
  <c r="L335" i="2"/>
  <c r="E335" i="2"/>
  <c r="D335" i="2"/>
  <c r="C335" i="2"/>
  <c r="L334" i="2"/>
  <c r="E334" i="2"/>
  <c r="D334" i="2"/>
  <c r="C334" i="2"/>
  <c r="L333" i="2"/>
  <c r="E333" i="2"/>
  <c r="D333" i="2"/>
  <c r="C333" i="2"/>
  <c r="L332" i="2"/>
  <c r="E332" i="2"/>
  <c r="D332" i="2"/>
  <c r="C332" i="2"/>
  <c r="L331" i="2"/>
  <c r="E331" i="2"/>
  <c r="D331" i="2"/>
  <c r="C331" i="2"/>
  <c r="L330" i="2"/>
  <c r="E330" i="2"/>
  <c r="D330" i="2"/>
  <c r="C330" i="2"/>
  <c r="L329" i="2"/>
  <c r="E329" i="2"/>
  <c r="D329" i="2"/>
  <c r="C329" i="2"/>
  <c r="L328" i="2"/>
  <c r="E328" i="2"/>
  <c r="D328" i="2"/>
  <c r="C328" i="2"/>
  <c r="L327" i="2"/>
  <c r="E327" i="2"/>
  <c r="D327" i="2"/>
  <c r="C327" i="2"/>
  <c r="L326" i="2"/>
  <c r="E326" i="2"/>
  <c r="D326" i="2"/>
  <c r="C326" i="2"/>
  <c r="L325" i="2"/>
  <c r="E325" i="2"/>
  <c r="D325" i="2"/>
  <c r="C325" i="2"/>
  <c r="L324" i="2"/>
  <c r="E324" i="2"/>
  <c r="D324" i="2"/>
  <c r="C324" i="2"/>
  <c r="L323" i="2"/>
  <c r="E323" i="2"/>
  <c r="D323" i="2"/>
  <c r="C323" i="2"/>
  <c r="L322" i="2"/>
  <c r="E322" i="2"/>
  <c r="D322" i="2"/>
  <c r="C322" i="2"/>
  <c r="L321" i="2"/>
  <c r="E321" i="2"/>
  <c r="D321" i="2"/>
  <c r="C321" i="2"/>
  <c r="L320" i="2"/>
  <c r="E320" i="2"/>
  <c r="D320" i="2"/>
  <c r="C320" i="2"/>
  <c r="L319" i="2"/>
  <c r="E319" i="2"/>
  <c r="D319" i="2"/>
  <c r="C319" i="2"/>
  <c r="L318" i="2"/>
  <c r="E318" i="2"/>
  <c r="D318" i="2"/>
  <c r="C318" i="2"/>
  <c r="L317" i="2"/>
  <c r="E317" i="2"/>
  <c r="D317" i="2"/>
  <c r="C317" i="2"/>
  <c r="L316" i="2"/>
  <c r="E316" i="2"/>
  <c r="D316" i="2"/>
  <c r="C316" i="2"/>
  <c r="L315" i="2"/>
  <c r="E315" i="2"/>
  <c r="D315" i="2"/>
  <c r="C315" i="2"/>
  <c r="L314" i="2"/>
  <c r="E314" i="2"/>
  <c r="D314" i="2"/>
  <c r="C314" i="2"/>
  <c r="L313" i="2"/>
  <c r="E313" i="2"/>
  <c r="D313" i="2"/>
  <c r="C313" i="2"/>
  <c r="L312" i="2"/>
  <c r="E312" i="2"/>
  <c r="D312" i="2"/>
  <c r="C312" i="2"/>
  <c r="L311" i="2"/>
  <c r="E311" i="2"/>
  <c r="D311" i="2"/>
  <c r="C311" i="2"/>
  <c r="L310" i="2"/>
  <c r="E310" i="2"/>
  <c r="D310" i="2"/>
  <c r="C310" i="2"/>
  <c r="L309" i="2"/>
  <c r="E309" i="2"/>
  <c r="D309" i="2"/>
  <c r="C309" i="2"/>
  <c r="L308" i="2"/>
  <c r="E308" i="2"/>
  <c r="D308" i="2"/>
  <c r="C308" i="2"/>
  <c r="L307" i="2"/>
  <c r="E307" i="2"/>
  <c r="D307" i="2"/>
  <c r="C307" i="2"/>
  <c r="L306" i="2"/>
  <c r="E306" i="2"/>
  <c r="D306" i="2"/>
  <c r="C306" i="2"/>
  <c r="L305" i="2"/>
  <c r="E305" i="2"/>
  <c r="D305" i="2"/>
  <c r="C305" i="2"/>
  <c r="L304" i="2"/>
  <c r="E304" i="2"/>
  <c r="D304" i="2"/>
  <c r="C304" i="2"/>
  <c r="L303" i="2"/>
  <c r="E303" i="2"/>
  <c r="D303" i="2"/>
  <c r="C303" i="2"/>
  <c r="L302" i="2"/>
  <c r="E302" i="2"/>
  <c r="D302" i="2"/>
  <c r="C302" i="2"/>
  <c r="L301" i="2"/>
  <c r="E301" i="2"/>
  <c r="D301" i="2"/>
  <c r="C301" i="2"/>
  <c r="L300" i="2"/>
  <c r="E300" i="2"/>
  <c r="D300" i="2"/>
  <c r="C300" i="2"/>
  <c r="L299" i="2"/>
  <c r="E299" i="2"/>
  <c r="D299" i="2"/>
  <c r="C299" i="2"/>
  <c r="L298" i="2"/>
  <c r="E298" i="2"/>
  <c r="D298" i="2"/>
  <c r="C298" i="2"/>
  <c r="L297" i="2"/>
  <c r="E297" i="2"/>
  <c r="D297" i="2"/>
  <c r="C297" i="2"/>
  <c r="L296" i="2"/>
  <c r="E296" i="2"/>
  <c r="D296" i="2"/>
  <c r="C296" i="2"/>
  <c r="L295" i="2"/>
  <c r="E295" i="2"/>
  <c r="D295" i="2"/>
  <c r="C295" i="2"/>
  <c r="L294" i="2"/>
  <c r="E294" i="2"/>
  <c r="D294" i="2"/>
  <c r="C294" i="2"/>
  <c r="L293" i="2"/>
  <c r="E293" i="2"/>
  <c r="D293" i="2"/>
  <c r="C293" i="2"/>
  <c r="L292" i="2"/>
  <c r="E292" i="2"/>
  <c r="D292" i="2"/>
  <c r="C292" i="2"/>
  <c r="L291" i="2"/>
  <c r="E291" i="2"/>
  <c r="D291" i="2"/>
  <c r="C291" i="2"/>
  <c r="L290" i="2"/>
  <c r="E290" i="2"/>
  <c r="D290" i="2"/>
  <c r="C290" i="2"/>
  <c r="L289" i="2"/>
  <c r="E289" i="2"/>
  <c r="D289" i="2"/>
  <c r="C289" i="2"/>
  <c r="L288" i="2"/>
  <c r="E288" i="2"/>
  <c r="D288" i="2"/>
  <c r="C288" i="2"/>
  <c r="L287" i="2"/>
  <c r="E287" i="2"/>
  <c r="D287" i="2"/>
  <c r="C287" i="2"/>
  <c r="L286" i="2"/>
  <c r="E286" i="2"/>
  <c r="D286" i="2"/>
  <c r="C286" i="2"/>
  <c r="L285" i="2"/>
  <c r="E285" i="2"/>
  <c r="D285" i="2"/>
  <c r="C285" i="2"/>
  <c r="L284" i="2"/>
  <c r="E284" i="2"/>
  <c r="D284" i="2"/>
  <c r="C284" i="2"/>
  <c r="L283" i="2"/>
  <c r="E283" i="2"/>
  <c r="D283" i="2"/>
  <c r="C283" i="2"/>
  <c r="L282" i="2"/>
  <c r="E282" i="2"/>
  <c r="D282" i="2"/>
  <c r="C282" i="2"/>
  <c r="L281" i="2"/>
  <c r="E281" i="2"/>
  <c r="D281" i="2"/>
  <c r="C281" i="2"/>
  <c r="L280" i="2"/>
  <c r="E280" i="2"/>
  <c r="D280" i="2"/>
  <c r="C280" i="2"/>
  <c r="L279" i="2"/>
  <c r="E279" i="2"/>
  <c r="D279" i="2"/>
  <c r="C279" i="2"/>
  <c r="L278" i="2"/>
  <c r="E278" i="2"/>
  <c r="D278" i="2"/>
  <c r="C278" i="2"/>
  <c r="L277" i="2"/>
  <c r="E277" i="2"/>
  <c r="D277" i="2"/>
  <c r="C277" i="2"/>
  <c r="L276" i="2"/>
  <c r="E276" i="2"/>
  <c r="D276" i="2"/>
  <c r="C276" i="2"/>
  <c r="L275" i="2"/>
  <c r="E275" i="2"/>
  <c r="D275" i="2"/>
  <c r="C275" i="2"/>
  <c r="L274" i="2"/>
  <c r="E274" i="2"/>
  <c r="D274" i="2"/>
  <c r="C274" i="2"/>
  <c r="L273" i="2"/>
  <c r="E273" i="2"/>
  <c r="D273" i="2"/>
  <c r="C273" i="2"/>
  <c r="L272" i="2"/>
  <c r="E272" i="2"/>
  <c r="D272" i="2"/>
  <c r="C272" i="2"/>
  <c r="L271" i="2"/>
  <c r="E271" i="2"/>
  <c r="D271" i="2"/>
  <c r="C271" i="2"/>
  <c r="L270" i="2"/>
  <c r="E270" i="2"/>
  <c r="D270" i="2"/>
  <c r="C270" i="2"/>
  <c r="L269" i="2"/>
  <c r="E269" i="2"/>
  <c r="D269" i="2"/>
  <c r="C269" i="2"/>
  <c r="L268" i="2"/>
  <c r="E268" i="2"/>
  <c r="D268" i="2"/>
  <c r="C268" i="2"/>
  <c r="L267" i="2"/>
  <c r="E267" i="2"/>
  <c r="D267" i="2"/>
  <c r="C267" i="2"/>
  <c r="L266" i="2"/>
  <c r="E266" i="2"/>
  <c r="D266" i="2"/>
  <c r="C266" i="2"/>
  <c r="L265" i="2"/>
  <c r="E265" i="2"/>
  <c r="D265" i="2"/>
  <c r="C265" i="2"/>
  <c r="L264" i="2"/>
  <c r="E264" i="2"/>
  <c r="D264" i="2"/>
  <c r="C264" i="2"/>
  <c r="L263" i="2"/>
  <c r="E263" i="2"/>
  <c r="D263" i="2"/>
  <c r="C263" i="2"/>
  <c r="L262" i="2"/>
  <c r="E262" i="2"/>
  <c r="D262" i="2"/>
  <c r="C262" i="2"/>
  <c r="L261" i="2"/>
  <c r="E261" i="2"/>
  <c r="D261" i="2"/>
  <c r="C261" i="2"/>
  <c r="L260" i="2"/>
  <c r="E260" i="2"/>
  <c r="D260" i="2"/>
  <c r="C260" i="2"/>
  <c r="L259" i="2"/>
  <c r="E259" i="2"/>
  <c r="D259" i="2"/>
  <c r="C259" i="2"/>
  <c r="L258" i="2"/>
  <c r="E258" i="2"/>
  <c r="D258" i="2"/>
  <c r="C258" i="2"/>
  <c r="L257" i="2"/>
  <c r="E257" i="2"/>
  <c r="D257" i="2"/>
  <c r="C257" i="2"/>
  <c r="L256" i="2"/>
  <c r="E256" i="2"/>
  <c r="D256" i="2"/>
  <c r="C256" i="2"/>
  <c r="L255" i="2"/>
  <c r="E255" i="2"/>
  <c r="D255" i="2"/>
  <c r="C255" i="2"/>
  <c r="L254" i="2"/>
  <c r="E254" i="2"/>
  <c r="D254" i="2"/>
  <c r="C254" i="2"/>
  <c r="L253" i="2"/>
  <c r="E253" i="2"/>
  <c r="D253" i="2"/>
  <c r="C253" i="2"/>
  <c r="L252" i="2"/>
  <c r="E252" i="2"/>
  <c r="D252" i="2"/>
  <c r="C252" i="2"/>
  <c r="L251" i="2"/>
  <c r="G251" i="2"/>
  <c r="F251" i="2"/>
  <c r="E251" i="2"/>
  <c r="D251" i="2"/>
  <c r="C251" i="2"/>
  <c r="L250" i="2"/>
  <c r="E250" i="2"/>
  <c r="D250" i="2"/>
  <c r="C250" i="2"/>
  <c r="L249" i="2"/>
  <c r="E249" i="2"/>
  <c r="D249" i="2"/>
  <c r="C249" i="2"/>
  <c r="L248" i="2"/>
  <c r="E248" i="2"/>
  <c r="D248" i="2"/>
  <c r="C248" i="2"/>
  <c r="L247" i="2"/>
  <c r="E247" i="2"/>
  <c r="D247" i="2"/>
  <c r="C247" i="2"/>
  <c r="L246" i="2"/>
  <c r="E246" i="2"/>
  <c r="D246" i="2"/>
  <c r="C246" i="2"/>
  <c r="L245" i="2"/>
  <c r="E245" i="2"/>
  <c r="D245" i="2"/>
  <c r="C245" i="2"/>
  <c r="L244" i="2"/>
  <c r="E244" i="2"/>
  <c r="D244" i="2"/>
  <c r="C244" i="2"/>
  <c r="L243" i="2"/>
  <c r="E243" i="2"/>
  <c r="D243" i="2"/>
  <c r="C243" i="2"/>
  <c r="L242" i="2"/>
  <c r="E242" i="2"/>
  <c r="D242" i="2"/>
  <c r="C242" i="2"/>
  <c r="L241" i="2"/>
  <c r="E241" i="2"/>
  <c r="D241" i="2"/>
  <c r="C241" i="2"/>
  <c r="L240" i="2"/>
  <c r="E240" i="2"/>
  <c r="D240" i="2"/>
  <c r="C240" i="2"/>
  <c r="L239" i="2"/>
  <c r="E239" i="2"/>
  <c r="D239" i="2"/>
  <c r="C239" i="2"/>
  <c r="L238" i="2"/>
  <c r="E238" i="2"/>
  <c r="D238" i="2"/>
  <c r="C238" i="2"/>
  <c r="L237" i="2"/>
  <c r="E237" i="2"/>
  <c r="D237" i="2"/>
  <c r="C237" i="2"/>
  <c r="L236" i="2"/>
  <c r="E236" i="2"/>
  <c r="D236" i="2"/>
  <c r="C236" i="2"/>
  <c r="L235" i="2"/>
  <c r="E235" i="2"/>
  <c r="D235" i="2"/>
  <c r="C235" i="2"/>
  <c r="L234" i="2"/>
  <c r="E234" i="2"/>
  <c r="D234" i="2"/>
  <c r="C234" i="2"/>
  <c r="L233" i="2"/>
  <c r="E233" i="2"/>
  <c r="D233" i="2"/>
  <c r="C233" i="2"/>
  <c r="L232" i="2"/>
  <c r="E232" i="2"/>
  <c r="D232" i="2"/>
  <c r="C232" i="2"/>
  <c r="L231" i="2"/>
  <c r="E231" i="2"/>
  <c r="D231" i="2"/>
  <c r="C231" i="2"/>
  <c r="L230" i="2"/>
  <c r="E230" i="2"/>
  <c r="D230" i="2"/>
  <c r="C230" i="2"/>
  <c r="L229" i="2"/>
  <c r="E229" i="2"/>
  <c r="D229" i="2"/>
  <c r="C229" i="2"/>
  <c r="L228" i="2"/>
  <c r="E228" i="2"/>
  <c r="D228" i="2"/>
  <c r="C228" i="2"/>
  <c r="L227" i="2"/>
  <c r="E227" i="2"/>
  <c r="D227" i="2"/>
  <c r="C227" i="2"/>
  <c r="L226" i="2"/>
  <c r="E226" i="2"/>
  <c r="D226" i="2"/>
  <c r="C226" i="2"/>
  <c r="L225" i="2"/>
  <c r="E225" i="2"/>
  <c r="D225" i="2"/>
  <c r="C225" i="2"/>
  <c r="L224" i="2"/>
  <c r="E224" i="2"/>
  <c r="D224" i="2"/>
  <c r="C224" i="2"/>
  <c r="L223" i="2"/>
  <c r="E223" i="2"/>
  <c r="D223" i="2"/>
  <c r="C223" i="2"/>
  <c r="L222" i="2"/>
  <c r="E222" i="2"/>
  <c r="D222" i="2"/>
  <c r="C222" i="2"/>
  <c r="L221" i="2"/>
  <c r="E221" i="2"/>
  <c r="D221" i="2"/>
  <c r="C221" i="2"/>
  <c r="L220" i="2"/>
  <c r="E220" i="2"/>
  <c r="D220" i="2"/>
  <c r="C220" i="2"/>
  <c r="L219" i="2"/>
  <c r="E219" i="2"/>
  <c r="D219" i="2"/>
  <c r="C219" i="2"/>
  <c r="L218" i="2"/>
  <c r="E218" i="2"/>
  <c r="D218" i="2"/>
  <c r="C218" i="2"/>
  <c r="L217" i="2"/>
  <c r="E217" i="2"/>
  <c r="D217" i="2"/>
  <c r="C217" i="2"/>
  <c r="L216" i="2"/>
  <c r="E216" i="2"/>
  <c r="D216" i="2"/>
  <c r="C216" i="2"/>
  <c r="L215" i="2"/>
  <c r="E215" i="2"/>
  <c r="D215" i="2"/>
  <c r="C215" i="2"/>
  <c r="L214" i="2"/>
  <c r="E214" i="2"/>
  <c r="D214" i="2"/>
  <c r="C214" i="2"/>
  <c r="L213" i="2"/>
  <c r="E213" i="2"/>
  <c r="D213" i="2"/>
  <c r="C213" i="2"/>
  <c r="L212" i="2"/>
  <c r="E212" i="2"/>
  <c r="D212" i="2"/>
  <c r="C212" i="2"/>
  <c r="L211" i="2"/>
  <c r="E211" i="2"/>
  <c r="D211" i="2"/>
  <c r="C211" i="2"/>
  <c r="L210" i="2"/>
  <c r="E210" i="2"/>
  <c r="D210" i="2"/>
  <c r="C210" i="2"/>
  <c r="L209" i="2"/>
  <c r="E209" i="2"/>
  <c r="D209" i="2"/>
  <c r="C209" i="2"/>
  <c r="L208" i="2"/>
  <c r="E208" i="2"/>
  <c r="D208" i="2"/>
  <c r="C208" i="2"/>
  <c r="L207" i="2"/>
  <c r="E207" i="2"/>
  <c r="D207" i="2"/>
  <c r="C207" i="2"/>
  <c r="L206" i="2"/>
  <c r="E206" i="2"/>
  <c r="D206" i="2"/>
  <c r="C206" i="2"/>
  <c r="L205" i="2"/>
  <c r="E205" i="2"/>
  <c r="D205" i="2"/>
  <c r="C205" i="2"/>
  <c r="L204" i="2"/>
  <c r="E204" i="2"/>
  <c r="D204" i="2"/>
  <c r="C204" i="2"/>
  <c r="L203" i="2"/>
  <c r="E203" i="2"/>
  <c r="D203" i="2"/>
  <c r="C203" i="2"/>
  <c r="L202" i="2"/>
  <c r="E202" i="2"/>
  <c r="D202" i="2"/>
  <c r="C202" i="2"/>
  <c r="L201" i="2"/>
  <c r="E201" i="2"/>
  <c r="D201" i="2"/>
  <c r="C201" i="2"/>
  <c r="L200" i="2"/>
  <c r="E200" i="2"/>
  <c r="D200" i="2"/>
  <c r="C200" i="2"/>
  <c r="L199" i="2"/>
  <c r="E199" i="2"/>
  <c r="D199" i="2"/>
  <c r="C199" i="2"/>
  <c r="L198" i="2"/>
  <c r="E198" i="2"/>
  <c r="D198" i="2"/>
  <c r="C198" i="2"/>
  <c r="L197" i="2"/>
  <c r="E197" i="2"/>
  <c r="D197" i="2"/>
  <c r="C197" i="2"/>
  <c r="L196" i="2"/>
  <c r="E196" i="2"/>
  <c r="D196" i="2"/>
  <c r="C196" i="2"/>
  <c r="L195" i="2"/>
  <c r="E195" i="2"/>
  <c r="D195" i="2"/>
  <c r="C195" i="2"/>
  <c r="L194" i="2"/>
  <c r="E194" i="2"/>
  <c r="D194" i="2"/>
  <c r="C194" i="2"/>
  <c r="L193" i="2"/>
  <c r="E193" i="2"/>
  <c r="D193" i="2"/>
  <c r="C193" i="2"/>
  <c r="L192" i="2"/>
  <c r="E192" i="2"/>
  <c r="D192" i="2"/>
  <c r="C192" i="2"/>
  <c r="L191" i="2"/>
  <c r="E191" i="2"/>
  <c r="D191" i="2"/>
  <c r="C191" i="2"/>
  <c r="L190" i="2"/>
  <c r="E190" i="2"/>
  <c r="D190" i="2"/>
  <c r="C190" i="2"/>
  <c r="L189" i="2"/>
  <c r="E189" i="2"/>
  <c r="D189" i="2"/>
  <c r="C189" i="2"/>
  <c r="L188" i="2"/>
  <c r="E188" i="2"/>
  <c r="D188" i="2"/>
  <c r="C188" i="2"/>
  <c r="L187" i="2"/>
  <c r="E187" i="2"/>
  <c r="D187" i="2"/>
  <c r="C187" i="2"/>
  <c r="L186" i="2"/>
  <c r="E186" i="2"/>
  <c r="D186" i="2"/>
  <c r="C186" i="2"/>
  <c r="L185" i="2"/>
  <c r="E185" i="2"/>
  <c r="D185" i="2"/>
  <c r="C185" i="2"/>
  <c r="L184" i="2"/>
  <c r="E184" i="2"/>
  <c r="D184" i="2"/>
  <c r="C184" i="2"/>
  <c r="L183" i="2"/>
  <c r="E183" i="2"/>
  <c r="D183" i="2"/>
  <c r="C183" i="2"/>
  <c r="L182" i="2"/>
  <c r="E182" i="2"/>
  <c r="D182" i="2"/>
  <c r="C182" i="2"/>
  <c r="L181" i="2"/>
  <c r="E181" i="2"/>
  <c r="D181" i="2"/>
  <c r="C181" i="2"/>
  <c r="L180" i="2"/>
  <c r="E180" i="2"/>
  <c r="D180" i="2"/>
  <c r="C180" i="2"/>
  <c r="L179" i="2"/>
  <c r="E179" i="2"/>
  <c r="D179" i="2"/>
  <c r="C179" i="2"/>
  <c r="L178" i="2"/>
  <c r="E178" i="2"/>
  <c r="D178" i="2"/>
  <c r="C178" i="2"/>
  <c r="L177" i="2"/>
  <c r="E177" i="2"/>
  <c r="D177" i="2"/>
  <c r="C177" i="2"/>
  <c r="L176" i="2"/>
  <c r="E176" i="2"/>
  <c r="D176" i="2"/>
  <c r="C176" i="2"/>
  <c r="L175" i="2"/>
  <c r="E175" i="2"/>
  <c r="D175" i="2"/>
  <c r="C175" i="2"/>
  <c r="L174" i="2"/>
  <c r="E174" i="2"/>
  <c r="D174" i="2"/>
  <c r="C174" i="2"/>
  <c r="L173" i="2"/>
  <c r="E173" i="2"/>
  <c r="D173" i="2"/>
  <c r="C173" i="2"/>
  <c r="L172" i="2"/>
  <c r="E172" i="2"/>
  <c r="D172" i="2"/>
  <c r="C172" i="2"/>
  <c r="L171" i="2"/>
  <c r="E171" i="2"/>
  <c r="D171" i="2"/>
  <c r="C171" i="2"/>
  <c r="L170" i="2"/>
  <c r="E170" i="2"/>
  <c r="D170" i="2"/>
  <c r="C170" i="2"/>
  <c r="L169" i="2"/>
  <c r="E169" i="2"/>
  <c r="D169" i="2"/>
  <c r="C169" i="2"/>
  <c r="L168" i="2"/>
  <c r="E168" i="2"/>
  <c r="D168" i="2"/>
  <c r="C168" i="2"/>
  <c r="L167" i="2"/>
  <c r="E167" i="2"/>
  <c r="D167" i="2"/>
  <c r="C167" i="2"/>
  <c r="L166" i="2"/>
  <c r="E166" i="2"/>
  <c r="D166" i="2"/>
  <c r="C166" i="2"/>
  <c r="L165" i="2"/>
  <c r="E165" i="2"/>
  <c r="D165" i="2"/>
  <c r="C165" i="2"/>
  <c r="L164" i="2"/>
  <c r="E164" i="2"/>
  <c r="D164" i="2"/>
  <c r="C164" i="2"/>
  <c r="L163" i="2"/>
  <c r="E163" i="2"/>
  <c r="D163" i="2"/>
  <c r="C163" i="2"/>
  <c r="L162" i="2"/>
  <c r="E162" i="2"/>
  <c r="D162" i="2"/>
  <c r="C162" i="2"/>
  <c r="L161" i="2"/>
  <c r="E161" i="2"/>
  <c r="D161" i="2"/>
  <c r="C161" i="2"/>
  <c r="L160" i="2"/>
  <c r="E160" i="2"/>
  <c r="D160" i="2"/>
  <c r="C160" i="2"/>
  <c r="L159" i="2"/>
  <c r="E159" i="2"/>
  <c r="D159" i="2"/>
  <c r="C159" i="2"/>
  <c r="L158" i="2"/>
  <c r="E158" i="2"/>
  <c r="D158" i="2"/>
  <c r="C158" i="2"/>
  <c r="L157" i="2"/>
  <c r="E157" i="2"/>
  <c r="D157" i="2"/>
  <c r="C157" i="2"/>
  <c r="L156" i="2"/>
  <c r="E156" i="2"/>
  <c r="D156" i="2"/>
  <c r="C156" i="2"/>
  <c r="L155" i="2"/>
  <c r="E155" i="2"/>
  <c r="D155" i="2"/>
  <c r="C155" i="2"/>
  <c r="L154" i="2"/>
  <c r="E154" i="2"/>
  <c r="D154" i="2"/>
  <c r="C154" i="2"/>
  <c r="L153" i="2"/>
  <c r="E153" i="2"/>
  <c r="D153" i="2"/>
  <c r="C153" i="2"/>
  <c r="L152" i="2"/>
  <c r="E152" i="2"/>
  <c r="D152" i="2"/>
  <c r="C152" i="2"/>
  <c r="L151" i="2"/>
  <c r="E151" i="2"/>
  <c r="D151" i="2"/>
  <c r="C151" i="2"/>
  <c r="L150" i="2"/>
  <c r="E150" i="2"/>
  <c r="D150" i="2"/>
  <c r="C150" i="2"/>
  <c r="L149" i="2"/>
  <c r="E149" i="2"/>
  <c r="D149" i="2"/>
  <c r="C149" i="2"/>
  <c r="L148" i="2"/>
  <c r="E148" i="2"/>
  <c r="D148" i="2"/>
  <c r="C148" i="2"/>
  <c r="L147" i="2"/>
  <c r="E147" i="2"/>
  <c r="D147" i="2"/>
  <c r="C147" i="2"/>
  <c r="L146" i="2"/>
  <c r="E146" i="2"/>
  <c r="D146" i="2"/>
  <c r="C146" i="2"/>
  <c r="L145" i="2"/>
  <c r="E145" i="2"/>
  <c r="D145" i="2"/>
  <c r="C145" i="2"/>
  <c r="L144" i="2"/>
  <c r="E144" i="2"/>
  <c r="D144" i="2"/>
  <c r="C144" i="2"/>
  <c r="L143" i="2"/>
  <c r="E143" i="2"/>
  <c r="D143" i="2"/>
  <c r="C143" i="2"/>
  <c r="L142" i="2"/>
  <c r="E142" i="2"/>
  <c r="D142" i="2"/>
  <c r="C142" i="2"/>
  <c r="L141" i="2"/>
  <c r="E141" i="2"/>
  <c r="D141" i="2"/>
  <c r="C141" i="2"/>
  <c r="L140" i="2"/>
  <c r="E140" i="2"/>
  <c r="D140" i="2"/>
  <c r="C140" i="2"/>
  <c r="L139" i="2"/>
  <c r="E139" i="2"/>
  <c r="D139" i="2"/>
  <c r="C139" i="2"/>
  <c r="L138" i="2"/>
  <c r="E138" i="2"/>
  <c r="D138" i="2"/>
  <c r="C138" i="2"/>
  <c r="L137" i="2"/>
  <c r="E137" i="2"/>
  <c r="D137" i="2"/>
  <c r="C137" i="2"/>
  <c r="L136" i="2"/>
  <c r="E136" i="2"/>
  <c r="D136" i="2"/>
  <c r="C136" i="2"/>
  <c r="L135" i="2"/>
  <c r="E135" i="2"/>
  <c r="D135" i="2"/>
  <c r="C135" i="2"/>
  <c r="L134" i="2"/>
  <c r="E134" i="2"/>
  <c r="D134" i="2"/>
  <c r="C134" i="2"/>
  <c r="L133" i="2"/>
  <c r="E133" i="2"/>
  <c r="D133" i="2"/>
  <c r="C133" i="2"/>
  <c r="L132" i="2"/>
  <c r="E132" i="2"/>
  <c r="D132" i="2"/>
  <c r="C132" i="2"/>
  <c r="L131" i="2"/>
  <c r="E131" i="2"/>
  <c r="D131" i="2"/>
  <c r="C131" i="2"/>
  <c r="L130" i="2"/>
  <c r="E130" i="2"/>
  <c r="D130" i="2"/>
  <c r="C130" i="2"/>
  <c r="V71" i="3" l="1"/>
  <c r="V72" i="3"/>
  <c r="G84" i="3"/>
  <c r="Q27" i="3" s="1"/>
  <c r="G111" i="3"/>
  <c r="N25" i="3" s="1"/>
  <c r="G138" i="3"/>
  <c r="K23" i="3" s="1"/>
  <c r="G170" i="3"/>
  <c r="O20" i="3" s="1"/>
  <c r="G190" i="3"/>
  <c r="S18" i="3" s="1"/>
  <c r="G220" i="3"/>
  <c r="M16" i="3" s="1"/>
  <c r="G252" i="3"/>
  <c r="Q13" i="3" s="1"/>
  <c r="G284" i="3"/>
  <c r="U10" i="3" s="1"/>
  <c r="G316" i="3"/>
  <c r="M8" i="3" s="1"/>
  <c r="G85" i="3"/>
  <c r="P27" i="3" s="1"/>
  <c r="G112" i="3"/>
  <c r="M25" i="3" s="1"/>
  <c r="G139" i="3"/>
  <c r="J23" i="3" s="1"/>
  <c r="G171" i="3"/>
  <c r="N20" i="3" s="1"/>
  <c r="G191" i="3"/>
  <c r="R18" i="3" s="1"/>
  <c r="G221" i="3"/>
  <c r="L16" i="3" s="1"/>
  <c r="G253" i="3"/>
  <c r="P13" i="3" s="1"/>
  <c r="G285" i="3"/>
  <c r="T10" i="3" s="1"/>
  <c r="G317" i="3"/>
  <c r="L8" i="3" s="1"/>
  <c r="G113" i="3"/>
  <c r="L25" i="3" s="1"/>
  <c r="G140" i="3"/>
  <c r="U22" i="3" s="1"/>
  <c r="G172" i="3"/>
  <c r="M20" i="3" s="1"/>
  <c r="G192" i="3"/>
  <c r="Q18" i="3" s="1"/>
  <c r="G222" i="3"/>
  <c r="K16" i="3" s="1"/>
  <c r="G254" i="3"/>
  <c r="O13" i="3" s="1"/>
  <c r="G286" i="3"/>
  <c r="S10" i="3" s="1"/>
  <c r="G318" i="3"/>
  <c r="K8" i="3" s="1"/>
  <c r="G86" i="3"/>
  <c r="O27" i="3" s="1"/>
  <c r="G114" i="3"/>
  <c r="K25" i="3" s="1"/>
  <c r="G141" i="3"/>
  <c r="T22" i="3" s="1"/>
  <c r="G193" i="3"/>
  <c r="P18" i="3" s="1"/>
  <c r="G223" i="3"/>
  <c r="J16" i="3" s="1"/>
  <c r="G255" i="3"/>
  <c r="N13" i="3" s="1"/>
  <c r="G287" i="3"/>
  <c r="R10" i="3" s="1"/>
  <c r="G319" i="3"/>
  <c r="J8" i="3" s="1"/>
  <c r="G115" i="3"/>
  <c r="J25" i="3" s="1"/>
  <c r="G142" i="3"/>
  <c r="S22" i="3" s="1"/>
  <c r="G194" i="3"/>
  <c r="O18" i="3" s="1"/>
  <c r="G224" i="3"/>
  <c r="U15" i="3" s="1"/>
  <c r="G256" i="3"/>
  <c r="M13" i="3" s="1"/>
  <c r="G288" i="3"/>
  <c r="Q10" i="3" s="1"/>
  <c r="G320" i="3"/>
  <c r="U7" i="3" s="1"/>
  <c r="G87" i="3"/>
  <c r="N27" i="3" s="1"/>
  <c r="G116" i="3"/>
  <c r="U24" i="3" s="1"/>
  <c r="G143" i="3"/>
  <c r="R22" i="3" s="1"/>
  <c r="G195" i="3"/>
  <c r="N18" i="3" s="1"/>
  <c r="G225" i="3"/>
  <c r="T15" i="3" s="1"/>
  <c r="G257" i="3"/>
  <c r="L13" i="3" s="1"/>
  <c r="G289" i="3"/>
  <c r="P10" i="3" s="1"/>
  <c r="G321" i="3"/>
  <c r="T7" i="3" s="1"/>
  <c r="G117" i="3"/>
  <c r="T24" i="3" s="1"/>
  <c r="G144" i="3"/>
  <c r="Q22" i="3" s="1"/>
  <c r="G196" i="3"/>
  <c r="M18" i="3" s="1"/>
  <c r="G226" i="3"/>
  <c r="S15" i="3" s="1"/>
  <c r="G258" i="3"/>
  <c r="K13" i="3" s="1"/>
  <c r="G290" i="3"/>
  <c r="O10" i="3" s="1"/>
  <c r="G322" i="3"/>
  <c r="S7" i="3" s="1"/>
  <c r="G88" i="3"/>
  <c r="M27" i="3" s="1"/>
  <c r="G118" i="3"/>
  <c r="S24" i="3" s="1"/>
  <c r="G145" i="3"/>
  <c r="P22" i="3" s="1"/>
  <c r="G197" i="3"/>
  <c r="L18" i="3" s="1"/>
  <c r="G227" i="3"/>
  <c r="R15" i="3" s="1"/>
  <c r="G259" i="3"/>
  <c r="J13" i="3" s="1"/>
  <c r="G291" i="3"/>
  <c r="N10" i="3" s="1"/>
  <c r="G323" i="3"/>
  <c r="R7" i="3" s="1"/>
  <c r="G89" i="3"/>
  <c r="L27" i="3" s="1"/>
  <c r="G119" i="3"/>
  <c r="R24" i="3" s="1"/>
  <c r="G146" i="3"/>
  <c r="O22" i="3" s="1"/>
  <c r="G198" i="3"/>
  <c r="K18" i="3" s="1"/>
  <c r="G228" i="3"/>
  <c r="Q15" i="3" s="1"/>
  <c r="G260" i="3"/>
  <c r="U12" i="3" s="1"/>
  <c r="G292" i="3"/>
  <c r="M10" i="3" s="1"/>
  <c r="G324" i="3"/>
  <c r="Q7" i="3" s="1"/>
  <c r="G147" i="3"/>
  <c r="N22" i="3" s="1"/>
  <c r="G229" i="3"/>
  <c r="P15" i="3" s="1"/>
  <c r="G261" i="3"/>
  <c r="T12" i="3" s="1"/>
  <c r="G293" i="3"/>
  <c r="L10" i="3" s="1"/>
  <c r="G325" i="3"/>
  <c r="P7" i="3" s="1"/>
  <c r="G90" i="3"/>
  <c r="K27" i="3" s="1"/>
  <c r="G120" i="3"/>
  <c r="Q24" i="3" s="1"/>
  <c r="G148" i="3"/>
  <c r="M22" i="3" s="1"/>
  <c r="G230" i="3"/>
  <c r="O15" i="3" s="1"/>
  <c r="G262" i="3"/>
  <c r="S12" i="3" s="1"/>
  <c r="G294" i="3"/>
  <c r="K10" i="3" s="1"/>
  <c r="G326" i="3"/>
  <c r="O7" i="3" s="1"/>
  <c r="G63" i="3"/>
  <c r="N29" i="3" s="1"/>
  <c r="G91" i="3"/>
  <c r="J27" i="3" s="1"/>
  <c r="G149" i="3"/>
  <c r="L22" i="3" s="1"/>
  <c r="G231" i="3"/>
  <c r="N15" i="3" s="1"/>
  <c r="G263" i="3"/>
  <c r="R12" i="3" s="1"/>
  <c r="G295" i="3"/>
  <c r="J10" i="3" s="1"/>
  <c r="G327" i="3"/>
  <c r="N7" i="3" s="1"/>
  <c r="G64" i="3"/>
  <c r="M29" i="3" s="1"/>
  <c r="G92" i="3"/>
  <c r="U26" i="3" s="1"/>
  <c r="G121" i="3"/>
  <c r="P24" i="3" s="1"/>
  <c r="G150" i="3"/>
  <c r="K22" i="3" s="1"/>
  <c r="G232" i="3"/>
  <c r="M15" i="3" s="1"/>
  <c r="G264" i="3"/>
  <c r="Q12" i="3" s="1"/>
  <c r="G296" i="3"/>
  <c r="U9" i="3" s="1"/>
  <c r="G328" i="3"/>
  <c r="M7" i="3" s="1"/>
  <c r="G65" i="3"/>
  <c r="L29" i="3" s="1"/>
  <c r="G151" i="3"/>
  <c r="J22" i="3" s="1"/>
  <c r="G201" i="3"/>
  <c r="T17" i="3" s="1"/>
  <c r="G233" i="3"/>
  <c r="L15" i="3" s="1"/>
  <c r="G265" i="3"/>
  <c r="P12" i="3" s="1"/>
  <c r="G297" i="3"/>
  <c r="T9" i="3" s="1"/>
  <c r="G329" i="3"/>
  <c r="L7" i="3" s="1"/>
  <c r="G66" i="3"/>
  <c r="K29" i="3" s="1"/>
  <c r="G93" i="3"/>
  <c r="T26" i="3" s="1"/>
  <c r="G122" i="3"/>
  <c r="O24" i="3" s="1"/>
  <c r="G152" i="3"/>
  <c r="U21" i="3" s="1"/>
  <c r="G202" i="3"/>
  <c r="S17" i="3" s="1"/>
  <c r="G234" i="3"/>
  <c r="K15" i="3" s="1"/>
  <c r="G266" i="3"/>
  <c r="O12" i="3" s="1"/>
  <c r="G298" i="3"/>
  <c r="S9" i="3" s="1"/>
  <c r="G330" i="3"/>
  <c r="K7" i="3" s="1"/>
  <c r="G67" i="3"/>
  <c r="J29" i="3" s="1"/>
  <c r="G94" i="3"/>
  <c r="S26" i="3" s="1"/>
  <c r="G123" i="3"/>
  <c r="N24" i="3" s="1"/>
  <c r="G153" i="3"/>
  <c r="T21" i="3" s="1"/>
  <c r="G203" i="3"/>
  <c r="R17" i="3" s="1"/>
  <c r="G235" i="3"/>
  <c r="J15" i="3" s="1"/>
  <c r="G267" i="3"/>
  <c r="N12" i="3" s="1"/>
  <c r="G299" i="3"/>
  <c r="R9" i="3" s="1"/>
  <c r="G331" i="3"/>
  <c r="J7" i="3" s="1"/>
  <c r="G68" i="3"/>
  <c r="U28" i="3" s="1"/>
  <c r="G95" i="3"/>
  <c r="R26" i="3" s="1"/>
  <c r="G154" i="3"/>
  <c r="S21" i="3" s="1"/>
  <c r="G204" i="3"/>
  <c r="Q17" i="3" s="1"/>
  <c r="G236" i="3"/>
  <c r="U14" i="3" s="1"/>
  <c r="G268" i="3"/>
  <c r="M12" i="3" s="1"/>
  <c r="G300" i="3"/>
  <c r="Q9" i="3" s="1"/>
  <c r="G332" i="3"/>
  <c r="U6" i="3" s="1"/>
  <c r="G69" i="3"/>
  <c r="T28" i="3" s="1"/>
  <c r="G96" i="3"/>
  <c r="Q26" i="3" s="1"/>
  <c r="G124" i="3"/>
  <c r="M24" i="3" s="1"/>
  <c r="G155" i="3"/>
  <c r="R21" i="3" s="1"/>
  <c r="G205" i="3"/>
  <c r="P17" i="3" s="1"/>
  <c r="G237" i="3"/>
  <c r="T14" i="3" s="1"/>
  <c r="G269" i="3"/>
  <c r="L12" i="3" s="1"/>
  <c r="G301" i="3"/>
  <c r="P9" i="3" s="1"/>
  <c r="G333" i="3"/>
  <c r="T6" i="3" s="1"/>
  <c r="G70" i="3"/>
  <c r="S28" i="3" s="1"/>
  <c r="G97" i="3"/>
  <c r="P26" i="3" s="1"/>
  <c r="G125" i="3"/>
  <c r="L24" i="3" s="1"/>
  <c r="G156" i="3"/>
  <c r="Q21" i="3" s="1"/>
  <c r="G206" i="3"/>
  <c r="O17" i="3" s="1"/>
  <c r="G238" i="3"/>
  <c r="S14" i="3" s="1"/>
  <c r="G270" i="3"/>
  <c r="K12" i="3" s="1"/>
  <c r="G302" i="3"/>
  <c r="O9" i="3" s="1"/>
  <c r="G334" i="3"/>
  <c r="S6" i="3" s="1"/>
  <c r="G71" i="3"/>
  <c r="R28" i="3" s="1"/>
  <c r="G98" i="3"/>
  <c r="O26" i="3" s="1"/>
  <c r="G157" i="3"/>
  <c r="P21" i="3" s="1"/>
  <c r="G207" i="3"/>
  <c r="N17" i="3" s="1"/>
  <c r="G239" i="3"/>
  <c r="R14" i="3" s="1"/>
  <c r="G271" i="3"/>
  <c r="J12" i="3" s="1"/>
  <c r="G303" i="3"/>
  <c r="N9" i="3" s="1"/>
  <c r="G335" i="3"/>
  <c r="R6" i="3" s="1"/>
  <c r="G72" i="3"/>
  <c r="Q28" i="3" s="1"/>
  <c r="G99" i="3"/>
  <c r="N26" i="3" s="1"/>
  <c r="G158" i="3"/>
  <c r="O21" i="3" s="1"/>
  <c r="G208" i="3"/>
  <c r="M17" i="3" s="1"/>
  <c r="G240" i="3"/>
  <c r="Q14" i="3" s="1"/>
  <c r="G272" i="3"/>
  <c r="U11" i="3" s="1"/>
  <c r="G304" i="3"/>
  <c r="M9" i="3" s="1"/>
  <c r="G336" i="3"/>
  <c r="Q6" i="3" s="1"/>
  <c r="G73" i="3"/>
  <c r="P28" i="3" s="1"/>
  <c r="G100" i="3"/>
  <c r="M26" i="3" s="1"/>
  <c r="G127" i="3"/>
  <c r="J24" i="3" s="1"/>
  <c r="G209" i="3"/>
  <c r="L17" i="3" s="1"/>
  <c r="G241" i="3"/>
  <c r="P14" i="3" s="1"/>
  <c r="G273" i="3"/>
  <c r="T11" i="3" s="1"/>
  <c r="G305" i="3"/>
  <c r="L9" i="3" s="1"/>
  <c r="G337" i="3"/>
  <c r="P6" i="3" s="1"/>
  <c r="G159" i="3"/>
  <c r="N21" i="3" s="1"/>
  <c r="G74" i="3"/>
  <c r="O28" i="3" s="1"/>
  <c r="G101" i="3"/>
  <c r="L26" i="3" s="1"/>
  <c r="G128" i="3"/>
  <c r="U23" i="3" s="1"/>
  <c r="G160" i="3"/>
  <c r="M21" i="3" s="1"/>
  <c r="G210" i="3"/>
  <c r="K17" i="3" s="1"/>
  <c r="G242" i="3"/>
  <c r="O14" i="3" s="1"/>
  <c r="G274" i="3"/>
  <c r="S11" i="3" s="1"/>
  <c r="G306" i="3"/>
  <c r="K9" i="3" s="1"/>
  <c r="G338" i="3"/>
  <c r="O6" i="3" s="1"/>
  <c r="G75" i="3"/>
  <c r="N28" i="3" s="1"/>
  <c r="G102" i="3"/>
  <c r="K26" i="3" s="1"/>
  <c r="G129" i="3"/>
  <c r="T23" i="3" s="1"/>
  <c r="G161" i="3"/>
  <c r="L21" i="3" s="1"/>
  <c r="G181" i="3"/>
  <c r="P19" i="3" s="1"/>
  <c r="G211" i="3"/>
  <c r="J17" i="3" s="1"/>
  <c r="G243" i="3"/>
  <c r="N14" i="3" s="1"/>
  <c r="G275" i="3"/>
  <c r="R11" i="3" s="1"/>
  <c r="G307" i="3"/>
  <c r="J9" i="3" s="1"/>
  <c r="G339" i="3"/>
  <c r="N6" i="3" s="1"/>
  <c r="G76" i="3"/>
  <c r="M28" i="3" s="1"/>
  <c r="G130" i="3"/>
  <c r="S23" i="3" s="1"/>
  <c r="G162" i="3"/>
  <c r="K21" i="3" s="1"/>
  <c r="G182" i="3"/>
  <c r="O19" i="3" s="1"/>
  <c r="G212" i="3"/>
  <c r="U16" i="3" s="1"/>
  <c r="G244" i="3"/>
  <c r="M14" i="3" s="1"/>
  <c r="G276" i="3"/>
  <c r="Q11" i="3" s="1"/>
  <c r="G308" i="3"/>
  <c r="U8" i="3" s="1"/>
  <c r="G340" i="3"/>
  <c r="M6" i="3" s="1"/>
  <c r="G77" i="3"/>
  <c r="L28" i="3" s="1"/>
  <c r="G104" i="3"/>
  <c r="U25" i="3" s="1"/>
  <c r="G131" i="3"/>
  <c r="R23" i="3" s="1"/>
  <c r="G163" i="3"/>
  <c r="J21" i="3" s="1"/>
  <c r="G183" i="3"/>
  <c r="N19" i="3" s="1"/>
  <c r="G213" i="3"/>
  <c r="T16" i="3" s="1"/>
  <c r="G245" i="3"/>
  <c r="L14" i="3" s="1"/>
  <c r="G277" i="3"/>
  <c r="P11" i="3" s="1"/>
  <c r="G309" i="3"/>
  <c r="T8" i="3" s="1"/>
  <c r="G341" i="3"/>
  <c r="L6" i="3" s="1"/>
  <c r="G78" i="3"/>
  <c r="K28" i="3" s="1"/>
  <c r="G105" i="3"/>
  <c r="T25" i="3" s="1"/>
  <c r="G132" i="3"/>
  <c r="Q23" i="3" s="1"/>
  <c r="G164" i="3"/>
  <c r="U20" i="3" s="1"/>
  <c r="G184" i="3"/>
  <c r="M19" i="3" s="1"/>
  <c r="G214" i="3"/>
  <c r="S16" i="3" s="1"/>
  <c r="G246" i="3"/>
  <c r="K14" i="3" s="1"/>
  <c r="G278" i="3"/>
  <c r="O11" i="3" s="1"/>
  <c r="G310" i="3"/>
  <c r="S8" i="3" s="1"/>
  <c r="G342" i="3"/>
  <c r="K6" i="3" s="1"/>
  <c r="G79" i="3"/>
  <c r="J28" i="3" s="1"/>
  <c r="G106" i="3"/>
  <c r="S25" i="3" s="1"/>
  <c r="G133" i="3"/>
  <c r="P23" i="3" s="1"/>
  <c r="G165" i="3"/>
  <c r="T20" i="3" s="1"/>
  <c r="G185" i="3"/>
  <c r="L19" i="3" s="1"/>
  <c r="G215" i="3"/>
  <c r="R16" i="3" s="1"/>
  <c r="G247" i="3"/>
  <c r="J14" i="3" s="1"/>
  <c r="G279" i="3"/>
  <c r="N11" i="3" s="1"/>
  <c r="G311" i="3"/>
  <c r="R8" i="3" s="1"/>
  <c r="G343" i="3"/>
  <c r="J6" i="3" s="1"/>
  <c r="G107" i="3"/>
  <c r="R25" i="3" s="1"/>
  <c r="G134" i="3"/>
  <c r="O23" i="3" s="1"/>
  <c r="G166" i="3"/>
  <c r="S20" i="3" s="1"/>
  <c r="G186" i="3"/>
  <c r="K19" i="3" s="1"/>
  <c r="G216" i="3"/>
  <c r="Q16" i="3" s="1"/>
  <c r="G248" i="3"/>
  <c r="U13" i="3" s="1"/>
  <c r="G280" i="3"/>
  <c r="M11" i="3" s="1"/>
  <c r="G312" i="3"/>
  <c r="Q8" i="3" s="1"/>
  <c r="G81" i="3"/>
  <c r="T27" i="3" s="1"/>
  <c r="G108" i="3"/>
  <c r="Q25" i="3" s="1"/>
  <c r="G135" i="3"/>
  <c r="N23" i="3" s="1"/>
  <c r="G167" i="3"/>
  <c r="R20" i="3" s="1"/>
  <c r="G187" i="3"/>
  <c r="J19" i="3" s="1"/>
  <c r="G217" i="3"/>
  <c r="P16" i="3" s="1"/>
  <c r="G249" i="3"/>
  <c r="T13" i="3" s="1"/>
  <c r="G281" i="3"/>
  <c r="L11" i="3" s="1"/>
  <c r="G313" i="3"/>
  <c r="P8" i="3" s="1"/>
  <c r="G82" i="3"/>
  <c r="S27" i="3" s="1"/>
  <c r="G109" i="3"/>
  <c r="P25" i="3" s="1"/>
  <c r="G136" i="3"/>
  <c r="M23" i="3" s="1"/>
  <c r="G168" i="3"/>
  <c r="Q20" i="3" s="1"/>
  <c r="G188" i="3"/>
  <c r="U18" i="3" s="1"/>
  <c r="G218" i="3"/>
  <c r="O16" i="3" s="1"/>
  <c r="G250" i="3"/>
  <c r="S13" i="3" s="1"/>
  <c r="G282" i="3"/>
  <c r="K11" i="3" s="1"/>
  <c r="G314" i="3"/>
  <c r="O8" i="3" s="1"/>
  <c r="G83" i="3"/>
  <c r="R27" i="3" s="1"/>
  <c r="G110" i="3"/>
  <c r="O25" i="3" s="1"/>
  <c r="G137" i="3"/>
  <c r="L23" i="3" s="1"/>
  <c r="G169" i="3"/>
  <c r="P20" i="3" s="1"/>
  <c r="G189" i="3"/>
  <c r="T18" i="3" s="1"/>
  <c r="G219" i="3"/>
  <c r="N16" i="3" s="1"/>
  <c r="G251" i="3"/>
  <c r="R13" i="3" s="1"/>
  <c r="G283" i="3"/>
  <c r="J11" i="3" s="1"/>
  <c r="G315" i="3"/>
  <c r="N8" i="3" s="1"/>
  <c r="G103" i="3"/>
  <c r="J26" i="3" s="1"/>
  <c r="G80" i="3"/>
  <c r="U27" i="3" s="1"/>
  <c r="G126" i="3"/>
  <c r="K24" i="3" s="1"/>
  <c r="J1377" i="2"/>
  <c r="J1376" i="2" s="1"/>
  <c r="J1375" i="2" s="1"/>
  <c r="J1374" i="2" s="1"/>
  <c r="J1373" i="2" s="1"/>
  <c r="J1372" i="2" s="1"/>
  <c r="J1371" i="2" s="1"/>
  <c r="J1370" i="2" s="1"/>
  <c r="J1369" i="2" s="1"/>
  <c r="J1368" i="2" s="1"/>
  <c r="J1367" i="2" s="1"/>
  <c r="J1366" i="2" s="1"/>
  <c r="J1365" i="2" s="1"/>
  <c r="J1364" i="2" s="1"/>
  <c r="J1363" i="2" s="1"/>
  <c r="J1362" i="2" s="1"/>
  <c r="J1361" i="2" s="1"/>
  <c r="J1360" i="2" s="1"/>
  <c r="J1359" i="2" s="1"/>
  <c r="J1358" i="2" s="1"/>
  <c r="J1357" i="2" s="1"/>
  <c r="J1356" i="2" s="1"/>
  <c r="J1355" i="2" s="1"/>
  <c r="J1354" i="2" s="1"/>
  <c r="J1353" i="2" s="1"/>
  <c r="J1352" i="2" s="1"/>
  <c r="J1351" i="2" s="1"/>
  <c r="J1350" i="2" s="1"/>
  <c r="J1349" i="2" s="1"/>
  <c r="J1348" i="2" s="1"/>
  <c r="J1347" i="2" s="1"/>
  <c r="J1346" i="2" s="1"/>
  <c r="J1345" i="2" s="1"/>
  <c r="J1344" i="2" s="1"/>
  <c r="J1343" i="2" s="1"/>
  <c r="J1342" i="2" s="1"/>
  <c r="J1341" i="2" s="1"/>
  <c r="J1340" i="2" s="1"/>
  <c r="J1339" i="2" s="1"/>
  <c r="J1338" i="2" s="1"/>
  <c r="J1337" i="2" s="1"/>
  <c r="J1336" i="2" s="1"/>
  <c r="J1335" i="2" s="1"/>
  <c r="J1334" i="2" s="1"/>
  <c r="J1333" i="2" s="1"/>
  <c r="J1332" i="2" s="1"/>
  <c r="J1331" i="2" s="1"/>
  <c r="J1330" i="2" s="1"/>
  <c r="J1329" i="2" s="1"/>
  <c r="J1328" i="2" s="1"/>
  <c r="J1327" i="2" s="1"/>
  <c r="J1326" i="2" s="1"/>
  <c r="J1325" i="2" s="1"/>
  <c r="J1324" i="2" s="1"/>
  <c r="J1323" i="2" s="1"/>
  <c r="J1322" i="2" s="1"/>
  <c r="J1321" i="2" s="1"/>
  <c r="J1320" i="2" s="1"/>
  <c r="J1319" i="2" s="1"/>
  <c r="J1318" i="2" s="1"/>
  <c r="J1317" i="2" s="1"/>
  <c r="J1316" i="2" s="1"/>
  <c r="J1315" i="2" s="1"/>
  <c r="J1314" i="2" s="1"/>
  <c r="J1313" i="2" s="1"/>
  <c r="J1312" i="2" s="1"/>
  <c r="J1311" i="2" s="1"/>
  <c r="J1310" i="2" s="1"/>
  <c r="J1309" i="2" s="1"/>
  <c r="J1308" i="2" s="1"/>
  <c r="J1307" i="2" s="1"/>
  <c r="J1306" i="2" s="1"/>
  <c r="J1305" i="2" s="1"/>
  <c r="J1304" i="2" s="1"/>
  <c r="J1303" i="2" s="1"/>
  <c r="J1302" i="2" s="1"/>
  <c r="J1301" i="2" s="1"/>
  <c r="J1300" i="2" s="1"/>
  <c r="J1299" i="2" s="1"/>
  <c r="J1298" i="2" s="1"/>
  <c r="J1297" i="2" s="1"/>
  <c r="J1296" i="2" s="1"/>
  <c r="J1295" i="2" s="1"/>
  <c r="J1294" i="2" s="1"/>
  <c r="J1293" i="2" s="1"/>
  <c r="J1292" i="2" s="1"/>
  <c r="J1291" i="2" s="1"/>
  <c r="J1290" i="2" s="1"/>
  <c r="J1289" i="2" s="1"/>
  <c r="J1288" i="2" s="1"/>
  <c r="J1287" i="2" s="1"/>
  <c r="J1286" i="2" s="1"/>
  <c r="J1285" i="2" s="1"/>
  <c r="J1284" i="2" s="1"/>
  <c r="J1283" i="2" s="1"/>
  <c r="J1282" i="2" s="1"/>
  <c r="J1281" i="2" s="1"/>
  <c r="J1280" i="2" s="1"/>
  <c r="J1279" i="2" s="1"/>
  <c r="J1278" i="2" s="1"/>
  <c r="J1277" i="2" s="1"/>
  <c r="J1276" i="2" s="1"/>
  <c r="J1275" i="2" s="1"/>
  <c r="J1274" i="2" s="1"/>
  <c r="J1273" i="2" s="1"/>
  <c r="J1272" i="2" s="1"/>
  <c r="J1271" i="2" s="1"/>
  <c r="J1270" i="2" s="1"/>
  <c r="J1269" i="2" s="1"/>
  <c r="J1268" i="2" s="1"/>
  <c r="J1267" i="2" s="1"/>
  <c r="J1266" i="2" s="1"/>
  <c r="J1265" i="2" s="1"/>
  <c r="J1264" i="2" s="1"/>
  <c r="J1263" i="2" s="1"/>
  <c r="J1262" i="2" s="1"/>
  <c r="J1261" i="2" s="1"/>
  <c r="J1260" i="2" s="1"/>
  <c r="J1259" i="2" s="1"/>
  <c r="J1258" i="2" s="1"/>
  <c r="J1257" i="2" s="1"/>
  <c r="J1256" i="2" s="1"/>
  <c r="J1255" i="2" s="1"/>
  <c r="J1254" i="2" s="1"/>
  <c r="J1253" i="2" s="1"/>
  <c r="J1252" i="2" s="1"/>
  <c r="J1251" i="2" s="1"/>
  <c r="J1250" i="2" s="1"/>
  <c r="J1249" i="2" s="1"/>
  <c r="J1248" i="2" s="1"/>
  <c r="J1247" i="2" s="1"/>
  <c r="J1246" i="2" s="1"/>
  <c r="J1245" i="2" s="1"/>
  <c r="J1244" i="2" s="1"/>
  <c r="J1243" i="2" s="1"/>
  <c r="J1242" i="2" s="1"/>
  <c r="J1241" i="2" s="1"/>
  <c r="J1240" i="2" s="1"/>
  <c r="J1239" i="2" s="1"/>
  <c r="J1238" i="2" s="1"/>
  <c r="J1237" i="2" s="1"/>
  <c r="J1236" i="2" s="1"/>
  <c r="J1235" i="2" s="1"/>
  <c r="J1234" i="2" s="1"/>
  <c r="J1233" i="2" s="1"/>
  <c r="J1232" i="2" s="1"/>
  <c r="J1231" i="2" s="1"/>
  <c r="J1230" i="2" s="1"/>
  <c r="J1229" i="2" s="1"/>
  <c r="J1228" i="2" s="1"/>
  <c r="J1227" i="2" s="1"/>
  <c r="J1226" i="2" s="1"/>
  <c r="J1225" i="2" s="1"/>
  <c r="J1224" i="2" s="1"/>
  <c r="J1223" i="2" s="1"/>
  <c r="J1222" i="2" s="1"/>
  <c r="J1221" i="2" s="1"/>
  <c r="J1220" i="2" s="1"/>
  <c r="J1219" i="2" s="1"/>
  <c r="J1218" i="2" s="1"/>
  <c r="J1217" i="2" s="1"/>
  <c r="J1216" i="2" s="1"/>
  <c r="J1215" i="2" s="1"/>
  <c r="J1214" i="2" s="1"/>
  <c r="J1213" i="2" s="1"/>
  <c r="J1212" i="2" s="1"/>
  <c r="J1211" i="2" s="1"/>
  <c r="J1210" i="2" s="1"/>
  <c r="J1209" i="2" s="1"/>
  <c r="J1208" i="2" s="1"/>
  <c r="J1207" i="2" s="1"/>
  <c r="J1206" i="2" s="1"/>
  <c r="J1205" i="2" s="1"/>
  <c r="J1204" i="2" s="1"/>
  <c r="J1203" i="2" s="1"/>
  <c r="J1202" i="2" s="1"/>
  <c r="J1201" i="2" s="1"/>
  <c r="J1200" i="2" s="1"/>
  <c r="J1199" i="2" s="1"/>
  <c r="J1198" i="2" s="1"/>
  <c r="J1197" i="2" s="1"/>
  <c r="J1196" i="2" s="1"/>
  <c r="J1195" i="2" s="1"/>
  <c r="J1194" i="2" s="1"/>
  <c r="J1193" i="2" s="1"/>
  <c r="J1192" i="2" s="1"/>
  <c r="J1191" i="2" s="1"/>
  <c r="J1190" i="2" s="1"/>
  <c r="J1189" i="2" s="1"/>
  <c r="J1188" i="2" s="1"/>
  <c r="J1187" i="2" s="1"/>
  <c r="J1186" i="2" s="1"/>
  <c r="J1185" i="2" s="1"/>
  <c r="J1184" i="2" s="1"/>
  <c r="J1183" i="2" s="1"/>
  <c r="J1182" i="2" s="1"/>
  <c r="J1181" i="2" s="1"/>
  <c r="J1180" i="2" s="1"/>
  <c r="J1179" i="2" s="1"/>
  <c r="J1178" i="2" s="1"/>
  <c r="J1177" i="2" s="1"/>
  <c r="J1176" i="2" s="1"/>
  <c r="J1175" i="2" s="1"/>
  <c r="J1174" i="2" s="1"/>
  <c r="J1173" i="2" s="1"/>
  <c r="J1172" i="2" s="1"/>
  <c r="J1171" i="2" s="1"/>
  <c r="J1170" i="2" s="1"/>
  <c r="J1169" i="2" s="1"/>
  <c r="J1168" i="2" s="1"/>
  <c r="J1167" i="2" s="1"/>
  <c r="J1166" i="2" s="1"/>
  <c r="J1165" i="2" s="1"/>
  <c r="J1164" i="2" s="1"/>
  <c r="J1163" i="2" s="1"/>
  <c r="J1162" i="2" s="1"/>
  <c r="J1161" i="2" s="1"/>
  <c r="J1160" i="2" s="1"/>
  <c r="J1159" i="2" s="1"/>
  <c r="J1158" i="2" s="1"/>
  <c r="J1157" i="2" s="1"/>
  <c r="J1156" i="2" s="1"/>
  <c r="J1155" i="2" s="1"/>
  <c r="J1154" i="2" s="1"/>
  <c r="J1153" i="2" s="1"/>
  <c r="J1152" i="2" s="1"/>
  <c r="J1151" i="2" s="1"/>
  <c r="J1150" i="2" s="1"/>
  <c r="J1149" i="2" s="1"/>
  <c r="J1148" i="2" s="1"/>
  <c r="J1147" i="2" s="1"/>
  <c r="J1146" i="2" s="1"/>
  <c r="J1145" i="2" s="1"/>
  <c r="J1144" i="2" s="1"/>
  <c r="J1143" i="2" s="1"/>
  <c r="J1142" i="2" s="1"/>
  <c r="J1141" i="2" s="1"/>
  <c r="J1140" i="2" s="1"/>
  <c r="J1139" i="2" s="1"/>
  <c r="J1138" i="2" s="1"/>
  <c r="J1137" i="2" s="1"/>
  <c r="J1136" i="2" s="1"/>
  <c r="J1135" i="2" s="1"/>
  <c r="J1134" i="2" s="1"/>
  <c r="J1133" i="2" s="1"/>
  <c r="J1132" i="2" s="1"/>
  <c r="J1131" i="2" s="1"/>
  <c r="J1130" i="2" s="1"/>
  <c r="J1129" i="2" s="1"/>
  <c r="J1128" i="2" s="1"/>
  <c r="J1127" i="2" s="1"/>
  <c r="J1126" i="2" s="1"/>
  <c r="J1125" i="2" s="1"/>
  <c r="J1124" i="2" s="1"/>
  <c r="J1123" i="2" s="1"/>
  <c r="J1122" i="2" s="1"/>
  <c r="J1121" i="2" s="1"/>
  <c r="J1120" i="2" s="1"/>
  <c r="J1119" i="2" s="1"/>
  <c r="J1118" i="2" s="1"/>
  <c r="J1117" i="2" s="1"/>
  <c r="J1116" i="2" s="1"/>
  <c r="J1115" i="2" s="1"/>
  <c r="J1114" i="2" s="1"/>
  <c r="J1113" i="2" s="1"/>
  <c r="J1112" i="2" s="1"/>
  <c r="J1111" i="2" s="1"/>
  <c r="J1110" i="2" s="1"/>
  <c r="J1109" i="2" s="1"/>
  <c r="J1108" i="2" s="1"/>
  <c r="J1107" i="2" s="1"/>
  <c r="J1106" i="2" s="1"/>
  <c r="J1105" i="2" s="1"/>
  <c r="J1104" i="2" s="1"/>
  <c r="J1103" i="2" s="1"/>
  <c r="J1102" i="2" s="1"/>
  <c r="J1101" i="2" s="1"/>
  <c r="J1100" i="2" s="1"/>
  <c r="J1099" i="2" s="1"/>
  <c r="J1098" i="2" s="1"/>
  <c r="J1097" i="2" s="1"/>
  <c r="J1096" i="2" s="1"/>
  <c r="J1095" i="2" s="1"/>
  <c r="J1094" i="2" s="1"/>
  <c r="J1093" i="2" s="1"/>
  <c r="J1092" i="2" s="1"/>
  <c r="J1091" i="2" s="1"/>
  <c r="J1090" i="2" s="1"/>
  <c r="J1089" i="2" s="1"/>
  <c r="J1088" i="2" s="1"/>
  <c r="J1087" i="2" s="1"/>
  <c r="J1086" i="2" s="1"/>
  <c r="J1085" i="2" s="1"/>
  <c r="J1084" i="2" s="1"/>
  <c r="J1083" i="2" s="1"/>
  <c r="J1082" i="2" s="1"/>
  <c r="J1081" i="2" s="1"/>
  <c r="J1080" i="2" s="1"/>
  <c r="J1079" i="2" s="1"/>
  <c r="J1078" i="2" s="1"/>
  <c r="J1077" i="2" s="1"/>
  <c r="J1076" i="2" s="1"/>
  <c r="J1075" i="2" s="1"/>
  <c r="J1074" i="2" s="1"/>
  <c r="J1073" i="2" s="1"/>
  <c r="J1072" i="2" s="1"/>
  <c r="J1071" i="2" s="1"/>
  <c r="J1070" i="2" s="1"/>
  <c r="J1069" i="2" s="1"/>
  <c r="J1068" i="2" s="1"/>
  <c r="J1067" i="2" s="1"/>
  <c r="J1066" i="2" s="1"/>
  <c r="J1065" i="2" s="1"/>
  <c r="J1064" i="2" s="1"/>
  <c r="J1063" i="2" s="1"/>
  <c r="J1062" i="2" s="1"/>
  <c r="J1061" i="2" s="1"/>
  <c r="J1060" i="2" s="1"/>
  <c r="J1059" i="2" s="1"/>
  <c r="J1058" i="2" s="1"/>
  <c r="J1057" i="2" s="1"/>
  <c r="J1056" i="2" s="1"/>
  <c r="J1055" i="2" s="1"/>
  <c r="J1054" i="2" s="1"/>
  <c r="J1053" i="2" s="1"/>
  <c r="J1052" i="2" s="1"/>
  <c r="J1051" i="2" s="1"/>
  <c r="J1050" i="2" s="1"/>
  <c r="J1049" i="2" s="1"/>
  <c r="J1048" i="2" s="1"/>
  <c r="J1047" i="2" s="1"/>
  <c r="J1046" i="2" s="1"/>
  <c r="J1045" i="2" s="1"/>
  <c r="J1044" i="2" s="1"/>
  <c r="J1043" i="2" s="1"/>
  <c r="J1042" i="2" s="1"/>
  <c r="J1041" i="2" s="1"/>
  <c r="J1040" i="2" s="1"/>
  <c r="J1039" i="2" s="1"/>
  <c r="J1038" i="2" s="1"/>
  <c r="J1037" i="2" s="1"/>
  <c r="J1036" i="2" s="1"/>
  <c r="J1035" i="2" s="1"/>
  <c r="J1034" i="2" s="1"/>
  <c r="J1033" i="2" s="1"/>
  <c r="J1032" i="2" s="1"/>
  <c r="J1031" i="2" s="1"/>
  <c r="J1030" i="2" s="1"/>
  <c r="J1029" i="2" s="1"/>
  <c r="J1028" i="2" s="1"/>
  <c r="J1027" i="2" s="1"/>
  <c r="J1026" i="2" s="1"/>
  <c r="J1025" i="2" s="1"/>
  <c r="J1024" i="2" s="1"/>
  <c r="J1023" i="2" s="1"/>
  <c r="J1022" i="2" s="1"/>
  <c r="J1021" i="2" s="1"/>
  <c r="J1020" i="2" s="1"/>
  <c r="J1019" i="2" s="1"/>
  <c r="J1018" i="2" s="1"/>
  <c r="J1017" i="2" s="1"/>
  <c r="J1016" i="2" s="1"/>
  <c r="J1015" i="2" s="1"/>
  <c r="J1014" i="2" s="1"/>
  <c r="J1013" i="2" s="1"/>
  <c r="J1012" i="2" s="1"/>
  <c r="J1011" i="2" s="1"/>
  <c r="J1010" i="2" s="1"/>
  <c r="J1009" i="2" s="1"/>
  <c r="J1008" i="2" s="1"/>
  <c r="J1007" i="2" s="1"/>
  <c r="J1006" i="2" s="1"/>
  <c r="J1005" i="2" s="1"/>
  <c r="J1004" i="2" s="1"/>
  <c r="J1003" i="2" s="1"/>
  <c r="J1002" i="2" s="1"/>
  <c r="J1001" i="2" s="1"/>
  <c r="J1000" i="2" s="1"/>
  <c r="J999" i="2" s="1"/>
  <c r="J998" i="2" s="1"/>
  <c r="J997" i="2" s="1"/>
  <c r="J996" i="2" s="1"/>
  <c r="J995" i="2" s="1"/>
  <c r="J994" i="2" s="1"/>
  <c r="J993" i="2" s="1"/>
  <c r="J992" i="2" s="1"/>
  <c r="J991" i="2" s="1"/>
  <c r="J990" i="2" s="1"/>
  <c r="J989" i="2" s="1"/>
  <c r="J988" i="2" s="1"/>
  <c r="J987" i="2" s="1"/>
  <c r="J986" i="2" s="1"/>
  <c r="J985" i="2" s="1"/>
  <c r="J984" i="2" s="1"/>
  <c r="J983" i="2" s="1"/>
  <c r="J982" i="2" s="1"/>
  <c r="J981" i="2" s="1"/>
  <c r="J980" i="2" s="1"/>
  <c r="J979" i="2" s="1"/>
  <c r="J978" i="2" s="1"/>
  <c r="J977" i="2" s="1"/>
  <c r="J976" i="2" s="1"/>
  <c r="J975" i="2" s="1"/>
  <c r="J974" i="2" s="1"/>
  <c r="J973" i="2" s="1"/>
  <c r="J972" i="2" s="1"/>
  <c r="J971" i="2" s="1"/>
  <c r="J970" i="2" s="1"/>
  <c r="J969" i="2" s="1"/>
  <c r="J968" i="2" s="1"/>
  <c r="J967" i="2" s="1"/>
  <c r="J966" i="2" s="1"/>
  <c r="J965" i="2" s="1"/>
  <c r="J964" i="2" s="1"/>
  <c r="J963" i="2" s="1"/>
  <c r="J962" i="2" s="1"/>
  <c r="J961" i="2" s="1"/>
  <c r="J960" i="2" s="1"/>
  <c r="J959" i="2" s="1"/>
  <c r="J958" i="2" s="1"/>
  <c r="J957" i="2" s="1"/>
  <c r="J956" i="2" s="1"/>
  <c r="J955" i="2" s="1"/>
  <c r="J954" i="2" s="1"/>
  <c r="J953" i="2" s="1"/>
  <c r="J952" i="2" s="1"/>
  <c r="J951" i="2" s="1"/>
  <c r="J950" i="2" s="1"/>
  <c r="J949" i="2" s="1"/>
  <c r="J948" i="2" s="1"/>
  <c r="J947" i="2" s="1"/>
  <c r="J946" i="2" s="1"/>
  <c r="J945" i="2" s="1"/>
  <c r="J944" i="2" s="1"/>
  <c r="J943" i="2" s="1"/>
  <c r="J942" i="2" s="1"/>
  <c r="J941" i="2" s="1"/>
  <c r="J940" i="2" s="1"/>
  <c r="J939" i="2" s="1"/>
  <c r="J938" i="2" s="1"/>
  <c r="J937" i="2" s="1"/>
  <c r="J936" i="2" s="1"/>
  <c r="J935" i="2" s="1"/>
  <c r="J934" i="2" s="1"/>
  <c r="J933" i="2" s="1"/>
  <c r="J932" i="2" s="1"/>
  <c r="J931" i="2" s="1"/>
  <c r="J930" i="2" s="1"/>
  <c r="J929" i="2" s="1"/>
  <c r="J928" i="2" s="1"/>
  <c r="J927" i="2" s="1"/>
  <c r="J926" i="2" s="1"/>
  <c r="J925" i="2" s="1"/>
  <c r="J924" i="2" s="1"/>
  <c r="J923" i="2" s="1"/>
  <c r="J922" i="2" s="1"/>
  <c r="J921" i="2" s="1"/>
  <c r="J920" i="2" s="1"/>
  <c r="J919" i="2" s="1"/>
  <c r="J918" i="2" s="1"/>
  <c r="J917" i="2" s="1"/>
  <c r="J916" i="2" s="1"/>
  <c r="J915" i="2" s="1"/>
  <c r="J914" i="2" s="1"/>
  <c r="J913" i="2" s="1"/>
  <c r="J912" i="2" s="1"/>
  <c r="J911" i="2" s="1"/>
  <c r="J910" i="2" s="1"/>
  <c r="J909" i="2" s="1"/>
  <c r="J908" i="2" s="1"/>
  <c r="J907" i="2" s="1"/>
  <c r="J906" i="2" s="1"/>
  <c r="J905" i="2" s="1"/>
  <c r="J904" i="2" s="1"/>
  <c r="J903" i="2" s="1"/>
  <c r="J902" i="2" s="1"/>
  <c r="J901" i="2" s="1"/>
  <c r="J900" i="2" s="1"/>
  <c r="J899" i="2" s="1"/>
  <c r="J898" i="2" s="1"/>
  <c r="J897" i="2" s="1"/>
  <c r="J896" i="2" s="1"/>
  <c r="J895" i="2" s="1"/>
  <c r="J894" i="2" s="1"/>
  <c r="J893" i="2" s="1"/>
  <c r="J892" i="2" s="1"/>
  <c r="J891" i="2" s="1"/>
  <c r="J890" i="2" s="1"/>
  <c r="J889" i="2" s="1"/>
  <c r="J888" i="2" s="1"/>
  <c r="J887" i="2" s="1"/>
  <c r="J886" i="2" s="1"/>
  <c r="J885" i="2" s="1"/>
  <c r="J884" i="2" s="1"/>
  <c r="J883" i="2" s="1"/>
  <c r="J882" i="2" s="1"/>
  <c r="J881" i="2" s="1"/>
  <c r="J880" i="2" s="1"/>
  <c r="J879" i="2" s="1"/>
  <c r="J878" i="2" s="1"/>
  <c r="J877" i="2" s="1"/>
  <c r="J876" i="2" s="1"/>
  <c r="J875" i="2" s="1"/>
  <c r="J874" i="2" s="1"/>
  <c r="J873" i="2" s="1"/>
  <c r="J872" i="2" s="1"/>
  <c r="J871" i="2" s="1"/>
  <c r="J870" i="2" s="1"/>
  <c r="J869" i="2" s="1"/>
  <c r="J868" i="2" s="1"/>
  <c r="J867" i="2" s="1"/>
  <c r="J866" i="2" s="1"/>
  <c r="J865" i="2" s="1"/>
  <c r="J864" i="2" s="1"/>
  <c r="J863" i="2" s="1"/>
  <c r="J862" i="2" s="1"/>
  <c r="J861" i="2" s="1"/>
  <c r="J860" i="2" s="1"/>
  <c r="J859" i="2" s="1"/>
  <c r="J858" i="2" s="1"/>
  <c r="J857" i="2" s="1"/>
  <c r="J856" i="2" s="1"/>
  <c r="J855" i="2" s="1"/>
  <c r="J854" i="2" s="1"/>
  <c r="J853" i="2" s="1"/>
  <c r="J852" i="2" s="1"/>
  <c r="J851" i="2" s="1"/>
  <c r="J850" i="2" s="1"/>
  <c r="J849" i="2" s="1"/>
  <c r="J848" i="2" s="1"/>
  <c r="J847" i="2" s="1"/>
  <c r="J846" i="2" s="1"/>
  <c r="J845" i="2" s="1"/>
  <c r="J844" i="2" s="1"/>
  <c r="J843" i="2" s="1"/>
  <c r="J842" i="2" s="1"/>
  <c r="J841" i="2" s="1"/>
  <c r="J840" i="2" s="1"/>
  <c r="J839" i="2" s="1"/>
  <c r="J838" i="2" s="1"/>
  <c r="J837" i="2" s="1"/>
  <c r="J836" i="2" s="1"/>
  <c r="J835" i="2" s="1"/>
  <c r="J834" i="2" s="1"/>
  <c r="J833" i="2" s="1"/>
  <c r="J832" i="2" s="1"/>
  <c r="J831" i="2" s="1"/>
  <c r="J830" i="2" s="1"/>
  <c r="J829" i="2" s="1"/>
  <c r="J828" i="2" s="1"/>
  <c r="J827" i="2" s="1"/>
  <c r="J826" i="2" s="1"/>
  <c r="J825" i="2" s="1"/>
  <c r="J824" i="2" s="1"/>
  <c r="J823" i="2" s="1"/>
  <c r="J822" i="2" s="1"/>
  <c r="J821" i="2" s="1"/>
  <c r="J820" i="2" s="1"/>
  <c r="J819" i="2" s="1"/>
  <c r="J818" i="2" s="1"/>
  <c r="J817" i="2" s="1"/>
  <c r="J816" i="2" s="1"/>
  <c r="J815" i="2" s="1"/>
  <c r="J814" i="2" s="1"/>
  <c r="J813" i="2" s="1"/>
  <c r="J812" i="2" s="1"/>
  <c r="J811" i="2" s="1"/>
  <c r="J810" i="2" s="1"/>
  <c r="J809" i="2" s="1"/>
  <c r="J808" i="2" s="1"/>
  <c r="J807" i="2" s="1"/>
  <c r="J806" i="2" s="1"/>
  <c r="J805" i="2" s="1"/>
  <c r="J804" i="2" s="1"/>
  <c r="J803" i="2" s="1"/>
  <c r="J802" i="2" s="1"/>
  <c r="J801" i="2" s="1"/>
  <c r="J800" i="2" s="1"/>
  <c r="J799" i="2" s="1"/>
  <c r="J798" i="2" s="1"/>
  <c r="J797" i="2" s="1"/>
  <c r="J796" i="2" s="1"/>
  <c r="J795" i="2" s="1"/>
  <c r="J794" i="2" s="1"/>
  <c r="J793" i="2" s="1"/>
  <c r="J792" i="2" s="1"/>
  <c r="J791" i="2" s="1"/>
  <c r="J790" i="2" s="1"/>
  <c r="J789" i="2" s="1"/>
  <c r="J788" i="2" s="1"/>
  <c r="J787" i="2" s="1"/>
  <c r="J786" i="2" s="1"/>
  <c r="J785" i="2" s="1"/>
  <c r="J784" i="2" s="1"/>
  <c r="J783" i="2" s="1"/>
  <c r="J782" i="2" s="1"/>
  <c r="J781" i="2" s="1"/>
  <c r="J780" i="2" s="1"/>
  <c r="J779" i="2" s="1"/>
  <c r="J778" i="2" s="1"/>
  <c r="J777" i="2" s="1"/>
  <c r="J776" i="2" s="1"/>
  <c r="J775" i="2" s="1"/>
  <c r="J774" i="2" s="1"/>
  <c r="J773" i="2" s="1"/>
  <c r="J772" i="2" s="1"/>
  <c r="J771" i="2" s="1"/>
  <c r="J770" i="2" s="1"/>
  <c r="J769" i="2" s="1"/>
  <c r="J768" i="2" s="1"/>
  <c r="J767" i="2" s="1"/>
  <c r="J766" i="2" s="1"/>
  <c r="J765" i="2" s="1"/>
  <c r="J764" i="2" s="1"/>
  <c r="J763" i="2" s="1"/>
  <c r="J762" i="2" s="1"/>
  <c r="J761" i="2" s="1"/>
  <c r="J760" i="2" s="1"/>
  <c r="J759" i="2" s="1"/>
  <c r="J758" i="2" s="1"/>
  <c r="J757" i="2" s="1"/>
  <c r="J756" i="2" s="1"/>
  <c r="J755" i="2" s="1"/>
  <c r="J754" i="2" s="1"/>
  <c r="J753" i="2" s="1"/>
  <c r="J752" i="2" s="1"/>
  <c r="J751" i="2" s="1"/>
  <c r="J750" i="2" s="1"/>
  <c r="J749" i="2" s="1"/>
  <c r="J748" i="2" s="1"/>
  <c r="J747" i="2" s="1"/>
  <c r="J746" i="2" s="1"/>
  <c r="J745" i="2" s="1"/>
  <c r="J744" i="2" s="1"/>
  <c r="J743" i="2" s="1"/>
  <c r="J742" i="2" s="1"/>
  <c r="J741" i="2" s="1"/>
  <c r="J740" i="2" s="1"/>
  <c r="J739" i="2" s="1"/>
  <c r="J738" i="2" s="1"/>
  <c r="J737" i="2" s="1"/>
  <c r="J736" i="2" s="1"/>
  <c r="J735" i="2" s="1"/>
  <c r="J734" i="2" s="1"/>
  <c r="J733" i="2" s="1"/>
  <c r="J732" i="2" s="1"/>
  <c r="J731" i="2" s="1"/>
  <c r="J730" i="2" s="1"/>
  <c r="J729" i="2" s="1"/>
  <c r="J728" i="2" s="1"/>
  <c r="J727" i="2" s="1"/>
  <c r="J726" i="2" s="1"/>
  <c r="J725" i="2" s="1"/>
  <c r="J724" i="2" s="1"/>
  <c r="J723" i="2" s="1"/>
  <c r="J722" i="2" s="1"/>
  <c r="J721" i="2" s="1"/>
  <c r="J720" i="2" s="1"/>
  <c r="J719" i="2" s="1"/>
  <c r="J718" i="2" s="1"/>
  <c r="J717" i="2" s="1"/>
  <c r="J716" i="2" s="1"/>
  <c r="J715" i="2" s="1"/>
  <c r="J714" i="2" s="1"/>
  <c r="J713" i="2" s="1"/>
  <c r="J712" i="2" s="1"/>
  <c r="J711" i="2" s="1"/>
  <c r="J710" i="2" s="1"/>
  <c r="J709" i="2" s="1"/>
  <c r="J708" i="2" s="1"/>
  <c r="J707" i="2" s="1"/>
  <c r="J706" i="2" s="1"/>
  <c r="J705" i="2" s="1"/>
  <c r="J704" i="2" s="1"/>
  <c r="J703" i="2" s="1"/>
  <c r="J702" i="2" s="1"/>
  <c r="J701" i="2" s="1"/>
  <c r="J700" i="2" s="1"/>
  <c r="J699" i="2" s="1"/>
  <c r="J698" i="2" s="1"/>
  <c r="J697" i="2" s="1"/>
  <c r="J696" i="2" s="1"/>
  <c r="J695" i="2" s="1"/>
  <c r="J694" i="2" s="1"/>
  <c r="J693" i="2" s="1"/>
  <c r="J692" i="2" s="1"/>
  <c r="J691" i="2" s="1"/>
  <c r="J690" i="2" s="1"/>
  <c r="J689" i="2" s="1"/>
  <c r="J688" i="2" s="1"/>
  <c r="J687" i="2" s="1"/>
  <c r="J686" i="2" s="1"/>
  <c r="J685" i="2" s="1"/>
  <c r="J684" i="2" s="1"/>
  <c r="J683" i="2" s="1"/>
  <c r="J682" i="2" s="1"/>
  <c r="J681" i="2" s="1"/>
  <c r="J680" i="2" s="1"/>
  <c r="J679" i="2" s="1"/>
  <c r="J678" i="2" s="1"/>
  <c r="J677" i="2" s="1"/>
  <c r="J676" i="2" s="1"/>
  <c r="J675" i="2" s="1"/>
  <c r="J674" i="2" s="1"/>
  <c r="J673" i="2" s="1"/>
  <c r="J672" i="2" s="1"/>
  <c r="J671" i="2" s="1"/>
  <c r="J670" i="2" s="1"/>
  <c r="J669" i="2" s="1"/>
  <c r="J668" i="2" s="1"/>
  <c r="J667" i="2" s="1"/>
  <c r="J666" i="2" s="1"/>
  <c r="J665" i="2" s="1"/>
  <c r="J664" i="2" s="1"/>
  <c r="J663" i="2" s="1"/>
  <c r="J662" i="2" s="1"/>
  <c r="J661" i="2" s="1"/>
  <c r="J660" i="2" s="1"/>
  <c r="J659" i="2" s="1"/>
  <c r="J658" i="2" s="1"/>
  <c r="J657" i="2" s="1"/>
  <c r="J656" i="2" s="1"/>
  <c r="J655" i="2" s="1"/>
  <c r="J654" i="2" s="1"/>
  <c r="J653" i="2" s="1"/>
  <c r="J652" i="2" s="1"/>
  <c r="J651" i="2" s="1"/>
  <c r="J650" i="2" s="1"/>
  <c r="J649" i="2" s="1"/>
  <c r="J648" i="2" s="1"/>
  <c r="J647" i="2" s="1"/>
  <c r="J646" i="2" s="1"/>
  <c r="J645" i="2" s="1"/>
  <c r="J644" i="2" s="1"/>
  <c r="J643" i="2" s="1"/>
  <c r="J642" i="2" s="1"/>
  <c r="J641" i="2" s="1"/>
  <c r="J640" i="2" s="1"/>
  <c r="J639" i="2" s="1"/>
  <c r="J638" i="2" s="1"/>
  <c r="J637" i="2" s="1"/>
  <c r="J636" i="2" s="1"/>
  <c r="J635" i="2" s="1"/>
  <c r="J634" i="2" s="1"/>
  <c r="J633" i="2" s="1"/>
  <c r="J632" i="2" s="1"/>
  <c r="J631" i="2" s="1"/>
  <c r="J630" i="2" s="1"/>
  <c r="J629" i="2" s="1"/>
  <c r="J628" i="2" s="1"/>
  <c r="J627" i="2" s="1"/>
  <c r="J626" i="2" s="1"/>
  <c r="J625" i="2" s="1"/>
  <c r="J624" i="2" s="1"/>
  <c r="J623" i="2" s="1"/>
  <c r="J622" i="2" s="1"/>
  <c r="J621" i="2" s="1"/>
  <c r="J620" i="2" s="1"/>
  <c r="J619" i="2" s="1"/>
  <c r="J618" i="2" s="1"/>
  <c r="J617" i="2" s="1"/>
  <c r="J616" i="2" s="1"/>
  <c r="J615" i="2" s="1"/>
  <c r="J614" i="2" s="1"/>
  <c r="J613" i="2" s="1"/>
  <c r="J612" i="2" s="1"/>
  <c r="J611" i="2" s="1"/>
  <c r="J610" i="2" s="1"/>
  <c r="J609" i="2" s="1"/>
  <c r="J608" i="2" s="1"/>
  <c r="J607" i="2" s="1"/>
  <c r="J606" i="2" s="1"/>
  <c r="J605" i="2" s="1"/>
  <c r="J604" i="2" s="1"/>
  <c r="J603" i="2" s="1"/>
  <c r="J602" i="2" s="1"/>
  <c r="J601" i="2" s="1"/>
  <c r="J600" i="2" s="1"/>
  <c r="J599" i="2" s="1"/>
  <c r="J598" i="2" s="1"/>
  <c r="J597" i="2" s="1"/>
  <c r="J596" i="2" s="1"/>
  <c r="J595" i="2" s="1"/>
  <c r="J594" i="2" s="1"/>
  <c r="J593" i="2" s="1"/>
  <c r="J592" i="2" s="1"/>
  <c r="J591" i="2" s="1"/>
  <c r="J590" i="2" s="1"/>
  <c r="J589" i="2" s="1"/>
  <c r="J588" i="2" s="1"/>
  <c r="J587" i="2" s="1"/>
  <c r="J586" i="2" s="1"/>
  <c r="J585" i="2" s="1"/>
  <c r="J584" i="2" s="1"/>
  <c r="J583" i="2" s="1"/>
  <c r="J582" i="2" s="1"/>
  <c r="J581" i="2" s="1"/>
  <c r="J580" i="2" s="1"/>
  <c r="J579" i="2" s="1"/>
  <c r="J578" i="2" s="1"/>
  <c r="J577" i="2" s="1"/>
  <c r="J576" i="2" s="1"/>
  <c r="J575" i="2" s="1"/>
  <c r="J574" i="2" s="1"/>
  <c r="J573" i="2" s="1"/>
  <c r="J572" i="2" s="1"/>
  <c r="J571" i="2" s="1"/>
  <c r="J570" i="2" s="1"/>
  <c r="J569" i="2" s="1"/>
  <c r="J568" i="2" s="1"/>
  <c r="J567" i="2" s="1"/>
  <c r="J566" i="2" s="1"/>
  <c r="J565" i="2" s="1"/>
  <c r="J564" i="2" s="1"/>
  <c r="J563" i="2" s="1"/>
  <c r="J562" i="2" s="1"/>
  <c r="J561" i="2" s="1"/>
  <c r="J560" i="2" s="1"/>
  <c r="J559" i="2" s="1"/>
  <c r="J558" i="2" s="1"/>
  <c r="J557" i="2" s="1"/>
  <c r="J556" i="2" s="1"/>
  <c r="J555" i="2" s="1"/>
  <c r="J554" i="2" s="1"/>
  <c r="J553" i="2" s="1"/>
  <c r="J552" i="2" s="1"/>
  <c r="J551" i="2" s="1"/>
  <c r="J550" i="2" s="1"/>
  <c r="J549" i="2" s="1"/>
  <c r="J548" i="2" s="1"/>
  <c r="J547" i="2" s="1"/>
  <c r="J546" i="2" s="1"/>
  <c r="J545" i="2" s="1"/>
  <c r="J544" i="2" s="1"/>
  <c r="J543" i="2" s="1"/>
  <c r="J542" i="2" s="1"/>
  <c r="J541" i="2" s="1"/>
  <c r="J540" i="2" s="1"/>
  <c r="J539" i="2" s="1"/>
  <c r="J538" i="2" s="1"/>
  <c r="J537" i="2" s="1"/>
  <c r="J536" i="2" s="1"/>
  <c r="J535" i="2" s="1"/>
  <c r="J534" i="2" s="1"/>
  <c r="J533" i="2" s="1"/>
  <c r="J532" i="2" s="1"/>
  <c r="J531" i="2" s="1"/>
  <c r="J530" i="2" s="1"/>
  <c r="J529" i="2" s="1"/>
  <c r="J528" i="2" s="1"/>
  <c r="J527" i="2" s="1"/>
  <c r="J526" i="2" s="1"/>
  <c r="J525" i="2" s="1"/>
  <c r="J524" i="2" s="1"/>
  <c r="J523" i="2" s="1"/>
  <c r="J522" i="2" s="1"/>
  <c r="J521" i="2" s="1"/>
  <c r="J520" i="2" s="1"/>
  <c r="J519" i="2" s="1"/>
  <c r="J518" i="2" s="1"/>
  <c r="J517" i="2" s="1"/>
  <c r="J516" i="2" s="1"/>
  <c r="J515" i="2" s="1"/>
  <c r="J514" i="2" s="1"/>
  <c r="J513" i="2" s="1"/>
  <c r="J512" i="2" s="1"/>
  <c r="J511" i="2" s="1"/>
  <c r="J510" i="2" s="1"/>
  <c r="J509" i="2" s="1"/>
  <c r="J508" i="2" s="1"/>
  <c r="J507" i="2" s="1"/>
  <c r="J506" i="2" s="1"/>
  <c r="J505" i="2" s="1"/>
  <c r="J504" i="2" s="1"/>
  <c r="J503" i="2" s="1"/>
  <c r="J502" i="2" s="1"/>
  <c r="J501" i="2" s="1"/>
  <c r="J500" i="2" s="1"/>
  <c r="J499" i="2" s="1"/>
  <c r="J498" i="2" s="1"/>
  <c r="J497" i="2" s="1"/>
  <c r="J496" i="2" s="1"/>
  <c r="J495" i="2" s="1"/>
  <c r="J494" i="2" s="1"/>
  <c r="J493" i="2" s="1"/>
  <c r="J492" i="2" s="1"/>
  <c r="J491" i="2" s="1"/>
  <c r="J490" i="2" s="1"/>
  <c r="J489" i="2" s="1"/>
  <c r="J488" i="2" s="1"/>
  <c r="J487" i="2" s="1"/>
  <c r="J486" i="2" s="1"/>
  <c r="J485" i="2" s="1"/>
  <c r="J484" i="2" s="1"/>
  <c r="J483" i="2" s="1"/>
  <c r="J482" i="2" s="1"/>
  <c r="J481" i="2" s="1"/>
  <c r="J480" i="2" s="1"/>
  <c r="J479" i="2" s="1"/>
  <c r="J478" i="2" s="1"/>
  <c r="J477" i="2" s="1"/>
  <c r="J476" i="2" s="1"/>
  <c r="J475" i="2" s="1"/>
  <c r="J474" i="2" s="1"/>
  <c r="J473" i="2" s="1"/>
  <c r="J472" i="2" s="1"/>
  <c r="J471" i="2" s="1"/>
  <c r="J470" i="2" s="1"/>
  <c r="J469" i="2" s="1"/>
  <c r="J468" i="2" s="1"/>
  <c r="J467" i="2" s="1"/>
  <c r="J466" i="2" s="1"/>
  <c r="J465" i="2" s="1"/>
  <c r="J464" i="2" s="1"/>
  <c r="J463" i="2" s="1"/>
  <c r="J462" i="2" s="1"/>
  <c r="J461" i="2" s="1"/>
  <c r="J460" i="2" s="1"/>
  <c r="J459" i="2" s="1"/>
  <c r="J458" i="2" s="1"/>
  <c r="J457" i="2" s="1"/>
  <c r="J456" i="2" s="1"/>
  <c r="J455" i="2" s="1"/>
  <c r="J454" i="2" s="1"/>
  <c r="J453" i="2" s="1"/>
  <c r="J452" i="2" s="1"/>
  <c r="J451" i="2" s="1"/>
  <c r="J450" i="2" s="1"/>
  <c r="J449" i="2" s="1"/>
  <c r="J448" i="2" s="1"/>
  <c r="J447" i="2" s="1"/>
  <c r="J446" i="2" s="1"/>
  <c r="J445" i="2" s="1"/>
  <c r="J444" i="2" s="1"/>
  <c r="J443" i="2" s="1"/>
  <c r="J442" i="2" s="1"/>
  <c r="J441" i="2" s="1"/>
  <c r="J440" i="2" s="1"/>
  <c r="J439" i="2" s="1"/>
  <c r="J438" i="2" s="1"/>
  <c r="J437" i="2" s="1"/>
  <c r="J436" i="2" s="1"/>
  <c r="J435" i="2" s="1"/>
  <c r="J434" i="2" s="1"/>
  <c r="J433" i="2" s="1"/>
  <c r="J432" i="2" s="1"/>
  <c r="J431" i="2" s="1"/>
  <c r="J430" i="2" s="1"/>
  <c r="J429" i="2" s="1"/>
  <c r="J428" i="2" s="1"/>
  <c r="J427" i="2" s="1"/>
  <c r="J426" i="2" s="1"/>
  <c r="J425" i="2" s="1"/>
  <c r="J424" i="2" s="1"/>
  <c r="J423" i="2" s="1"/>
  <c r="J422" i="2" s="1"/>
  <c r="J421" i="2" s="1"/>
  <c r="J420" i="2" s="1"/>
  <c r="J419" i="2" s="1"/>
  <c r="J418" i="2" s="1"/>
  <c r="J417" i="2" s="1"/>
  <c r="J416" i="2" s="1"/>
  <c r="J415" i="2" s="1"/>
  <c r="J414" i="2" s="1"/>
  <c r="J413" i="2" s="1"/>
  <c r="J412" i="2" s="1"/>
  <c r="J411" i="2" s="1"/>
  <c r="J410" i="2" s="1"/>
  <c r="J409" i="2" s="1"/>
  <c r="J408" i="2" s="1"/>
  <c r="J407" i="2" s="1"/>
  <c r="J406" i="2" s="1"/>
  <c r="J405" i="2" s="1"/>
  <c r="J404" i="2" s="1"/>
  <c r="J403" i="2" s="1"/>
  <c r="J402" i="2" s="1"/>
  <c r="J401" i="2" s="1"/>
  <c r="J400" i="2" s="1"/>
  <c r="J399" i="2" s="1"/>
  <c r="J398" i="2" s="1"/>
  <c r="J397" i="2" s="1"/>
  <c r="J396" i="2" s="1"/>
  <c r="J395" i="2" s="1"/>
  <c r="J394" i="2" s="1"/>
  <c r="J393" i="2" s="1"/>
  <c r="J392" i="2" s="1"/>
  <c r="J391" i="2" s="1"/>
  <c r="J390" i="2" s="1"/>
  <c r="J389" i="2" s="1"/>
  <c r="J388" i="2" s="1"/>
  <c r="J387" i="2" s="1"/>
  <c r="J386" i="2" s="1"/>
  <c r="J385" i="2" s="1"/>
  <c r="J384" i="2" s="1"/>
  <c r="J383" i="2" s="1"/>
  <c r="J382" i="2" s="1"/>
  <c r="J381" i="2" s="1"/>
  <c r="J380" i="2" s="1"/>
  <c r="J379" i="2" s="1"/>
  <c r="J378" i="2" s="1"/>
  <c r="J377" i="2" s="1"/>
  <c r="J376" i="2" s="1"/>
  <c r="J375" i="2" s="1"/>
  <c r="J374" i="2" s="1"/>
  <c r="J373" i="2" s="1"/>
  <c r="J372" i="2" s="1"/>
  <c r="J371" i="2" s="1"/>
  <c r="J370" i="2" s="1"/>
  <c r="J369" i="2" s="1"/>
  <c r="J368" i="2" s="1"/>
  <c r="J367" i="2" s="1"/>
  <c r="J366" i="2" s="1"/>
  <c r="J365" i="2" s="1"/>
  <c r="J364" i="2" s="1"/>
  <c r="J363" i="2" s="1"/>
  <c r="J362" i="2" s="1"/>
  <c r="J361" i="2" s="1"/>
  <c r="J360" i="2" s="1"/>
  <c r="J359" i="2" s="1"/>
  <c r="J358" i="2" s="1"/>
  <c r="J357" i="2" s="1"/>
  <c r="J356" i="2" s="1"/>
  <c r="J355" i="2" s="1"/>
  <c r="J354" i="2" s="1"/>
  <c r="J353" i="2" s="1"/>
  <c r="J352" i="2" s="1"/>
  <c r="J351" i="2" s="1"/>
  <c r="J350" i="2" s="1"/>
  <c r="J349" i="2" s="1"/>
  <c r="J348" i="2" s="1"/>
  <c r="J347" i="2" s="1"/>
  <c r="J346" i="2" s="1"/>
  <c r="J345" i="2" s="1"/>
  <c r="J344" i="2" s="1"/>
  <c r="J343" i="2" s="1"/>
  <c r="J342" i="2" s="1"/>
  <c r="J341" i="2" s="1"/>
  <c r="J340" i="2" s="1"/>
  <c r="J339" i="2" s="1"/>
  <c r="J338" i="2" s="1"/>
  <c r="J337" i="2" s="1"/>
  <c r="J336" i="2" s="1"/>
  <c r="J335" i="2" s="1"/>
  <c r="J334" i="2" s="1"/>
  <c r="J333" i="2" s="1"/>
  <c r="J332" i="2" s="1"/>
  <c r="J331" i="2" s="1"/>
  <c r="J330" i="2" s="1"/>
  <c r="J329" i="2" s="1"/>
  <c r="J328" i="2" s="1"/>
  <c r="J327" i="2" s="1"/>
  <c r="J326" i="2" s="1"/>
  <c r="J325" i="2" s="1"/>
  <c r="J324" i="2" s="1"/>
  <c r="J323" i="2" s="1"/>
  <c r="J322" i="2" s="1"/>
  <c r="J321" i="2" s="1"/>
  <c r="J320" i="2" s="1"/>
  <c r="J319" i="2" s="1"/>
  <c r="J318" i="2" s="1"/>
  <c r="J317" i="2" s="1"/>
  <c r="J316" i="2" s="1"/>
  <c r="J315" i="2" s="1"/>
  <c r="J314" i="2" s="1"/>
  <c r="J313" i="2" s="1"/>
  <c r="J312" i="2" s="1"/>
  <c r="J311" i="2" s="1"/>
  <c r="J310" i="2" s="1"/>
  <c r="J309" i="2" s="1"/>
  <c r="J308" i="2" s="1"/>
  <c r="J307" i="2" s="1"/>
  <c r="J306" i="2" s="1"/>
  <c r="J305" i="2" s="1"/>
  <c r="J304" i="2" s="1"/>
  <c r="J303" i="2" s="1"/>
  <c r="J302" i="2" s="1"/>
  <c r="J301" i="2" s="1"/>
  <c r="J300" i="2" s="1"/>
  <c r="J299" i="2" s="1"/>
  <c r="J298" i="2" s="1"/>
  <c r="J297" i="2" s="1"/>
  <c r="J296" i="2" s="1"/>
  <c r="J295" i="2" s="1"/>
  <c r="J294" i="2" s="1"/>
  <c r="J293" i="2" s="1"/>
  <c r="J292" i="2" s="1"/>
  <c r="J291" i="2" s="1"/>
  <c r="J290" i="2" s="1"/>
  <c r="J289" i="2" s="1"/>
  <c r="J288" i="2" s="1"/>
  <c r="J287" i="2" s="1"/>
  <c r="J286" i="2" s="1"/>
  <c r="J285" i="2" s="1"/>
  <c r="J284" i="2" s="1"/>
  <c r="J283" i="2" s="1"/>
  <c r="J282" i="2" s="1"/>
  <c r="J281" i="2" s="1"/>
  <c r="J280" i="2" s="1"/>
  <c r="J279" i="2" s="1"/>
  <c r="J278" i="2" s="1"/>
  <c r="J277" i="2" s="1"/>
  <c r="J276" i="2" s="1"/>
  <c r="J275" i="2" s="1"/>
  <c r="J274" i="2" s="1"/>
  <c r="J273" i="2" s="1"/>
  <c r="J272" i="2" s="1"/>
  <c r="J271" i="2" s="1"/>
  <c r="J270" i="2" s="1"/>
  <c r="J269" i="2" s="1"/>
  <c r="J268" i="2" s="1"/>
  <c r="J267" i="2" s="1"/>
  <c r="J266" i="2" s="1"/>
  <c r="J265" i="2" s="1"/>
  <c r="J264" i="2" s="1"/>
  <c r="J263" i="2" s="1"/>
  <c r="J262" i="2" s="1"/>
  <c r="J261" i="2" s="1"/>
  <c r="J260" i="2" s="1"/>
  <c r="J259" i="2" s="1"/>
  <c r="J258" i="2" s="1"/>
  <c r="J257" i="2" s="1"/>
  <c r="J256" i="2" s="1"/>
  <c r="J255" i="2" s="1"/>
  <c r="J254" i="2" s="1"/>
  <c r="J253" i="2" s="1"/>
  <c r="J252" i="2" s="1"/>
  <c r="J251" i="2" s="1"/>
  <c r="J250" i="2" s="1"/>
  <c r="J249" i="2" s="1"/>
  <c r="J248" i="2" s="1"/>
  <c r="J247" i="2" s="1"/>
  <c r="J246" i="2" s="1"/>
  <c r="J245" i="2" s="1"/>
  <c r="J244" i="2" s="1"/>
  <c r="J243" i="2" s="1"/>
  <c r="J242" i="2" s="1"/>
  <c r="J241" i="2" s="1"/>
  <c r="J240" i="2" s="1"/>
  <c r="J239" i="2" s="1"/>
  <c r="J238" i="2" s="1"/>
  <c r="J237" i="2" s="1"/>
  <c r="J236" i="2" s="1"/>
  <c r="J235" i="2" s="1"/>
  <c r="J234" i="2" s="1"/>
  <c r="J233" i="2" s="1"/>
  <c r="J232" i="2" s="1"/>
  <c r="J231" i="2" s="1"/>
  <c r="J230" i="2" s="1"/>
  <c r="J229" i="2" s="1"/>
  <c r="J228" i="2" s="1"/>
  <c r="J227" i="2" s="1"/>
  <c r="J226" i="2" s="1"/>
  <c r="J225" i="2" s="1"/>
  <c r="J224" i="2" s="1"/>
  <c r="J223" i="2" s="1"/>
  <c r="J222" i="2" s="1"/>
  <c r="J221" i="2" s="1"/>
  <c r="J220" i="2" s="1"/>
  <c r="J219" i="2" s="1"/>
  <c r="J218" i="2" s="1"/>
  <c r="J217" i="2" s="1"/>
  <c r="J216" i="2" s="1"/>
  <c r="J215" i="2" s="1"/>
  <c r="J214" i="2" s="1"/>
  <c r="J213" i="2" s="1"/>
  <c r="J212" i="2" s="1"/>
  <c r="J211" i="2" s="1"/>
  <c r="J210" i="2" s="1"/>
  <c r="J209" i="2" s="1"/>
  <c r="J208" i="2" s="1"/>
  <c r="J207" i="2" s="1"/>
  <c r="J206" i="2" s="1"/>
  <c r="J205" i="2" s="1"/>
  <c r="J204" i="2" s="1"/>
  <c r="J203" i="2" s="1"/>
  <c r="J202" i="2" s="1"/>
  <c r="J201" i="2" s="1"/>
  <c r="J200" i="2" s="1"/>
  <c r="J199" i="2" s="1"/>
  <c r="J198" i="2" s="1"/>
  <c r="J197" i="2" s="1"/>
  <c r="J196" i="2" s="1"/>
  <c r="J195" i="2" s="1"/>
  <c r="J194" i="2" s="1"/>
  <c r="J193" i="2" s="1"/>
  <c r="J192" i="2" s="1"/>
  <c r="J191" i="2" s="1"/>
  <c r="J190" i="2" s="1"/>
  <c r="J189" i="2" s="1"/>
  <c r="J188" i="2" s="1"/>
  <c r="J187" i="2" s="1"/>
  <c r="J186" i="2" s="1"/>
  <c r="J185" i="2" s="1"/>
  <c r="J184" i="2" s="1"/>
  <c r="J183" i="2" s="1"/>
  <c r="J182" i="2" s="1"/>
  <c r="J181" i="2" s="1"/>
  <c r="J180" i="2" s="1"/>
  <c r="J179" i="2" s="1"/>
  <c r="J178" i="2" s="1"/>
  <c r="J177" i="2" s="1"/>
  <c r="J176" i="2" s="1"/>
  <c r="J175" i="2" s="1"/>
  <c r="J174" i="2" s="1"/>
  <c r="J173" i="2" s="1"/>
  <c r="J172" i="2" s="1"/>
  <c r="J171" i="2" s="1"/>
  <c r="J170" i="2" s="1"/>
  <c r="J169" i="2" s="1"/>
  <c r="J168" i="2" s="1"/>
  <c r="J167" i="2" s="1"/>
  <c r="J166" i="2" s="1"/>
  <c r="J165" i="2" s="1"/>
  <c r="J164" i="2" s="1"/>
  <c r="J163" i="2" s="1"/>
  <c r="J162" i="2" s="1"/>
  <c r="J161" i="2" s="1"/>
  <c r="J160" i="2" s="1"/>
  <c r="J159" i="2" s="1"/>
  <c r="J158" i="2" s="1"/>
  <c r="J157" i="2" s="1"/>
  <c r="J156" i="2" s="1"/>
  <c r="J155" i="2" s="1"/>
  <c r="J154" i="2" s="1"/>
  <c r="J153" i="2" s="1"/>
  <c r="J152" i="2" s="1"/>
  <c r="J151" i="2" s="1"/>
  <c r="J150" i="2" s="1"/>
  <c r="J149" i="2" s="1"/>
  <c r="J148" i="2" s="1"/>
  <c r="J147" i="2" s="1"/>
  <c r="J146" i="2" s="1"/>
  <c r="J145" i="2" s="1"/>
  <c r="J144" i="2" s="1"/>
  <c r="J143" i="2" s="1"/>
  <c r="J142" i="2" s="1"/>
  <c r="J141" i="2" s="1"/>
  <c r="J140" i="2" s="1"/>
  <c r="J139" i="2" s="1"/>
  <c r="J138" i="2" s="1"/>
  <c r="J137" i="2" s="1"/>
  <c r="J136" i="2" s="1"/>
  <c r="J135" i="2" s="1"/>
  <c r="J134" i="2" s="1"/>
  <c r="J133" i="2" s="1"/>
  <c r="J132" i="2" s="1"/>
  <c r="J131" i="2" s="1"/>
  <c r="J130" i="2" s="1"/>
  <c r="J129" i="2" s="1"/>
  <c r="J128" i="2" s="1"/>
  <c r="J127" i="2" s="1"/>
  <c r="J126" i="2" s="1"/>
  <c r="J125" i="2" s="1"/>
  <c r="J124" i="2" s="1"/>
  <c r="J123" i="2" s="1"/>
  <c r="J122" i="2" s="1"/>
  <c r="J121" i="2" s="1"/>
  <c r="J120" i="2" s="1"/>
  <c r="J119" i="2" s="1"/>
  <c r="J118" i="2" s="1"/>
  <c r="J117" i="2" s="1"/>
  <c r="J116" i="2" s="1"/>
  <c r="J115" i="2" s="1"/>
  <c r="J114" i="2" s="1"/>
  <c r="J113" i="2" s="1"/>
  <c r="J112" i="2" s="1"/>
  <c r="J111" i="2" s="1"/>
  <c r="J110" i="2" s="1"/>
  <c r="J109" i="2" s="1"/>
  <c r="J108" i="2" s="1"/>
  <c r="J107" i="2" s="1"/>
  <c r="J106" i="2" s="1"/>
  <c r="J105" i="2" s="1"/>
  <c r="J104" i="2" s="1"/>
  <c r="J103" i="2" s="1"/>
  <c r="J102" i="2" s="1"/>
  <c r="J101" i="2" s="1"/>
  <c r="J100" i="2" s="1"/>
  <c r="J99" i="2" s="1"/>
  <c r="J98" i="2" s="1"/>
  <c r="J97" i="2" s="1"/>
  <c r="J96" i="2" s="1"/>
  <c r="J95" i="2" s="1"/>
  <c r="J94" i="2" s="1"/>
  <c r="J93" i="2" s="1"/>
  <c r="J92" i="2" s="1"/>
  <c r="J91" i="2" s="1"/>
  <c r="J90" i="2" s="1"/>
  <c r="J89" i="2" s="1"/>
  <c r="J88" i="2" s="1"/>
  <c r="J87" i="2" s="1"/>
  <c r="J86" i="2" s="1"/>
  <c r="J85" i="2" s="1"/>
  <c r="J84" i="2" s="1"/>
  <c r="J83" i="2" s="1"/>
  <c r="J82" i="2" s="1"/>
  <c r="J81" i="2" s="1"/>
  <c r="J80" i="2" s="1"/>
  <c r="J79" i="2" s="1"/>
  <c r="J78" i="2" s="1"/>
  <c r="J77" i="2" s="1"/>
  <c r="J76" i="2" s="1"/>
  <c r="J75" i="2" s="1"/>
  <c r="J74" i="2" s="1"/>
  <c r="J73" i="2" s="1"/>
  <c r="J72" i="2" s="1"/>
  <c r="J71" i="2" s="1"/>
  <c r="J70" i="2" s="1"/>
  <c r="J69" i="2" s="1"/>
  <c r="J68" i="2" s="1"/>
  <c r="J67" i="2" s="1"/>
  <c r="J66" i="2" s="1"/>
  <c r="J65" i="2" s="1"/>
  <c r="J64" i="2" s="1"/>
  <c r="J63" i="2" s="1"/>
  <c r="J62" i="2" s="1"/>
  <c r="J61" i="2" s="1"/>
  <c r="J60" i="2" s="1"/>
  <c r="J59" i="2" s="1"/>
  <c r="J58" i="2" s="1"/>
  <c r="J57" i="2" s="1"/>
  <c r="J56" i="2" s="1"/>
  <c r="J55" i="2" s="1"/>
  <c r="J54" i="2" s="1"/>
  <c r="J53" i="2" s="1"/>
  <c r="J52" i="2" s="1"/>
  <c r="J51" i="2" s="1"/>
  <c r="J50" i="2" s="1"/>
  <c r="J49" i="2" s="1"/>
  <c r="J48" i="2" s="1"/>
  <c r="J47" i="2" s="1"/>
  <c r="J46" i="2" s="1"/>
  <c r="J45" i="2" s="1"/>
  <c r="J44" i="2" s="1"/>
  <c r="J43" i="2" s="1"/>
  <c r="J42" i="2" s="1"/>
  <c r="J41" i="2" s="1"/>
  <c r="J40" i="2" s="1"/>
  <c r="J39" i="2" s="1"/>
  <c r="J38" i="2" s="1"/>
  <c r="J37" i="2" s="1"/>
  <c r="J36" i="2" s="1"/>
  <c r="J35" i="2" s="1"/>
  <c r="J34" i="2" s="1"/>
  <c r="J33" i="2" s="1"/>
  <c r="J32" i="2" s="1"/>
  <c r="J31" i="2" s="1"/>
  <c r="J30" i="2" s="1"/>
  <c r="J29" i="2" s="1"/>
  <c r="J28" i="2" s="1"/>
  <c r="J27" i="2" s="1"/>
  <c r="J26" i="2" s="1"/>
  <c r="J25" i="2" s="1"/>
  <c r="J24" i="2" s="1"/>
  <c r="J23" i="2" s="1"/>
  <c r="J22" i="2" s="1"/>
  <c r="J21" i="2" s="1"/>
  <c r="J20" i="2" s="1"/>
  <c r="J19" i="2" s="1"/>
  <c r="J18" i="2" s="1"/>
  <c r="J17" i="2" s="1"/>
  <c r="J16" i="2" s="1"/>
  <c r="J15" i="2" s="1"/>
  <c r="J14" i="2" s="1"/>
  <c r="J13" i="2" s="1"/>
  <c r="J12" i="2" s="1"/>
  <c r="J11" i="2" s="1"/>
  <c r="J10" i="2" s="1"/>
  <c r="J9" i="2" s="1"/>
  <c r="J8" i="2" s="1"/>
  <c r="F179" i="3"/>
  <c r="R58" i="3" s="1"/>
  <c r="G200" i="3"/>
  <c r="U17" i="3" s="1"/>
  <c r="F175" i="3"/>
  <c r="J59" i="3" s="1"/>
  <c r="F174" i="3"/>
  <c r="K59" i="3" s="1"/>
  <c r="F173" i="3"/>
  <c r="L59" i="3" s="1"/>
  <c r="F178" i="3"/>
  <c r="S58" i="3" s="1"/>
  <c r="G199" i="3"/>
  <c r="J18" i="3" s="1"/>
  <c r="G176" i="3"/>
  <c r="U19" i="3" s="1"/>
  <c r="G177" i="3"/>
  <c r="T19" i="3" s="1"/>
  <c r="G180" i="3"/>
  <c r="Q19" i="3" s="1"/>
  <c r="V58" i="3" l="1"/>
  <c r="V66" i="3"/>
  <c r="V60" i="3"/>
  <c r="V65" i="3"/>
  <c r="V62" i="3"/>
  <c r="V61" i="3"/>
  <c r="V68" i="3"/>
  <c r="V64" i="3"/>
  <c r="V67" i="3"/>
  <c r="G174" i="3"/>
  <c r="K20" i="3" s="1"/>
  <c r="G173" i="3"/>
  <c r="L20" i="3" s="1"/>
  <c r="G175" i="3"/>
  <c r="J20" i="3" s="1"/>
  <c r="V50" i="3"/>
  <c r="V49" i="3"/>
  <c r="V46" i="3"/>
  <c r="V48" i="3"/>
  <c r="V45" i="3"/>
  <c r="V63" i="3"/>
  <c r="V52" i="3"/>
  <c r="V47" i="3"/>
  <c r="V56" i="3"/>
  <c r="V54" i="3"/>
  <c r="V55" i="3"/>
  <c r="V53" i="3"/>
  <c r="V51" i="3"/>
  <c r="G179" i="3"/>
  <c r="R19" i="3" s="1"/>
  <c r="G178" i="3"/>
  <c r="S19" i="3" s="1"/>
  <c r="V13" i="3" l="1"/>
  <c r="V29" i="3"/>
  <c r="V17" i="3"/>
  <c r="V23" i="3"/>
  <c r="V8" i="3"/>
  <c r="V9" i="3"/>
  <c r="V12" i="3"/>
  <c r="V24" i="3"/>
  <c r="V10" i="3"/>
  <c r="V22" i="3"/>
  <c r="V27" i="3"/>
  <c r="V6" i="3"/>
  <c r="V21" i="3"/>
  <c r="V7" i="3"/>
  <c r="V14" i="3"/>
  <c r="V25" i="3"/>
  <c r="V11" i="3"/>
  <c r="V15" i="3"/>
  <c r="V57" i="3"/>
  <c r="V16" i="3"/>
  <c r="V28" i="3"/>
  <c r="V26" i="3"/>
  <c r="V20" i="3"/>
  <c r="V18" i="3"/>
  <c r="V59" i="3"/>
  <c r="V74" i="3" l="1"/>
  <c r="V75" i="3" s="1"/>
  <c r="V19" i="3"/>
  <c r="V35" i="3" s="1"/>
  <c r="V36" i="3" l="1"/>
</calcChain>
</file>

<file path=xl/sharedStrings.xml><?xml version="1.0" encoding="utf-8"?>
<sst xmlns="http://schemas.openxmlformats.org/spreadsheetml/2006/main" count="66" uniqueCount="43">
  <si>
    <t>Vantage Global Investment Fund ("VGIF") and Benchmarks</t>
  </si>
  <si>
    <t>Raw Data in US$ (updated weekly)</t>
  </si>
  <si>
    <t>Date</t>
  </si>
  <si>
    <t>NAV per share</t>
  </si>
  <si>
    <t xml:space="preserve">Bid Price </t>
  </si>
  <si>
    <t xml:space="preserve">Offer Price </t>
  </si>
  <si>
    <t>Cumulative Risk Free Return in Currency Benchmark</t>
  </si>
  <si>
    <t>Number of Shares Outstanding</t>
  </si>
  <si>
    <t>Total NAV               (millions)</t>
  </si>
  <si>
    <t>Sources: UBS Fund Services (Cayman) Ltd and Thomson Financial Services (Datastream)</t>
  </si>
  <si>
    <t>Month</t>
  </si>
  <si>
    <t>U$ price</t>
  </si>
  <si>
    <t>Rf USD</t>
  </si>
  <si>
    <t>Rf CB</t>
  </si>
  <si>
    <t>Monthly US$ returns</t>
  </si>
  <si>
    <t>Monthly CB returns</t>
  </si>
  <si>
    <t>Tabular CB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</si>
  <si>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</si>
  <si>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</si>
  <si>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</si>
  <si>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</si>
  <si>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</si>
  <si>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</si>
  <si>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</si>
  <si>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</si>
  <si>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</si>
  <si>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</si>
  <si>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</si>
  <si>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</si>
  <si>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</t>
  </si>
  <si>
    <t>Tabular USD</t>
  </si>
  <si>
    <t>VANTAGE GLOBAL INVESTMENT FUND
Monthly Returns</t>
  </si>
  <si>
    <t>n/a</t>
  </si>
  <si>
    <t>Note that early annual returns do not exactly reflect official annual return given in report as closest weekly liquidity point is used a proxy for value come 31-Dec</t>
  </si>
  <si>
    <t>Cumulative Currency Benchmark Risk Free (USD)</t>
  </si>
  <si>
    <t>Cumulative Currency Benchmark Risk Free Return (CB)</t>
  </si>
  <si>
    <t xml:space="preserve">VGIF Investment Benchmark </t>
  </si>
  <si>
    <t>MSCI World Index  Total Return</t>
  </si>
  <si>
    <t>MSCI World Index  Total Return (Rebased to 100)</t>
  </si>
  <si>
    <t>Incep Date</t>
  </si>
  <si>
    <t>Last Date</t>
  </si>
  <si>
    <t>Years</t>
  </si>
  <si>
    <t>CAGR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</si>
</sst>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d\-mmm\-yyyy"/>
    <numFmt numFmtId="166" formatCode="0.0000"/>
    <numFmt numFmtId="167" formatCode="0.0"/>
    <numFmt numFmtId="168" formatCode="0.0000%"/>
    <numFmt numFmtId="169" formatCode="0.0%"/>
    <numFmt numFmtId="170" formatCode="_-* #,##0_-;\-* #,##0_-;_-* &quot;-&quot;??_-;_-@_-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 TUR"/>
      <family val="1"/>
      <charset val="16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indexed="9"/>
      <name val="Garamond"/>
      <family val="1"/>
    </font>
    <font>
      <b/>
      <sz val="18"/>
      <color indexed="9"/>
      <name val="Garamond"/>
      <family val="1"/>
    </font>
    <font>
      <sz val="1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indexed="9"/>
      <name val="Garamond"/>
      <family val="1"/>
    </font>
    <font>
      <sz val="9"/>
      <name val="Garamond"/>
      <family val="1"/>
    </font>
    <font>
      <sz val="9"/>
      <color indexed="9"/>
      <name val="Garamond"/>
      <family val="1"/>
    </font>
    <font>
      <b/>
      <sz val="16"/>
      <color indexed="9"/>
      <name val="Garamond"/>
      <family val="1"/>
    </font>
    <font>
      <b/>
      <sz val="10"/>
      <name val="Garamond"/>
      <family val="1"/>
    </font>
    <font>
      <sz val="10"/>
      <color indexed="9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u/>
      <sz val="10"/>
      <name val="Garamond"/>
      <family val="1"/>
    </font>
    <font>
      <b/>
      <u/>
      <sz val="11"/>
      <name val="Garamond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60" fillId="27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60" fillId="2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60" fillId="29" borderId="0" applyNumberFormat="0" applyBorder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60" fillId="30" borderId="0" applyNumberFormat="0" applyBorder="0" applyAlignment="0" applyProtection="0"/>
    <xf numFmtId="0" fontId="25" fillId="9" borderId="0" applyNumberFormat="0" applyBorder="0" applyAlignment="0" applyProtection="0"/>
    <xf numFmtId="0" fontId="60" fillId="31" borderId="0" applyNumberFormat="0" applyBorder="0" applyAlignment="0" applyProtection="0"/>
    <xf numFmtId="0" fontId="25" fillId="6" borderId="0" applyNumberFormat="0" applyBorder="0" applyAlignment="0" applyProtection="0"/>
    <xf numFmtId="0" fontId="25" fillId="10" borderId="0" applyNumberFormat="0" applyBorder="0" applyAlignment="0" applyProtection="0"/>
    <xf numFmtId="0" fontId="60" fillId="32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60" fillId="33" borderId="0" applyNumberFormat="0" applyBorder="0" applyAlignment="0" applyProtection="0"/>
    <xf numFmtId="0" fontId="25" fillId="4" borderId="0" applyNumberFormat="0" applyBorder="0" applyAlignment="0" applyProtection="0"/>
    <xf numFmtId="0" fontId="60" fillId="34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0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60" fillId="36" borderId="0" applyNumberFormat="0" applyBorder="0" applyAlignment="0" applyProtection="0"/>
    <xf numFmtId="0" fontId="25" fillId="11" borderId="0" applyNumberFormat="0" applyBorder="0" applyAlignment="0" applyProtection="0"/>
    <xf numFmtId="0" fontId="60" fillId="37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60" fillId="38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61" fillId="39" borderId="0" applyNumberFormat="0" applyBorder="0" applyAlignment="0" applyProtection="0"/>
    <xf numFmtId="0" fontId="26" fillId="4" borderId="0" applyNumberFormat="0" applyBorder="0" applyAlignment="0" applyProtection="0"/>
    <xf numFmtId="0" fontId="61" fillId="4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61" fillId="41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61" fillId="42" borderId="0" applyNumberFormat="0" applyBorder="0" applyAlignment="0" applyProtection="0"/>
    <xf numFmtId="0" fontId="26" fillId="15" borderId="0" applyNumberFormat="0" applyBorder="0" applyAlignment="0" applyProtection="0"/>
    <xf numFmtId="0" fontId="61" fillId="43" borderId="0" applyNumberFormat="0" applyBorder="0" applyAlignment="0" applyProtection="0"/>
    <xf numFmtId="0" fontId="26" fillId="4" borderId="0" applyNumberFormat="0" applyBorder="0" applyAlignment="0" applyProtection="0"/>
    <xf numFmtId="0" fontId="26" fillId="18" borderId="0" applyNumberFormat="0" applyBorder="0" applyAlignment="0" applyProtection="0"/>
    <xf numFmtId="0" fontId="61" fillId="4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61" fillId="45" borderId="0" applyNumberFormat="0" applyBorder="0" applyAlignment="0" applyProtection="0"/>
    <xf numFmtId="0" fontId="26" fillId="20" borderId="0" applyNumberFormat="0" applyBorder="0" applyAlignment="0" applyProtection="0"/>
    <xf numFmtId="0" fontId="61" fillId="46" borderId="0" applyNumberFormat="0" applyBorder="0" applyAlignment="0" applyProtection="0"/>
    <xf numFmtId="0" fontId="26" fillId="21" borderId="0" applyNumberFormat="0" applyBorder="0" applyAlignment="0" applyProtection="0"/>
    <xf numFmtId="0" fontId="61" fillId="47" borderId="0" applyNumberFormat="0" applyBorder="0" applyAlignment="0" applyProtection="0"/>
    <xf numFmtId="0" fontId="26" fillId="22" borderId="0" applyNumberFormat="0" applyBorder="0" applyAlignment="0" applyProtection="0"/>
    <xf numFmtId="0" fontId="26" fillId="17" borderId="0" applyNumberFormat="0" applyBorder="0" applyAlignment="0" applyProtection="0"/>
    <xf numFmtId="0" fontId="61" fillId="48" borderId="0" applyNumberFormat="0" applyBorder="0" applyAlignment="0" applyProtection="0"/>
    <xf numFmtId="0" fontId="26" fillId="15" borderId="0" applyNumberFormat="0" applyBorder="0" applyAlignment="0" applyProtection="0"/>
    <xf numFmtId="0" fontId="61" fillId="49" borderId="0" applyNumberFormat="0" applyBorder="0" applyAlignment="0" applyProtection="0"/>
    <xf numFmtId="0" fontId="26" fillId="23" borderId="0" applyNumberFormat="0" applyBorder="0" applyAlignment="0" applyProtection="0"/>
    <xf numFmtId="0" fontId="61" fillId="50" borderId="0" applyNumberFormat="0" applyBorder="0" applyAlignment="0" applyProtection="0"/>
    <xf numFmtId="0" fontId="27" fillId="5" borderId="0" applyNumberFormat="0" applyBorder="0" applyAlignment="0" applyProtection="0"/>
    <xf numFmtId="0" fontId="62" fillId="51" borderId="0" applyNumberFormat="0" applyBorder="0" applyAlignment="0" applyProtection="0"/>
    <xf numFmtId="0" fontId="28" fillId="24" borderId="1" applyNumberFormat="0" applyAlignment="0" applyProtection="0"/>
    <xf numFmtId="0" fontId="63" fillId="52" borderId="42" applyNumberFormat="0" applyAlignment="0" applyProtection="0"/>
    <xf numFmtId="0" fontId="29" fillId="25" borderId="2" applyNumberFormat="0" applyAlignment="0" applyProtection="0"/>
    <xf numFmtId="0" fontId="64" fillId="53" borderId="43" applyNumberFormat="0" applyAlignment="0" applyProtection="0"/>
    <xf numFmtId="43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6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66" fillId="54" borderId="0" applyNumberFormat="0" applyBorder="0" applyAlignment="0" applyProtection="0"/>
    <xf numFmtId="0" fontId="32" fillId="0" borderId="3" applyNumberFormat="0" applyFill="0" applyAlignment="0" applyProtection="0"/>
    <xf numFmtId="0" fontId="67" fillId="0" borderId="44" applyNumberFormat="0" applyFill="0" applyAlignment="0" applyProtection="0"/>
    <xf numFmtId="0" fontId="33" fillId="0" borderId="4" applyNumberFormat="0" applyFill="0" applyAlignment="0" applyProtection="0"/>
    <xf numFmtId="0" fontId="68" fillId="0" borderId="45" applyNumberFormat="0" applyFill="0" applyAlignment="0" applyProtection="0"/>
    <xf numFmtId="0" fontId="34" fillId="0" borderId="5" applyNumberFormat="0" applyFill="0" applyAlignment="0" applyProtection="0"/>
    <xf numFmtId="0" fontId="69" fillId="0" borderId="46" applyNumberFormat="0" applyFill="0" applyAlignment="0" applyProtection="0"/>
    <xf numFmtId="0" fontId="3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5" fillId="12" borderId="1" applyNumberFormat="0" applyAlignment="0" applyProtection="0"/>
    <xf numFmtId="0" fontId="70" fillId="55" borderId="42" applyNumberFormat="0" applyAlignment="0" applyProtection="0"/>
    <xf numFmtId="0" fontId="36" fillId="0" borderId="6" applyNumberFormat="0" applyFill="0" applyAlignment="0" applyProtection="0"/>
    <xf numFmtId="0" fontId="71" fillId="0" borderId="47" applyNumberFormat="0" applyFill="0" applyAlignment="0" applyProtection="0"/>
    <xf numFmtId="0" fontId="37" fillId="12" borderId="0" applyNumberFormat="0" applyBorder="0" applyAlignment="0" applyProtection="0"/>
    <xf numFmtId="0" fontId="72" fillId="56" borderId="0" applyNumberFormat="0" applyBorder="0" applyAlignment="0" applyProtection="0"/>
    <xf numFmtId="0" fontId="25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60" fillId="0" borderId="0"/>
    <xf numFmtId="0" fontId="60" fillId="0" borderId="0"/>
    <xf numFmtId="0" fontId="18" fillId="0" borderId="0"/>
    <xf numFmtId="0" fontId="18" fillId="0" borderId="0"/>
    <xf numFmtId="0" fontId="60" fillId="0" borderId="0"/>
    <xf numFmtId="0" fontId="22" fillId="6" borderId="7" applyNumberFormat="0" applyFont="0" applyAlignment="0" applyProtection="0"/>
    <xf numFmtId="0" fontId="60" fillId="57" borderId="48" applyNumberFormat="0" applyFont="0" applyAlignment="0" applyProtection="0"/>
    <xf numFmtId="0" fontId="38" fillId="24" borderId="8" applyNumberFormat="0" applyAlignment="0" applyProtection="0"/>
    <xf numFmtId="0" fontId="73" fillId="52" borderId="49" applyNumberFormat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75" fillId="0" borderId="50" applyNumberFormat="0" applyFill="0" applyAlignment="0" applyProtection="0"/>
    <xf numFmtId="0" fontId="4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57" borderId="48" applyNumberFormat="0" applyFont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57" borderId="48" applyNumberFormat="0" applyFont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28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5" borderId="0" applyNumberFormat="0" applyBorder="0" applyAlignment="0" applyProtection="0"/>
    <xf numFmtId="0" fontId="12" fillId="30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7" borderId="0" applyNumberFormat="0" applyBorder="0" applyAlignment="0" applyProtection="0"/>
    <xf numFmtId="0" fontId="12" fillId="32" borderId="0" applyNumberFormat="0" applyBorder="0" applyAlignment="0" applyProtection="0"/>
    <xf numFmtId="0" fontId="12" fillId="38" borderId="0" applyNumberFormat="0" applyBorder="0" applyAlignment="0" applyProtection="0"/>
    <xf numFmtId="164" fontId="12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0" fontId="11" fillId="57" borderId="48" applyNumberFormat="0" applyFont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1" fillId="32" borderId="0" applyNumberFormat="0" applyBorder="0" applyAlignment="0" applyProtection="0"/>
    <xf numFmtId="0" fontId="11" fillId="38" borderId="0" applyNumberFormat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0" fontId="11" fillId="57" borderId="48" applyNumberFormat="0" applyFont="0" applyAlignment="0" applyProtection="0"/>
    <xf numFmtId="0" fontId="11" fillId="27" borderId="0" applyNumberFormat="0" applyBorder="0" applyAlignment="0" applyProtection="0"/>
    <xf numFmtId="0" fontId="11" fillId="33" borderId="0" applyNumberFormat="0" applyBorder="0" applyAlignment="0" applyProtection="0"/>
    <xf numFmtId="0" fontId="11" fillId="28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5" borderId="0" applyNumberFormat="0" applyBorder="0" applyAlignment="0" applyProtection="0"/>
    <xf numFmtId="0" fontId="11" fillId="30" borderId="0" applyNumberFormat="0" applyBorder="0" applyAlignment="0" applyProtection="0"/>
    <xf numFmtId="0" fontId="11" fillId="36" borderId="0" applyNumberFormat="0" applyBorder="0" applyAlignment="0" applyProtection="0"/>
    <xf numFmtId="0" fontId="11" fillId="31" borderId="0" applyNumberFormat="0" applyBorder="0" applyAlignment="0" applyProtection="0"/>
    <xf numFmtId="0" fontId="11" fillId="37" borderId="0" applyNumberFormat="0" applyBorder="0" applyAlignment="0" applyProtection="0"/>
    <xf numFmtId="0" fontId="11" fillId="32" borderId="0" applyNumberFormat="0" applyBorder="0" applyAlignment="0" applyProtection="0"/>
    <xf numFmtId="0" fontId="11" fillId="38" borderId="0" applyNumberFormat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57" borderId="48" applyNumberFormat="0" applyFont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2" borderId="0" applyNumberFormat="0" applyBorder="0" applyAlignment="0" applyProtection="0"/>
    <xf numFmtId="0" fontId="10" fillId="38" borderId="0" applyNumberFormat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57" borderId="48" applyNumberFormat="0" applyFont="0" applyAlignment="0" applyProtection="0"/>
    <xf numFmtId="0" fontId="10" fillId="27" borderId="0" applyNumberFormat="0" applyBorder="0" applyAlignment="0" applyProtection="0"/>
    <xf numFmtId="0" fontId="10" fillId="33" borderId="0" applyNumberFormat="0" applyBorder="0" applyAlignment="0" applyProtection="0"/>
    <xf numFmtId="0" fontId="10" fillId="28" borderId="0" applyNumberFormat="0" applyBorder="0" applyAlignment="0" applyProtection="0"/>
    <xf numFmtId="0" fontId="10" fillId="34" borderId="0" applyNumberFormat="0" applyBorder="0" applyAlignment="0" applyProtection="0"/>
    <xf numFmtId="0" fontId="10" fillId="29" borderId="0" applyNumberFormat="0" applyBorder="0" applyAlignment="0" applyProtection="0"/>
    <xf numFmtId="0" fontId="10" fillId="35" borderId="0" applyNumberFormat="0" applyBorder="0" applyAlignment="0" applyProtection="0"/>
    <xf numFmtId="0" fontId="10" fillId="30" borderId="0" applyNumberFormat="0" applyBorder="0" applyAlignment="0" applyProtection="0"/>
    <xf numFmtId="0" fontId="10" fillId="36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0" fillId="32" borderId="0" applyNumberFormat="0" applyBorder="0" applyAlignment="0" applyProtection="0"/>
    <xf numFmtId="0" fontId="10" fillId="38" borderId="0" applyNumberFormat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57" borderId="48" applyNumberFormat="0" applyFont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9" fillId="32" borderId="0" applyNumberFormat="0" applyBorder="0" applyAlignment="0" applyProtection="0"/>
    <xf numFmtId="0" fontId="9" fillId="38" borderId="0" applyNumberFormat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57" borderId="48" applyNumberFormat="0" applyFont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34" borderId="0" applyNumberFormat="0" applyBorder="0" applyAlignment="0" applyProtection="0"/>
    <xf numFmtId="0" fontId="9" fillId="29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1" borderId="0" applyNumberFormat="0" applyBorder="0" applyAlignment="0" applyProtection="0"/>
    <xf numFmtId="0" fontId="9" fillId="37" borderId="0" applyNumberFormat="0" applyBorder="0" applyAlignment="0" applyProtection="0"/>
    <xf numFmtId="0" fontId="9" fillId="32" borderId="0" applyNumberFormat="0" applyBorder="0" applyAlignment="0" applyProtection="0"/>
    <xf numFmtId="0" fontId="9" fillId="38" borderId="0" applyNumberFormat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57" borderId="48" applyNumberFormat="0" applyFont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57" borderId="48" applyNumberFormat="0" applyFont="0" applyAlignment="0" applyProtection="0"/>
    <xf numFmtId="0" fontId="8" fillId="27" borderId="0" applyNumberFormat="0" applyBorder="0" applyAlignment="0" applyProtection="0"/>
    <xf numFmtId="0" fontId="8" fillId="33" borderId="0" applyNumberFormat="0" applyBorder="0" applyAlignment="0" applyProtection="0"/>
    <xf numFmtId="0" fontId="8" fillId="28" borderId="0" applyNumberFormat="0" applyBorder="0" applyAlignment="0" applyProtection="0"/>
    <xf numFmtId="0" fontId="8" fillId="34" borderId="0" applyNumberFormat="0" applyBorder="0" applyAlignment="0" applyProtection="0"/>
    <xf numFmtId="0" fontId="8" fillId="29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31" borderId="0" applyNumberFormat="0" applyBorder="0" applyAlignment="0" applyProtection="0"/>
    <xf numFmtId="0" fontId="8" fillId="37" borderId="0" applyNumberFormat="0" applyBorder="0" applyAlignment="0" applyProtection="0"/>
    <xf numFmtId="0" fontId="8" fillId="32" borderId="0" applyNumberFormat="0" applyBorder="0" applyAlignment="0" applyProtection="0"/>
    <xf numFmtId="0" fontId="8" fillId="38" borderId="0" applyNumberFormat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7" borderId="48" applyNumberFormat="0" applyFont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2" borderId="0" applyNumberFormat="0" applyBorder="0" applyAlignment="0" applyProtection="0"/>
    <xf numFmtId="0" fontId="7" fillId="38" borderId="0" applyNumberFormat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57" borderId="48" applyNumberFormat="0" applyFont="0" applyAlignment="0" applyProtection="0"/>
    <xf numFmtId="0" fontId="7" fillId="27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7" fillId="34" borderId="0" applyNumberFormat="0" applyBorder="0" applyAlignment="0" applyProtection="0"/>
    <xf numFmtId="0" fontId="7" fillId="29" borderId="0" applyNumberFormat="0" applyBorder="0" applyAlignment="0" applyProtection="0"/>
    <xf numFmtId="0" fontId="7" fillId="35" borderId="0" applyNumberFormat="0" applyBorder="0" applyAlignment="0" applyProtection="0"/>
    <xf numFmtId="0" fontId="7" fillId="30" borderId="0" applyNumberFormat="0" applyBorder="0" applyAlignment="0" applyProtection="0"/>
    <xf numFmtId="0" fontId="7" fillId="36" borderId="0" applyNumberFormat="0" applyBorder="0" applyAlignment="0" applyProtection="0"/>
    <xf numFmtId="0" fontId="7" fillId="31" borderId="0" applyNumberFormat="0" applyBorder="0" applyAlignment="0" applyProtection="0"/>
    <xf numFmtId="0" fontId="7" fillId="37" borderId="0" applyNumberFormat="0" applyBorder="0" applyAlignment="0" applyProtection="0"/>
    <xf numFmtId="0" fontId="7" fillId="32" borderId="0" applyNumberFormat="0" applyBorder="0" applyAlignment="0" applyProtection="0"/>
    <xf numFmtId="0" fontId="7" fillId="38" borderId="0" applyNumberFormat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57" borderId="48" applyNumberFormat="0" applyFont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2" borderId="0" applyNumberFormat="0" applyBorder="0" applyAlignment="0" applyProtection="0"/>
    <xf numFmtId="0" fontId="6" fillId="3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57" borderId="48" applyNumberFormat="0" applyFont="0" applyAlignment="0" applyProtection="0"/>
    <xf numFmtId="0" fontId="6" fillId="27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34" borderId="0" applyNumberFormat="0" applyBorder="0" applyAlignment="0" applyProtection="0"/>
    <xf numFmtId="0" fontId="6" fillId="29" borderId="0" applyNumberFormat="0" applyBorder="0" applyAlignment="0" applyProtection="0"/>
    <xf numFmtId="0" fontId="6" fillId="35" borderId="0" applyNumberFormat="0" applyBorder="0" applyAlignment="0" applyProtection="0"/>
    <xf numFmtId="0" fontId="6" fillId="30" borderId="0" applyNumberFormat="0" applyBorder="0" applyAlignment="0" applyProtection="0"/>
    <xf numFmtId="0" fontId="6" fillId="36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2" borderId="0" applyNumberFormat="0" applyBorder="0" applyAlignment="0" applyProtection="0"/>
    <xf numFmtId="0" fontId="6" fillId="38" borderId="0" applyNumberFormat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7" borderId="48" applyNumberFormat="0" applyFont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57" borderId="48" applyNumberFormat="0" applyFont="0" applyAlignment="0" applyProtection="0"/>
    <xf numFmtId="0" fontId="5" fillId="27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34" borderId="0" applyNumberFormat="0" applyBorder="0" applyAlignment="0" applyProtection="0"/>
    <xf numFmtId="0" fontId="5" fillId="29" borderId="0" applyNumberFormat="0" applyBorder="0" applyAlignment="0" applyProtection="0"/>
    <xf numFmtId="0" fontId="5" fillId="35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1" borderId="0" applyNumberFormat="0" applyBorder="0" applyAlignment="0" applyProtection="0"/>
    <xf numFmtId="0" fontId="5" fillId="37" borderId="0" applyNumberFormat="0" applyBorder="0" applyAlignment="0" applyProtection="0"/>
    <xf numFmtId="0" fontId="5" fillId="32" borderId="0" applyNumberFormat="0" applyBorder="0" applyAlignment="0" applyProtection="0"/>
    <xf numFmtId="0" fontId="5" fillId="38" borderId="0" applyNumberFormat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7" borderId="48" applyNumberFormat="0" applyFont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57" borderId="48" applyNumberFormat="0" applyFont="0" applyAlignment="0" applyProtection="0"/>
    <xf numFmtId="0" fontId="4" fillId="27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34" borderId="0" applyNumberFormat="0" applyBorder="0" applyAlignment="0" applyProtection="0"/>
    <xf numFmtId="0" fontId="4" fillId="29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7" borderId="0" applyNumberFormat="0" applyBorder="0" applyAlignment="0" applyProtection="0"/>
    <xf numFmtId="0" fontId="4" fillId="32" borderId="0" applyNumberFormat="0" applyBorder="0" applyAlignment="0" applyProtection="0"/>
    <xf numFmtId="0" fontId="4" fillId="38" borderId="0" applyNumberFormat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7" borderId="48" applyNumberFormat="0" applyFont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57" borderId="48" applyNumberFormat="0" applyFont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3" fillId="28" borderId="0" applyNumberFormat="0" applyBorder="0" applyAlignment="0" applyProtection="0"/>
    <xf numFmtId="0" fontId="3" fillId="34" borderId="0" applyNumberFormat="0" applyBorder="0" applyAlignment="0" applyProtection="0"/>
    <xf numFmtId="0" fontId="3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57" borderId="48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57" borderId="48" applyNumberFormat="0" applyFont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7" borderId="0" applyNumberFormat="0" applyBorder="0" applyAlignment="0" applyProtection="0"/>
    <xf numFmtId="0" fontId="2" fillId="32" borderId="0" applyNumberFormat="0" applyBorder="0" applyAlignment="0" applyProtection="0"/>
    <xf numFmtId="0" fontId="2" fillId="38" borderId="0" applyNumberFormat="0" applyBorder="0" applyAlignment="0" applyProtection="0"/>
    <xf numFmtId="164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6" borderId="7" applyNumberFormat="0" applyFont="0" applyAlignment="0" applyProtection="0"/>
    <xf numFmtId="0" fontId="1" fillId="57" borderId="48" applyNumberFormat="0" applyFont="0" applyAlignment="0" applyProtection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57" borderId="48" applyNumberFormat="0" applyFont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28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38" borderId="0" applyNumberFormat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24">
    <xf numFmtId="0" fontId="0" fillId="0" borderId="0" xfId="0"/>
    <xf numFmtId="15" fontId="0" fillId="0" borderId="0" xfId="0" applyNumberFormat="1" applyBorder="1"/>
    <xf numFmtId="2" fontId="0" fillId="0" borderId="0" xfId="0" applyNumberFormat="1"/>
    <xf numFmtId="0" fontId="0" fillId="0" borderId="0" xfId="0" applyAlignment="1">
      <alignment wrapText="1"/>
    </xf>
    <xf numFmtId="2" fontId="15" fillId="0" borderId="0" xfId="0" applyNumberFormat="1" applyFont="1"/>
    <xf numFmtId="0" fontId="17" fillId="0" borderId="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2" fontId="15" fillId="0" borderId="1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2" fontId="15" fillId="0" borderId="10" xfId="0" applyNumberFormat="1" applyFont="1" applyFill="1" applyBorder="1" applyAlignment="1">
      <alignment horizontal="center"/>
    </xf>
    <xf numFmtId="10" fontId="15" fillId="0" borderId="10" xfId="112" applyNumberFormat="1" applyFont="1" applyFill="1" applyBorder="1" applyAlignment="1">
      <alignment horizontal="center"/>
    </xf>
    <xf numFmtId="168" fontId="15" fillId="0" borderId="0" xfId="0" applyNumberFormat="1" applyFont="1" applyFill="1" applyBorder="1" applyAlignment="1">
      <alignment horizontal="center"/>
    </xf>
    <xf numFmtId="15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15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5" fontId="18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10" fontId="15" fillId="0" borderId="11" xfId="112" applyNumberFormat="1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1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8" fillId="0" borderId="0" xfId="0" applyFont="1"/>
    <xf numFmtId="0" fontId="20" fillId="0" borderId="0" xfId="0" applyFont="1"/>
    <xf numFmtId="0" fontId="0" fillId="0" borderId="0" xfId="0" applyAlignment="1">
      <alignment horizontal="center"/>
    </xf>
    <xf numFmtId="169" fontId="13" fillId="0" borderId="0" xfId="112" applyNumberFormat="1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13" fillId="0" borderId="0" xfId="112" applyNumberFormat="1" applyAlignment="1">
      <alignment horizontal="center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10" fontId="0" fillId="0" borderId="0" xfId="0" applyNumberFormat="1"/>
    <xf numFmtId="0" fontId="23" fillId="0" borderId="0" xfId="0" applyFont="1"/>
    <xf numFmtId="14" fontId="24" fillId="0" borderId="0" xfId="0" applyNumberFormat="1" applyFont="1" applyAlignment="1">
      <alignment horizontal="right"/>
    </xf>
    <xf numFmtId="2" fontId="15" fillId="0" borderId="0" xfId="112" applyNumberFormat="1" applyFont="1" applyFill="1" applyBorder="1" applyAlignment="1">
      <alignment horizontal="center"/>
    </xf>
    <xf numFmtId="2" fontId="15" fillId="0" borderId="0" xfId="0" applyNumberFormat="1" applyFont="1" applyBorder="1"/>
    <xf numFmtId="2" fontId="15" fillId="0" borderId="0" xfId="0" applyNumberFormat="1" applyFont="1" applyFill="1" applyBorder="1"/>
    <xf numFmtId="2" fontId="16" fillId="0" borderId="0" xfId="0" applyNumberFormat="1" applyFont="1" applyBorder="1"/>
    <xf numFmtId="0" fontId="22" fillId="0" borderId="0" xfId="0" applyFont="1" applyBorder="1" applyAlignment="1">
      <alignment wrapText="1"/>
    </xf>
    <xf numFmtId="0" fontId="22" fillId="0" borderId="0" xfId="0" applyFont="1" applyAlignment="1">
      <alignment wrapText="1"/>
    </xf>
    <xf numFmtId="0" fontId="22" fillId="0" borderId="0" xfId="0" applyFont="1"/>
    <xf numFmtId="0" fontId="42" fillId="0" borderId="0" xfId="0" applyFont="1" applyAlignment="1">
      <alignment wrapText="1"/>
    </xf>
    <xf numFmtId="0" fontId="42" fillId="0" borderId="0" xfId="0" applyFont="1"/>
    <xf numFmtId="0" fontId="43" fillId="0" borderId="0" xfId="0" applyFont="1" applyAlignment="1">
      <alignment wrapText="1"/>
    </xf>
    <xf numFmtId="0" fontId="43" fillId="0" borderId="0" xfId="0" applyFont="1"/>
    <xf numFmtId="0" fontId="18" fillId="0" borderId="0" xfId="0" applyFont="1" applyFill="1" applyAlignment="1">
      <alignment wrapText="1"/>
    </xf>
    <xf numFmtId="0" fontId="43" fillId="0" borderId="0" xfId="0" applyFont="1" applyFill="1" applyAlignment="1">
      <alignment wrapText="1"/>
    </xf>
    <xf numFmtId="0" fontId="43" fillId="0" borderId="0" xfId="0" applyFont="1" applyFill="1"/>
    <xf numFmtId="0" fontId="21" fillId="0" borderId="0" xfId="0" applyFont="1"/>
    <xf numFmtId="0" fontId="18" fillId="0" borderId="0" xfId="0" applyFont="1" applyFill="1"/>
    <xf numFmtId="0" fontId="17" fillId="0" borderId="0" xfId="0" applyFont="1" applyFill="1" applyAlignment="1">
      <alignment wrapText="1"/>
    </xf>
    <xf numFmtId="0" fontId="17" fillId="0" borderId="0" xfId="0" applyFont="1" applyFill="1"/>
    <xf numFmtId="15" fontId="16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5" fontId="15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Fill="1" applyBorder="1" applyAlignment="1">
      <alignment horizontal="center" wrapText="1"/>
    </xf>
    <xf numFmtId="1" fontId="19" fillId="0" borderId="0" xfId="0" applyNumberFormat="1" applyFont="1" applyBorder="1" applyAlignment="1">
      <alignment horizontal="center"/>
    </xf>
    <xf numFmtId="2" fontId="45" fillId="26" borderId="12" xfId="112" applyNumberFormat="1" applyFont="1" applyFill="1" applyBorder="1" applyAlignment="1">
      <alignment horizontal="center" wrapText="1"/>
    </xf>
    <xf numFmtId="15" fontId="45" fillId="26" borderId="13" xfId="0" applyNumberFormat="1" applyFont="1" applyFill="1" applyBorder="1" applyAlignment="1">
      <alignment horizontal="center" wrapText="1"/>
    </xf>
    <xf numFmtId="2" fontId="45" fillId="26" borderId="14" xfId="0" applyNumberFormat="1" applyFont="1" applyFill="1" applyBorder="1" applyAlignment="1">
      <alignment horizontal="center" wrapText="1"/>
    </xf>
    <xf numFmtId="2" fontId="45" fillId="26" borderId="12" xfId="0" applyNumberFormat="1" applyFont="1" applyFill="1" applyBorder="1" applyAlignment="1">
      <alignment horizontal="center" wrapText="1"/>
    </xf>
    <xf numFmtId="10" fontId="45" fillId="26" borderId="14" xfId="112" applyNumberFormat="1" applyFont="1" applyFill="1" applyBorder="1" applyAlignment="1">
      <alignment horizontal="center" wrapText="1"/>
    </xf>
    <xf numFmtId="10" fontId="45" fillId="26" borderId="12" xfId="112" applyNumberFormat="1" applyFont="1" applyFill="1" applyBorder="1" applyAlignment="1">
      <alignment horizontal="center" wrapText="1"/>
    </xf>
    <xf numFmtId="1" fontId="45" fillId="26" borderId="12" xfId="0" applyNumberFormat="1" applyFont="1" applyFill="1" applyBorder="1" applyAlignment="1">
      <alignment horizontal="center" wrapText="1"/>
    </xf>
    <xf numFmtId="15" fontId="49" fillId="0" borderId="15" xfId="0" applyNumberFormat="1" applyFont="1" applyFill="1" applyBorder="1" applyAlignment="1">
      <alignment horizontal="center" wrapText="1"/>
    </xf>
    <xf numFmtId="2" fontId="49" fillId="0" borderId="11" xfId="0" applyNumberFormat="1" applyFont="1" applyFill="1" applyBorder="1" applyAlignment="1">
      <alignment horizontal="center" wrapText="1"/>
    </xf>
    <xf numFmtId="0" fontId="49" fillId="0" borderId="10" xfId="0" applyFont="1" applyFill="1" applyBorder="1" applyAlignment="1">
      <alignment wrapText="1"/>
    </xf>
    <xf numFmtId="2" fontId="49" fillId="0" borderId="16" xfId="112" applyNumberFormat="1" applyFont="1" applyFill="1" applyBorder="1" applyAlignment="1">
      <alignment horizontal="center" wrapText="1"/>
    </xf>
    <xf numFmtId="4" fontId="49" fillId="0" borderId="11" xfId="112" applyNumberFormat="1" applyFont="1" applyFill="1" applyBorder="1" applyAlignment="1">
      <alignment horizontal="center"/>
    </xf>
    <xf numFmtId="1" fontId="49" fillId="0" borderId="16" xfId="0" applyNumberFormat="1" applyFont="1" applyFill="1" applyBorder="1" applyAlignment="1">
      <alignment horizontal="center" wrapText="1"/>
    </xf>
    <xf numFmtId="2" fontId="49" fillId="0" borderId="17" xfId="0" applyNumberFormat="1" applyFont="1" applyFill="1" applyBorder="1" applyAlignment="1">
      <alignment horizontal="center" wrapText="1"/>
    </xf>
    <xf numFmtId="2" fontId="49" fillId="0" borderId="18" xfId="0" applyNumberFormat="1" applyFont="1" applyFill="1" applyBorder="1" applyAlignment="1">
      <alignment horizontal="center" wrapText="1"/>
    </xf>
    <xf numFmtId="167" fontId="49" fillId="0" borderId="18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2" fontId="49" fillId="0" borderId="11" xfId="112" applyNumberFormat="1" applyFont="1" applyFill="1" applyBorder="1" applyAlignment="1">
      <alignment horizontal="center" wrapText="1"/>
    </xf>
    <xf numFmtId="1" fontId="49" fillId="0" borderId="11" xfId="0" applyNumberFormat="1" applyFont="1" applyFill="1" applyBorder="1" applyAlignment="1">
      <alignment horizontal="center" wrapText="1"/>
    </xf>
    <xf numFmtId="15" fontId="49" fillId="0" borderId="19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49" fillId="0" borderId="10" xfId="112" applyNumberFormat="1" applyFont="1" applyFill="1" applyBorder="1" applyAlignment="1">
      <alignment horizontal="center" wrapText="1"/>
    </xf>
    <xf numFmtId="1" fontId="49" fillId="0" borderId="10" xfId="0" applyNumberFormat="1" applyFont="1" applyFill="1" applyBorder="1" applyAlignment="1">
      <alignment horizontal="center" wrapText="1"/>
    </xf>
    <xf numFmtId="167" fontId="49" fillId="0" borderId="17" xfId="0" applyNumberFormat="1" applyFont="1" applyFill="1" applyBorder="1" applyAlignment="1">
      <alignment horizontal="center" wrapText="1"/>
    </xf>
    <xf numFmtId="167" fontId="50" fillId="26" borderId="20" xfId="0" applyNumberFormat="1" applyFont="1" applyFill="1" applyBorder="1" applyAlignment="1">
      <alignment horizontal="center" wrapText="1"/>
    </xf>
    <xf numFmtId="15" fontId="49" fillId="0" borderId="21" xfId="0" applyNumberFormat="1" applyFont="1" applyFill="1" applyBorder="1" applyAlignment="1">
      <alignment horizontal="center" wrapText="1"/>
    </xf>
    <xf numFmtId="2" fontId="49" fillId="0" borderId="22" xfId="0" applyNumberFormat="1" applyFont="1" applyFill="1" applyBorder="1" applyAlignment="1">
      <alignment horizontal="center" wrapText="1"/>
    </xf>
    <xf numFmtId="2" fontId="49" fillId="0" borderId="23" xfId="112" applyNumberFormat="1" applyFont="1" applyFill="1" applyBorder="1" applyAlignment="1">
      <alignment horizontal="center" wrapText="1"/>
    </xf>
    <xf numFmtId="4" fontId="49" fillId="0" borderId="22" xfId="112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0" fontId="15" fillId="0" borderId="0" xfId="112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15" fontId="0" fillId="0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5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/>
    <xf numFmtId="1" fontId="49" fillId="0" borderId="23" xfId="0" applyNumberFormat="1" applyFont="1" applyFill="1" applyBorder="1" applyAlignment="1">
      <alignment horizontal="center" wrapText="1"/>
    </xf>
    <xf numFmtId="167" fontId="49" fillId="0" borderId="24" xfId="0" applyNumberFormat="1" applyFont="1" applyFill="1" applyBorder="1" applyAlignment="1">
      <alignment horizontal="center" wrapText="1"/>
    </xf>
    <xf numFmtId="15" fontId="49" fillId="0" borderId="25" xfId="0" applyNumberFormat="1" applyFont="1" applyFill="1" applyBorder="1" applyAlignment="1">
      <alignment horizontal="center" wrapText="1"/>
    </xf>
    <xf numFmtId="2" fontId="49" fillId="0" borderId="26" xfId="0" applyNumberFormat="1" applyFont="1" applyFill="1" applyBorder="1" applyAlignment="1">
      <alignment horizontal="center" wrapText="1"/>
    </xf>
    <xf numFmtId="0" fontId="49" fillId="0" borderId="27" xfId="0" applyFont="1" applyFill="1" applyBorder="1" applyAlignment="1">
      <alignment wrapText="1"/>
    </xf>
    <xf numFmtId="2" fontId="49" fillId="0" borderId="28" xfId="112" applyNumberFormat="1" applyFont="1" applyFill="1" applyBorder="1" applyAlignment="1">
      <alignment horizontal="center" wrapText="1"/>
    </xf>
    <xf numFmtId="4" fontId="49" fillId="0" borderId="26" xfId="112" applyNumberFormat="1" applyFont="1" applyFill="1" applyBorder="1" applyAlignment="1">
      <alignment horizontal="center"/>
    </xf>
    <xf numFmtId="1" fontId="49" fillId="0" borderId="28" xfId="0" applyNumberFormat="1" applyFont="1" applyFill="1" applyBorder="1" applyAlignment="1">
      <alignment horizontal="center" wrapText="1"/>
    </xf>
    <xf numFmtId="167" fontId="49" fillId="0" borderId="29" xfId="0" applyNumberFormat="1" applyFont="1" applyFill="1" applyBorder="1" applyAlignment="1">
      <alignment horizontal="center" wrapText="1"/>
    </xf>
    <xf numFmtId="15" fontId="14" fillId="26" borderId="0" xfId="0" applyNumberFormat="1" applyFont="1" applyFill="1" applyBorder="1" applyAlignment="1">
      <alignment horizontal="center" wrapText="1"/>
    </xf>
    <xf numFmtId="15" fontId="45" fillId="26" borderId="14" xfId="0" applyNumberFormat="1" applyFont="1" applyFill="1" applyBorder="1" applyAlignment="1">
      <alignment horizontal="center" wrapText="1"/>
    </xf>
    <xf numFmtId="15" fontId="45" fillId="26" borderId="20" xfId="0" applyNumberFormat="1" applyFont="1" applyFill="1" applyBorder="1" applyAlignment="1">
      <alignment horizontal="center" wrapText="1"/>
    </xf>
    <xf numFmtId="17" fontId="44" fillId="0" borderId="19" xfId="0" applyNumberFormat="1" applyFont="1" applyBorder="1" applyAlignment="1">
      <alignment horizontal="center"/>
    </xf>
    <xf numFmtId="15" fontId="55" fillId="26" borderId="10" xfId="0" applyNumberFormat="1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 wrapText="1"/>
    </xf>
    <xf numFmtId="2" fontId="44" fillId="0" borderId="30" xfId="112" applyNumberFormat="1" applyFont="1" applyFill="1" applyBorder="1" applyAlignment="1">
      <alignment horizontal="center" wrapText="1"/>
    </xf>
    <xf numFmtId="10" fontId="44" fillId="0" borderId="10" xfId="0" applyNumberFormat="1" applyFont="1" applyFill="1" applyBorder="1" applyAlignment="1">
      <alignment horizontal="center"/>
    </xf>
    <xf numFmtId="10" fontId="44" fillId="0" borderId="17" xfId="0" applyNumberFormat="1" applyFont="1" applyFill="1" applyBorder="1" applyAlignment="1">
      <alignment horizontal="center"/>
    </xf>
    <xf numFmtId="15" fontId="44" fillId="0" borderId="10" xfId="0" applyNumberFormat="1" applyFont="1" applyFill="1" applyBorder="1" applyAlignment="1">
      <alignment horizontal="center" wrapText="1"/>
    </xf>
    <xf numFmtId="15" fontId="54" fillId="0" borderId="10" xfId="0" applyNumberFormat="1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2" fontId="44" fillId="0" borderId="10" xfId="112" applyNumberFormat="1" applyFont="1" applyFill="1" applyBorder="1" applyAlignment="1">
      <alignment horizontal="center" wrapText="1"/>
    </xf>
    <xf numFmtId="4" fontId="44" fillId="0" borderId="10" xfId="112" applyNumberFormat="1" applyFont="1" applyFill="1" applyBorder="1" applyAlignment="1">
      <alignment horizontal="center" wrapText="1"/>
    </xf>
    <xf numFmtId="17" fontId="44" fillId="0" borderId="25" xfId="0" applyNumberFormat="1" applyFont="1" applyBorder="1" applyAlignment="1">
      <alignment horizontal="center"/>
    </xf>
    <xf numFmtId="2" fontId="44" fillId="0" borderId="26" xfId="0" applyNumberFormat="1" applyFont="1" applyFill="1" applyBorder="1" applyAlignment="1">
      <alignment horizontal="center"/>
    </xf>
    <xf numFmtId="10" fontId="44" fillId="0" borderId="26" xfId="0" applyNumberFormat="1" applyFont="1" applyFill="1" applyBorder="1" applyAlignment="1">
      <alignment horizontal="center"/>
    </xf>
    <xf numFmtId="10" fontId="44" fillId="0" borderId="29" xfId="0" applyNumberFormat="1" applyFont="1" applyFill="1" applyBorder="1" applyAlignment="1">
      <alignment horizontal="center"/>
    </xf>
    <xf numFmtId="0" fontId="57" fillId="0" borderId="31" xfId="0" applyFont="1" applyFill="1" applyBorder="1"/>
    <xf numFmtId="0" fontId="56" fillId="0" borderId="34" xfId="0" applyFont="1" applyFill="1" applyBorder="1"/>
    <xf numFmtId="10" fontId="57" fillId="0" borderId="0" xfId="0" applyNumberFormat="1" applyFont="1" applyFill="1" applyBorder="1"/>
    <xf numFmtId="0" fontId="49" fillId="0" borderId="0" xfId="0" applyFont="1"/>
    <xf numFmtId="0" fontId="49" fillId="0" borderId="11" xfId="0" applyFont="1" applyFill="1" applyBorder="1" applyAlignment="1">
      <alignment wrapText="1"/>
    </xf>
    <xf numFmtId="0" fontId="20" fillId="0" borderId="0" xfId="0" applyFont="1" applyBorder="1"/>
    <xf numFmtId="15" fontId="55" fillId="26" borderId="11" xfId="0" applyNumberFormat="1" applyFont="1" applyFill="1" applyBorder="1" applyAlignment="1">
      <alignment horizontal="center" wrapText="1"/>
    </xf>
    <xf numFmtId="2" fontId="44" fillId="0" borderId="11" xfId="0" applyNumberFormat="1" applyFont="1" applyFill="1" applyBorder="1" applyAlignment="1">
      <alignment horizontal="center" wrapText="1"/>
    </xf>
    <xf numFmtId="2" fontId="44" fillId="0" borderId="16" xfId="112" applyNumberFormat="1" applyFont="1" applyFill="1" applyBorder="1" applyAlignment="1">
      <alignment horizontal="center" wrapText="1"/>
    </xf>
    <xf numFmtId="0" fontId="21" fillId="0" borderId="0" xfId="0" applyFont="1" applyBorder="1"/>
    <xf numFmtId="2" fontId="15" fillId="0" borderId="0" xfId="0" applyNumberFormat="1" applyFont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 wrapText="1"/>
    </xf>
    <xf numFmtId="10" fontId="20" fillId="0" borderId="0" xfId="112" applyNumberFormat="1" applyFont="1"/>
    <xf numFmtId="0" fontId="20" fillId="0" borderId="34" xfId="0" applyFont="1" applyBorder="1"/>
    <xf numFmtId="0" fontId="22" fillId="0" borderId="31" xfId="0" applyFont="1" applyFill="1" applyBorder="1"/>
    <xf numFmtId="0" fontId="22" fillId="0" borderId="32" xfId="0" applyFont="1" applyFill="1" applyBorder="1"/>
    <xf numFmtId="4" fontId="17" fillId="0" borderId="0" xfId="0" applyNumberFormat="1" applyFont="1" applyBorder="1" applyAlignment="1">
      <alignment wrapText="1"/>
    </xf>
    <xf numFmtId="10" fontId="22" fillId="0" borderId="0" xfId="0" applyNumberFormat="1" applyFont="1"/>
    <xf numFmtId="166" fontId="48" fillId="0" borderId="0" xfId="0" applyNumberFormat="1" applyFont="1" applyFill="1" applyBorder="1" applyAlignment="1">
      <alignment horizontal="center" wrapText="1"/>
    </xf>
    <xf numFmtId="166" fontId="49" fillId="0" borderId="0" xfId="0" applyNumberFormat="1" applyFont="1" applyFill="1" applyBorder="1" applyAlignment="1">
      <alignment horizontal="center" wrapText="1"/>
    </xf>
    <xf numFmtId="166" fontId="49" fillId="0" borderId="10" xfId="0" applyNumberFormat="1" applyFont="1" applyFill="1" applyBorder="1" applyAlignment="1">
      <alignment horizontal="center" wrapText="1"/>
    </xf>
    <xf numFmtId="2" fontId="49" fillId="0" borderId="30" xfId="112" applyNumberFormat="1" applyFont="1" applyFill="1" applyBorder="1" applyAlignment="1">
      <alignment horizontal="center" wrapText="1"/>
    </xf>
    <xf numFmtId="4" fontId="49" fillId="0" borderId="10" xfId="112" applyNumberFormat="1" applyFont="1" applyFill="1" applyBorder="1" applyAlignment="1">
      <alignment horizontal="center"/>
    </xf>
    <xf numFmtId="1" fontId="49" fillId="0" borderId="30" xfId="0" applyNumberFormat="1" applyFont="1" applyFill="1" applyBorder="1" applyAlignment="1">
      <alignment horizontal="center" wrapText="1"/>
    </xf>
    <xf numFmtId="0" fontId="57" fillId="0" borderId="32" xfId="0" applyFont="1" applyFill="1" applyBorder="1"/>
    <xf numFmtId="0" fontId="57" fillId="0" borderId="33" xfId="0" applyFont="1" applyFill="1" applyBorder="1"/>
    <xf numFmtId="0" fontId="22" fillId="0" borderId="33" xfId="0" applyFont="1" applyFill="1" applyBorder="1"/>
    <xf numFmtId="169" fontId="57" fillId="0" borderId="37" xfId="0" applyNumberFormat="1" applyFont="1" applyFill="1" applyBorder="1"/>
    <xf numFmtId="0" fontId="18" fillId="0" borderId="0" xfId="0" applyFont="1"/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/>
    <xf numFmtId="166" fontId="49" fillId="0" borderId="16" xfId="0" applyNumberFormat="1" applyFont="1" applyFill="1" applyBorder="1" applyAlignment="1">
      <alignment horizontal="center" wrapText="1"/>
    </xf>
    <xf numFmtId="4" fontId="49" fillId="0" borderId="16" xfId="112" applyNumberFormat="1" applyFont="1" applyFill="1" applyBorder="1" applyAlignment="1">
      <alignment horizontal="center"/>
    </xf>
    <xf numFmtId="10" fontId="44" fillId="0" borderId="11" xfId="0" applyNumberFormat="1" applyFont="1" applyFill="1" applyBorder="1" applyAlignment="1">
      <alignment horizontal="center"/>
    </xf>
    <xf numFmtId="10" fontId="44" fillId="0" borderId="18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/>
    <xf numFmtId="0" fontId="13" fillId="0" borderId="0" xfId="0" applyFont="1"/>
    <xf numFmtId="0" fontId="13" fillId="0" borderId="0" xfId="0" applyFont="1"/>
    <xf numFmtId="1" fontId="49" fillId="0" borderId="0" xfId="0" applyNumberFormat="1" applyFont="1" applyFill="1" applyBorder="1" applyAlignment="1">
      <alignment horizontal="center" wrapText="1"/>
    </xf>
    <xf numFmtId="170" fontId="15" fillId="0" borderId="0" xfId="500" applyNumberFormat="1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right"/>
    </xf>
    <xf numFmtId="0" fontId="57" fillId="0" borderId="34" xfId="0" applyFont="1" applyFill="1" applyBorder="1"/>
    <xf numFmtId="0" fontId="56" fillId="0" borderId="37" xfId="0" applyFont="1" applyFill="1" applyBorder="1" applyAlignment="1">
      <alignment horizontal="right"/>
    </xf>
    <xf numFmtId="0" fontId="0" fillId="0" borderId="34" xfId="0" applyBorder="1"/>
    <xf numFmtId="0" fontId="44" fillId="0" borderId="0" xfId="0" applyFont="1" applyBorder="1"/>
    <xf numFmtId="15" fontId="44" fillId="0" borderId="0" xfId="0" applyNumberFormat="1" applyFont="1" applyBorder="1"/>
    <xf numFmtId="10" fontId="54" fillId="0" borderId="37" xfId="112" applyNumberFormat="1" applyFont="1" applyBorder="1"/>
    <xf numFmtId="0" fontId="58" fillId="0" borderId="0" xfId="0" applyFont="1" applyBorder="1"/>
    <xf numFmtId="0" fontId="0" fillId="0" borderId="36" xfId="0" applyBorder="1"/>
    <xf numFmtId="0" fontId="0" fillId="0" borderId="35" xfId="0" applyBorder="1"/>
    <xf numFmtId="0" fontId="44" fillId="0" borderId="35" xfId="0" applyFont="1" applyBorder="1"/>
    <xf numFmtId="2" fontId="44" fillId="0" borderId="35" xfId="0" applyNumberFormat="1" applyFont="1" applyBorder="1"/>
    <xf numFmtId="0" fontId="58" fillId="0" borderId="35" xfId="0" applyFont="1" applyBorder="1"/>
    <xf numFmtId="10" fontId="44" fillId="0" borderId="38" xfId="0" applyNumberFormat="1" applyFont="1" applyBorder="1"/>
    <xf numFmtId="169" fontId="13" fillId="0" borderId="0" xfId="112" applyNumberFormat="1" applyBorder="1" applyAlignment="1">
      <alignment horizontal="center"/>
    </xf>
    <xf numFmtId="10" fontId="59" fillId="0" borderId="37" xfId="0" applyNumberFormat="1" applyFont="1" applyFill="1" applyBorder="1"/>
    <xf numFmtId="2" fontId="0" fillId="0" borderId="34" xfId="0" applyNumberFormat="1" applyBorder="1" applyAlignment="1">
      <alignment horizontal="center"/>
    </xf>
    <xf numFmtId="169" fontId="58" fillId="0" borderId="37" xfId="112" applyNumberFormat="1" applyFont="1" applyBorder="1"/>
    <xf numFmtId="2" fontId="0" fillId="0" borderId="36" xfId="0" applyNumberFormat="1" applyBorder="1" applyAlignment="1">
      <alignment horizontal="center"/>
    </xf>
    <xf numFmtId="169" fontId="13" fillId="0" borderId="35" xfId="112" applyNumberFormat="1" applyBorder="1" applyAlignment="1">
      <alignment horizontal="center"/>
    </xf>
    <xf numFmtId="2" fontId="44" fillId="0" borderId="38" xfId="0" applyNumberFormat="1" applyFont="1" applyBorder="1"/>
    <xf numFmtId="10" fontId="57" fillId="0" borderId="0" xfId="0" applyNumberFormat="1" applyFont="1" applyFill="1" applyBorder="1"/>
    <xf numFmtId="10" fontId="44" fillId="0" borderId="11" xfId="0" applyNumberFormat="1" applyFont="1" applyFill="1" applyBorder="1" applyAlignment="1">
      <alignment horizontal="center"/>
    </xf>
    <xf numFmtId="10" fontId="44" fillId="0" borderId="18" xfId="0" applyNumberFormat="1" applyFont="1" applyFill="1" applyBorder="1" applyAlignment="1">
      <alignment horizontal="center"/>
    </xf>
    <xf numFmtId="0" fontId="45" fillId="26" borderId="36" xfId="0" applyFont="1" applyFill="1" applyBorder="1" applyAlignment="1">
      <alignment horizontal="center"/>
    </xf>
    <xf numFmtId="0" fontId="44" fillId="0" borderId="35" xfId="0" applyFont="1" applyBorder="1" applyAlignment="1"/>
    <xf numFmtId="0" fontId="44" fillId="0" borderId="38" xfId="0" applyFont="1" applyBorder="1" applyAlignment="1"/>
    <xf numFmtId="165" fontId="46" fillId="26" borderId="31" xfId="0" applyNumberFormat="1" applyFont="1" applyFill="1" applyBorder="1" applyAlignment="1">
      <alignment horizontal="center"/>
    </xf>
    <xf numFmtId="0" fontId="47" fillId="0" borderId="32" xfId="0" applyFont="1" applyBorder="1"/>
    <xf numFmtId="0" fontId="47" fillId="0" borderId="33" xfId="0" applyFont="1" applyBorder="1"/>
    <xf numFmtId="15" fontId="45" fillId="26" borderId="34" xfId="0" applyNumberFormat="1" applyFont="1" applyFill="1" applyBorder="1" applyAlignment="1">
      <alignment horizontal="center"/>
    </xf>
    <xf numFmtId="0" fontId="44" fillId="0" borderId="0" xfId="0" applyFont="1"/>
    <xf numFmtId="0" fontId="44" fillId="0" borderId="37" xfId="0" applyFont="1" applyBorder="1"/>
    <xf numFmtId="0" fontId="45" fillId="26" borderId="34" xfId="0" applyFont="1" applyFill="1" applyBorder="1" applyAlignment="1">
      <alignment horizontal="center"/>
    </xf>
    <xf numFmtId="0" fontId="52" fillId="26" borderId="34" xfId="0" applyFont="1" applyFill="1" applyBorder="1" applyAlignment="1">
      <alignment horizontal="center"/>
    </xf>
    <xf numFmtId="0" fontId="51" fillId="0" borderId="0" xfId="0" applyFont="1"/>
    <xf numFmtId="0" fontId="51" fillId="0" borderId="37" xfId="0" applyFont="1" applyBorder="1"/>
    <xf numFmtId="15" fontId="53" fillId="26" borderId="34" xfId="0" applyNumberFormat="1" applyFont="1" applyFill="1" applyBorder="1" applyAlignment="1">
      <alignment horizontal="center" wrapText="1"/>
    </xf>
    <xf numFmtId="15" fontId="53" fillId="26" borderId="0" xfId="0" applyNumberFormat="1" applyFont="1" applyFill="1" applyBorder="1" applyAlignment="1">
      <alignment horizontal="center" wrapText="1"/>
    </xf>
    <xf numFmtId="15" fontId="53" fillId="26" borderId="37" xfId="0" applyNumberFormat="1" applyFont="1" applyFill="1" applyBorder="1" applyAlignment="1">
      <alignment horizontal="center" wrapText="1"/>
    </xf>
    <xf numFmtId="15" fontId="53" fillId="26" borderId="31" xfId="0" applyNumberFormat="1" applyFont="1" applyFill="1" applyBorder="1" applyAlignment="1">
      <alignment horizontal="center" wrapText="1"/>
    </xf>
    <xf numFmtId="15" fontId="53" fillId="26" borderId="32" xfId="0" applyNumberFormat="1" applyFont="1" applyFill="1" applyBorder="1" applyAlignment="1">
      <alignment horizontal="center" wrapText="1"/>
    </xf>
    <xf numFmtId="15" fontId="53" fillId="26" borderId="33" xfId="0" applyNumberFormat="1" applyFont="1" applyFill="1" applyBorder="1" applyAlignment="1">
      <alignment horizontal="center" wrapText="1"/>
    </xf>
    <xf numFmtId="15" fontId="53" fillId="26" borderId="39" xfId="0" applyNumberFormat="1" applyFont="1" applyFill="1" applyBorder="1" applyAlignment="1">
      <alignment horizontal="center" wrapText="1"/>
    </xf>
    <xf numFmtId="15" fontId="53" fillId="26" borderId="40" xfId="0" applyNumberFormat="1" applyFont="1" applyFill="1" applyBorder="1" applyAlignment="1">
      <alignment horizontal="center" wrapText="1"/>
    </xf>
    <xf numFmtId="15" fontId="53" fillId="26" borderId="41" xfId="0" applyNumberFormat="1" applyFont="1" applyFill="1" applyBorder="1" applyAlignment="1">
      <alignment horizontal="center" wrapText="1"/>
    </xf>
    <xf numFmtId="15" fontId="53" fillId="26" borderId="36" xfId="0" applyNumberFormat="1" applyFont="1" applyFill="1" applyBorder="1" applyAlignment="1">
      <alignment horizontal="center" wrapText="1"/>
    </xf>
    <xf numFmtId="15" fontId="53" fillId="26" borderId="35" xfId="0" applyNumberFormat="1" applyFont="1" applyFill="1" applyBorder="1" applyAlignment="1">
      <alignment horizontal="center" wrapText="1"/>
    </xf>
    <xf numFmtId="15" fontId="53" fillId="26" borderId="38" xfId="0" applyNumberFormat="1" applyFont="1" applyFill="1" applyBorder="1" applyAlignment="1">
      <alignment horizontal="center" wrapText="1"/>
    </xf>
  </cellXfs>
  <cellStyles count="1201">
    <cellStyle name="20% - Accent1" xfId="1" builtinId="30" customBuiltin="1"/>
    <cellStyle name="20% - Accent1 2" xfId="2"/>
    <cellStyle name="20% - Accent1 2 10" xfId="376"/>
    <cellStyle name="20% - Accent1 2 10 2" xfId="1076"/>
    <cellStyle name="20% - Accent1 2 10_Monthly returns" xfId="501"/>
    <cellStyle name="20% - Accent1 2 11" xfId="408"/>
    <cellStyle name="20% - Accent1 2 11 2" xfId="1108"/>
    <cellStyle name="20% - Accent1 2 11_Monthly returns" xfId="502"/>
    <cellStyle name="20% - Accent1 2 12" xfId="440"/>
    <cellStyle name="20% - Accent1 2 12 2" xfId="1140"/>
    <cellStyle name="20% - Accent1 2 12_Monthly returns" xfId="503"/>
    <cellStyle name="20% - Accent1 2 13" xfId="472"/>
    <cellStyle name="20% - Accent1 2 13 2" xfId="1172"/>
    <cellStyle name="20% - Accent1 2 13_Monthly returns" xfId="504"/>
    <cellStyle name="20% - Accent1 2 2" xfId="3"/>
    <cellStyle name="20% - Accent1 2 2 2" xfId="828"/>
    <cellStyle name="20% - Accent1 2 2_Monthly returns" xfId="505"/>
    <cellStyle name="20% - Accent1 2 3" xfId="131"/>
    <cellStyle name="20% - Accent1 2 3 2" xfId="852"/>
    <cellStyle name="20% - Accent1 2 3_Monthly returns" xfId="506"/>
    <cellStyle name="20% - Accent1 2 4" xfId="184"/>
    <cellStyle name="20% - Accent1 2 4 2" xfId="884"/>
    <cellStyle name="20% - Accent1 2 4_Monthly returns" xfId="507"/>
    <cellStyle name="20% - Accent1 2 5" xfId="216"/>
    <cellStyle name="20% - Accent1 2 5 2" xfId="916"/>
    <cellStyle name="20% - Accent1 2 5_Monthly returns" xfId="508"/>
    <cellStyle name="20% - Accent1 2 6" xfId="248"/>
    <cellStyle name="20% - Accent1 2 6 2" xfId="948"/>
    <cellStyle name="20% - Accent1 2 6_Monthly returns" xfId="509"/>
    <cellStyle name="20% - Accent1 2 7" xfId="280"/>
    <cellStyle name="20% - Accent1 2 7 2" xfId="980"/>
    <cellStyle name="20% - Accent1 2 7_Monthly returns" xfId="510"/>
    <cellStyle name="20% - Accent1 2 8" xfId="312"/>
    <cellStyle name="20% - Accent1 2 8 2" xfId="1012"/>
    <cellStyle name="20% - Accent1 2 8_Monthly returns" xfId="511"/>
    <cellStyle name="20% - Accent1 2 9" xfId="344"/>
    <cellStyle name="20% - Accent1 2 9 2" xfId="1044"/>
    <cellStyle name="20% - Accent1 2 9_Monthly returns" xfId="512"/>
    <cellStyle name="20% - Accent1 3" xfId="146"/>
    <cellStyle name="20% - Accent1 3 10" xfId="455"/>
    <cellStyle name="20% - Accent1 3 10 2" xfId="1155"/>
    <cellStyle name="20% - Accent1 3 10_Monthly returns" xfId="514"/>
    <cellStyle name="20% - Accent1 3 11" xfId="487"/>
    <cellStyle name="20% - Accent1 3 11 2" xfId="1187"/>
    <cellStyle name="20% - Accent1 3 11_Monthly returns" xfId="515"/>
    <cellStyle name="20% - Accent1 3 12" xfId="867"/>
    <cellStyle name="20% - Accent1 3 2" xfId="199"/>
    <cellStyle name="20% - Accent1 3 2 2" xfId="899"/>
    <cellStyle name="20% - Accent1 3 2_Monthly returns" xfId="516"/>
    <cellStyle name="20% - Accent1 3 3" xfId="231"/>
    <cellStyle name="20% - Accent1 3 3 2" xfId="931"/>
    <cellStyle name="20% - Accent1 3 3_Monthly returns" xfId="517"/>
    <cellStyle name="20% - Accent1 3 4" xfId="263"/>
    <cellStyle name="20% - Accent1 3 4 2" xfId="963"/>
    <cellStyle name="20% - Accent1 3 4_Monthly returns" xfId="518"/>
    <cellStyle name="20% - Accent1 3 5" xfId="295"/>
    <cellStyle name="20% - Accent1 3 5 2" xfId="995"/>
    <cellStyle name="20% - Accent1 3 5_Monthly returns" xfId="519"/>
    <cellStyle name="20% - Accent1 3 6" xfId="327"/>
    <cellStyle name="20% - Accent1 3 6 2" xfId="1027"/>
    <cellStyle name="20% - Accent1 3 6_Monthly returns" xfId="520"/>
    <cellStyle name="20% - Accent1 3 7" xfId="359"/>
    <cellStyle name="20% - Accent1 3 7 2" xfId="1059"/>
    <cellStyle name="20% - Accent1 3 7_Monthly returns" xfId="521"/>
    <cellStyle name="20% - Accent1 3 8" xfId="391"/>
    <cellStyle name="20% - Accent1 3 8 2" xfId="1091"/>
    <cellStyle name="20% - Accent1 3 8_Monthly returns" xfId="522"/>
    <cellStyle name="20% - Accent1 3 9" xfId="423"/>
    <cellStyle name="20% - Accent1 3 9 2" xfId="1123"/>
    <cellStyle name="20% - Accent1 3 9_Monthly returns" xfId="523"/>
    <cellStyle name="20% - Accent1 3_Monthly returns" xfId="513"/>
    <cellStyle name="20% - Accent2" xfId="4" builtinId="34" customBuiltin="1"/>
    <cellStyle name="20% - Accent2 2" xfId="5"/>
    <cellStyle name="20% - Accent2 2 10" xfId="378"/>
    <cellStyle name="20% - Accent2 2 10 2" xfId="1078"/>
    <cellStyle name="20% - Accent2 2 10_Monthly returns" xfId="524"/>
    <cellStyle name="20% - Accent2 2 11" xfId="410"/>
    <cellStyle name="20% - Accent2 2 11 2" xfId="1110"/>
    <cellStyle name="20% - Accent2 2 11_Monthly returns" xfId="525"/>
    <cellStyle name="20% - Accent2 2 12" xfId="442"/>
    <cellStyle name="20% - Accent2 2 12 2" xfId="1142"/>
    <cellStyle name="20% - Accent2 2 12_Monthly returns" xfId="526"/>
    <cellStyle name="20% - Accent2 2 13" xfId="474"/>
    <cellStyle name="20% - Accent2 2 13 2" xfId="1174"/>
    <cellStyle name="20% - Accent2 2 13_Monthly returns" xfId="527"/>
    <cellStyle name="20% - Accent2 2 2" xfId="6"/>
    <cellStyle name="20% - Accent2 2 2 2" xfId="829"/>
    <cellStyle name="20% - Accent2 2 2_Monthly returns" xfId="528"/>
    <cellStyle name="20% - Accent2 2 3" xfId="133"/>
    <cellStyle name="20% - Accent2 2 3 2" xfId="854"/>
    <cellStyle name="20% - Accent2 2 3_Monthly returns" xfId="529"/>
    <cellStyle name="20% - Accent2 2 4" xfId="186"/>
    <cellStyle name="20% - Accent2 2 4 2" xfId="886"/>
    <cellStyle name="20% - Accent2 2 4_Monthly returns" xfId="530"/>
    <cellStyle name="20% - Accent2 2 5" xfId="218"/>
    <cellStyle name="20% - Accent2 2 5 2" xfId="918"/>
    <cellStyle name="20% - Accent2 2 5_Monthly returns" xfId="531"/>
    <cellStyle name="20% - Accent2 2 6" xfId="250"/>
    <cellStyle name="20% - Accent2 2 6 2" xfId="950"/>
    <cellStyle name="20% - Accent2 2 6_Monthly returns" xfId="532"/>
    <cellStyle name="20% - Accent2 2 7" xfId="282"/>
    <cellStyle name="20% - Accent2 2 7 2" xfId="982"/>
    <cellStyle name="20% - Accent2 2 7_Monthly returns" xfId="533"/>
    <cellStyle name="20% - Accent2 2 8" xfId="314"/>
    <cellStyle name="20% - Accent2 2 8 2" xfId="1014"/>
    <cellStyle name="20% - Accent2 2 8_Monthly returns" xfId="534"/>
    <cellStyle name="20% - Accent2 2 9" xfId="346"/>
    <cellStyle name="20% - Accent2 2 9 2" xfId="1046"/>
    <cellStyle name="20% - Accent2 2 9_Monthly returns" xfId="535"/>
    <cellStyle name="20% - Accent2 3" xfId="148"/>
    <cellStyle name="20% - Accent2 3 10" xfId="457"/>
    <cellStyle name="20% - Accent2 3 10 2" xfId="1157"/>
    <cellStyle name="20% - Accent2 3 10_Monthly returns" xfId="537"/>
    <cellStyle name="20% - Accent2 3 11" xfId="489"/>
    <cellStyle name="20% - Accent2 3 11 2" xfId="1189"/>
    <cellStyle name="20% - Accent2 3 11_Monthly returns" xfId="538"/>
    <cellStyle name="20% - Accent2 3 12" xfId="869"/>
    <cellStyle name="20% - Accent2 3 2" xfId="201"/>
    <cellStyle name="20% - Accent2 3 2 2" xfId="901"/>
    <cellStyle name="20% - Accent2 3 2_Monthly returns" xfId="539"/>
    <cellStyle name="20% - Accent2 3 3" xfId="233"/>
    <cellStyle name="20% - Accent2 3 3 2" xfId="933"/>
    <cellStyle name="20% - Accent2 3 3_Monthly returns" xfId="540"/>
    <cellStyle name="20% - Accent2 3 4" xfId="265"/>
    <cellStyle name="20% - Accent2 3 4 2" xfId="965"/>
    <cellStyle name="20% - Accent2 3 4_Monthly returns" xfId="541"/>
    <cellStyle name="20% - Accent2 3 5" xfId="297"/>
    <cellStyle name="20% - Accent2 3 5 2" xfId="997"/>
    <cellStyle name="20% - Accent2 3 5_Monthly returns" xfId="542"/>
    <cellStyle name="20% - Accent2 3 6" xfId="329"/>
    <cellStyle name="20% - Accent2 3 6 2" xfId="1029"/>
    <cellStyle name="20% - Accent2 3 6_Monthly returns" xfId="543"/>
    <cellStyle name="20% - Accent2 3 7" xfId="361"/>
    <cellStyle name="20% - Accent2 3 7 2" xfId="1061"/>
    <cellStyle name="20% - Accent2 3 7_Monthly returns" xfId="544"/>
    <cellStyle name="20% - Accent2 3 8" xfId="393"/>
    <cellStyle name="20% - Accent2 3 8 2" xfId="1093"/>
    <cellStyle name="20% - Accent2 3 8_Monthly returns" xfId="545"/>
    <cellStyle name="20% - Accent2 3 9" xfId="425"/>
    <cellStyle name="20% - Accent2 3 9 2" xfId="1125"/>
    <cellStyle name="20% - Accent2 3 9_Monthly returns" xfId="546"/>
    <cellStyle name="20% - Accent2 3_Monthly returns" xfId="536"/>
    <cellStyle name="20% - Accent3" xfId="7" builtinId="38" customBuiltin="1"/>
    <cellStyle name="20% - Accent3 2" xfId="8"/>
    <cellStyle name="20% - Accent3 2 10" xfId="380"/>
    <cellStyle name="20% - Accent3 2 10 2" xfId="1080"/>
    <cellStyle name="20% - Accent3 2 10_Monthly returns" xfId="547"/>
    <cellStyle name="20% - Accent3 2 11" xfId="412"/>
    <cellStyle name="20% - Accent3 2 11 2" xfId="1112"/>
    <cellStyle name="20% - Accent3 2 11_Monthly returns" xfId="548"/>
    <cellStyle name="20% - Accent3 2 12" xfId="444"/>
    <cellStyle name="20% - Accent3 2 12 2" xfId="1144"/>
    <cellStyle name="20% - Accent3 2 12_Monthly returns" xfId="549"/>
    <cellStyle name="20% - Accent3 2 13" xfId="476"/>
    <cellStyle name="20% - Accent3 2 13 2" xfId="1176"/>
    <cellStyle name="20% - Accent3 2 13_Monthly returns" xfId="550"/>
    <cellStyle name="20% - Accent3 2 2" xfId="9"/>
    <cellStyle name="20% - Accent3 2 2 2" xfId="830"/>
    <cellStyle name="20% - Accent3 2 2_Monthly returns" xfId="551"/>
    <cellStyle name="20% - Accent3 2 3" xfId="135"/>
    <cellStyle name="20% - Accent3 2 3 2" xfId="856"/>
    <cellStyle name="20% - Accent3 2 3_Monthly returns" xfId="552"/>
    <cellStyle name="20% - Accent3 2 4" xfId="188"/>
    <cellStyle name="20% - Accent3 2 4 2" xfId="888"/>
    <cellStyle name="20% - Accent3 2 4_Monthly returns" xfId="553"/>
    <cellStyle name="20% - Accent3 2 5" xfId="220"/>
    <cellStyle name="20% - Accent3 2 5 2" xfId="920"/>
    <cellStyle name="20% - Accent3 2 5_Monthly returns" xfId="554"/>
    <cellStyle name="20% - Accent3 2 6" xfId="252"/>
    <cellStyle name="20% - Accent3 2 6 2" xfId="952"/>
    <cellStyle name="20% - Accent3 2 6_Monthly returns" xfId="555"/>
    <cellStyle name="20% - Accent3 2 7" xfId="284"/>
    <cellStyle name="20% - Accent3 2 7 2" xfId="984"/>
    <cellStyle name="20% - Accent3 2 7_Monthly returns" xfId="556"/>
    <cellStyle name="20% - Accent3 2 8" xfId="316"/>
    <cellStyle name="20% - Accent3 2 8 2" xfId="1016"/>
    <cellStyle name="20% - Accent3 2 8_Monthly returns" xfId="557"/>
    <cellStyle name="20% - Accent3 2 9" xfId="348"/>
    <cellStyle name="20% - Accent3 2 9 2" xfId="1048"/>
    <cellStyle name="20% - Accent3 2 9_Monthly returns" xfId="558"/>
    <cellStyle name="20% - Accent3 3" xfId="150"/>
    <cellStyle name="20% - Accent3 3 10" xfId="459"/>
    <cellStyle name="20% - Accent3 3 10 2" xfId="1159"/>
    <cellStyle name="20% - Accent3 3 10_Monthly returns" xfId="560"/>
    <cellStyle name="20% - Accent3 3 11" xfId="491"/>
    <cellStyle name="20% - Accent3 3 11 2" xfId="1191"/>
    <cellStyle name="20% - Accent3 3 11_Monthly returns" xfId="561"/>
    <cellStyle name="20% - Accent3 3 12" xfId="871"/>
    <cellStyle name="20% - Accent3 3 2" xfId="203"/>
    <cellStyle name="20% - Accent3 3 2 2" xfId="903"/>
    <cellStyle name="20% - Accent3 3 2_Monthly returns" xfId="562"/>
    <cellStyle name="20% - Accent3 3 3" xfId="235"/>
    <cellStyle name="20% - Accent3 3 3 2" xfId="935"/>
    <cellStyle name="20% - Accent3 3 3_Monthly returns" xfId="563"/>
    <cellStyle name="20% - Accent3 3 4" xfId="267"/>
    <cellStyle name="20% - Accent3 3 4 2" xfId="967"/>
    <cellStyle name="20% - Accent3 3 4_Monthly returns" xfId="564"/>
    <cellStyle name="20% - Accent3 3 5" xfId="299"/>
    <cellStyle name="20% - Accent3 3 5 2" xfId="999"/>
    <cellStyle name="20% - Accent3 3 5_Monthly returns" xfId="565"/>
    <cellStyle name="20% - Accent3 3 6" xfId="331"/>
    <cellStyle name="20% - Accent3 3 6 2" xfId="1031"/>
    <cellStyle name="20% - Accent3 3 6_Monthly returns" xfId="566"/>
    <cellStyle name="20% - Accent3 3 7" xfId="363"/>
    <cellStyle name="20% - Accent3 3 7 2" xfId="1063"/>
    <cellStyle name="20% - Accent3 3 7_Monthly returns" xfId="567"/>
    <cellStyle name="20% - Accent3 3 8" xfId="395"/>
    <cellStyle name="20% - Accent3 3 8 2" xfId="1095"/>
    <cellStyle name="20% - Accent3 3 8_Monthly returns" xfId="568"/>
    <cellStyle name="20% - Accent3 3 9" xfId="427"/>
    <cellStyle name="20% - Accent3 3 9 2" xfId="1127"/>
    <cellStyle name="20% - Accent3 3 9_Monthly returns" xfId="569"/>
    <cellStyle name="20% - Accent3 3_Monthly returns" xfId="559"/>
    <cellStyle name="20% - Accent4" xfId="10" builtinId="42" customBuiltin="1"/>
    <cellStyle name="20% - Accent4 2" xfId="11"/>
    <cellStyle name="20% - Accent4 2 10" xfId="382"/>
    <cellStyle name="20% - Accent4 2 10 2" xfId="1082"/>
    <cellStyle name="20% - Accent4 2 10_Monthly returns" xfId="570"/>
    <cellStyle name="20% - Accent4 2 11" xfId="414"/>
    <cellStyle name="20% - Accent4 2 11 2" xfId="1114"/>
    <cellStyle name="20% - Accent4 2 11_Monthly returns" xfId="571"/>
    <cellStyle name="20% - Accent4 2 12" xfId="446"/>
    <cellStyle name="20% - Accent4 2 12 2" xfId="1146"/>
    <cellStyle name="20% - Accent4 2 12_Monthly returns" xfId="572"/>
    <cellStyle name="20% - Accent4 2 13" xfId="478"/>
    <cellStyle name="20% - Accent4 2 13 2" xfId="1178"/>
    <cellStyle name="20% - Accent4 2 13_Monthly returns" xfId="573"/>
    <cellStyle name="20% - Accent4 2 2" xfId="12"/>
    <cellStyle name="20% - Accent4 2 2 2" xfId="831"/>
    <cellStyle name="20% - Accent4 2 2_Monthly returns" xfId="574"/>
    <cellStyle name="20% - Accent4 2 3" xfId="137"/>
    <cellStyle name="20% - Accent4 2 3 2" xfId="858"/>
    <cellStyle name="20% - Accent4 2 3_Monthly returns" xfId="575"/>
    <cellStyle name="20% - Accent4 2 4" xfId="190"/>
    <cellStyle name="20% - Accent4 2 4 2" xfId="890"/>
    <cellStyle name="20% - Accent4 2 4_Monthly returns" xfId="576"/>
    <cellStyle name="20% - Accent4 2 5" xfId="222"/>
    <cellStyle name="20% - Accent4 2 5 2" xfId="922"/>
    <cellStyle name="20% - Accent4 2 5_Monthly returns" xfId="577"/>
    <cellStyle name="20% - Accent4 2 6" xfId="254"/>
    <cellStyle name="20% - Accent4 2 6 2" xfId="954"/>
    <cellStyle name="20% - Accent4 2 6_Monthly returns" xfId="578"/>
    <cellStyle name="20% - Accent4 2 7" xfId="286"/>
    <cellStyle name="20% - Accent4 2 7 2" xfId="986"/>
    <cellStyle name="20% - Accent4 2 7_Monthly returns" xfId="579"/>
    <cellStyle name="20% - Accent4 2 8" xfId="318"/>
    <cellStyle name="20% - Accent4 2 8 2" xfId="1018"/>
    <cellStyle name="20% - Accent4 2 8_Monthly returns" xfId="580"/>
    <cellStyle name="20% - Accent4 2 9" xfId="350"/>
    <cellStyle name="20% - Accent4 2 9 2" xfId="1050"/>
    <cellStyle name="20% - Accent4 2 9_Monthly returns" xfId="581"/>
    <cellStyle name="20% - Accent4 3" xfId="152"/>
    <cellStyle name="20% - Accent4 3 10" xfId="461"/>
    <cellStyle name="20% - Accent4 3 10 2" xfId="1161"/>
    <cellStyle name="20% - Accent4 3 10_Monthly returns" xfId="583"/>
    <cellStyle name="20% - Accent4 3 11" xfId="493"/>
    <cellStyle name="20% - Accent4 3 11 2" xfId="1193"/>
    <cellStyle name="20% - Accent4 3 11_Monthly returns" xfId="584"/>
    <cellStyle name="20% - Accent4 3 12" xfId="873"/>
    <cellStyle name="20% - Accent4 3 2" xfId="205"/>
    <cellStyle name="20% - Accent4 3 2 2" xfId="905"/>
    <cellStyle name="20% - Accent4 3 2_Monthly returns" xfId="585"/>
    <cellStyle name="20% - Accent4 3 3" xfId="237"/>
    <cellStyle name="20% - Accent4 3 3 2" xfId="937"/>
    <cellStyle name="20% - Accent4 3 3_Monthly returns" xfId="586"/>
    <cellStyle name="20% - Accent4 3 4" xfId="269"/>
    <cellStyle name="20% - Accent4 3 4 2" xfId="969"/>
    <cellStyle name="20% - Accent4 3 4_Monthly returns" xfId="587"/>
    <cellStyle name="20% - Accent4 3 5" xfId="301"/>
    <cellStyle name="20% - Accent4 3 5 2" xfId="1001"/>
    <cellStyle name="20% - Accent4 3 5_Monthly returns" xfId="588"/>
    <cellStyle name="20% - Accent4 3 6" xfId="333"/>
    <cellStyle name="20% - Accent4 3 6 2" xfId="1033"/>
    <cellStyle name="20% - Accent4 3 6_Monthly returns" xfId="589"/>
    <cellStyle name="20% - Accent4 3 7" xfId="365"/>
    <cellStyle name="20% - Accent4 3 7 2" xfId="1065"/>
    <cellStyle name="20% - Accent4 3 7_Monthly returns" xfId="590"/>
    <cellStyle name="20% - Accent4 3 8" xfId="397"/>
    <cellStyle name="20% - Accent4 3 8 2" xfId="1097"/>
    <cellStyle name="20% - Accent4 3 8_Monthly returns" xfId="591"/>
    <cellStyle name="20% - Accent4 3 9" xfId="429"/>
    <cellStyle name="20% - Accent4 3 9 2" xfId="1129"/>
    <cellStyle name="20% - Accent4 3 9_Monthly returns" xfId="592"/>
    <cellStyle name="20% - Accent4 3_Monthly returns" xfId="582"/>
    <cellStyle name="20% - Accent5" xfId="13" builtinId="46" customBuiltin="1"/>
    <cellStyle name="20% - Accent5 2" xfId="14"/>
    <cellStyle name="20% - Accent5 2 10" xfId="416"/>
    <cellStyle name="20% - Accent5 2 10 2" xfId="1116"/>
    <cellStyle name="20% - Accent5 2 10_Monthly returns" xfId="594"/>
    <cellStyle name="20% - Accent5 2 11" xfId="448"/>
    <cellStyle name="20% - Accent5 2 11 2" xfId="1148"/>
    <cellStyle name="20% - Accent5 2 11_Monthly returns" xfId="595"/>
    <cellStyle name="20% - Accent5 2 12" xfId="480"/>
    <cellStyle name="20% - Accent5 2 12 2" xfId="1180"/>
    <cellStyle name="20% - Accent5 2 12_Monthly returns" xfId="596"/>
    <cellStyle name="20% - Accent5 2 13" xfId="832"/>
    <cellStyle name="20% - Accent5 2 2" xfId="139"/>
    <cellStyle name="20% - Accent5 2 2 2" xfId="860"/>
    <cellStyle name="20% - Accent5 2 2_Monthly returns" xfId="597"/>
    <cellStyle name="20% - Accent5 2 3" xfId="192"/>
    <cellStyle name="20% - Accent5 2 3 2" xfId="892"/>
    <cellStyle name="20% - Accent5 2 3_Monthly returns" xfId="598"/>
    <cellStyle name="20% - Accent5 2 4" xfId="224"/>
    <cellStyle name="20% - Accent5 2 4 2" xfId="924"/>
    <cellStyle name="20% - Accent5 2 4_Monthly returns" xfId="599"/>
    <cellStyle name="20% - Accent5 2 5" xfId="256"/>
    <cellStyle name="20% - Accent5 2 5 2" xfId="956"/>
    <cellStyle name="20% - Accent5 2 5_Monthly returns" xfId="600"/>
    <cellStyle name="20% - Accent5 2 6" xfId="288"/>
    <cellStyle name="20% - Accent5 2 6 2" xfId="988"/>
    <cellStyle name="20% - Accent5 2 6_Monthly returns" xfId="601"/>
    <cellStyle name="20% - Accent5 2 7" xfId="320"/>
    <cellStyle name="20% - Accent5 2 7 2" xfId="1020"/>
    <cellStyle name="20% - Accent5 2 7_Monthly returns" xfId="602"/>
    <cellStyle name="20% - Accent5 2 8" xfId="352"/>
    <cellStyle name="20% - Accent5 2 8 2" xfId="1052"/>
    <cellStyle name="20% - Accent5 2 8_Monthly returns" xfId="603"/>
    <cellStyle name="20% - Accent5 2 9" xfId="384"/>
    <cellStyle name="20% - Accent5 2 9 2" xfId="1084"/>
    <cellStyle name="20% - Accent5 2 9_Monthly returns" xfId="604"/>
    <cellStyle name="20% - Accent5 2_Monthly returns" xfId="593"/>
    <cellStyle name="20% - Accent5 3" xfId="154"/>
    <cellStyle name="20% - Accent5 3 10" xfId="463"/>
    <cellStyle name="20% - Accent5 3 10 2" xfId="1163"/>
    <cellStyle name="20% - Accent5 3 10_Monthly returns" xfId="606"/>
    <cellStyle name="20% - Accent5 3 11" xfId="495"/>
    <cellStyle name="20% - Accent5 3 11 2" xfId="1195"/>
    <cellStyle name="20% - Accent5 3 11_Monthly returns" xfId="607"/>
    <cellStyle name="20% - Accent5 3 12" xfId="875"/>
    <cellStyle name="20% - Accent5 3 2" xfId="207"/>
    <cellStyle name="20% - Accent5 3 2 2" xfId="907"/>
    <cellStyle name="20% - Accent5 3 2_Monthly returns" xfId="608"/>
    <cellStyle name="20% - Accent5 3 3" xfId="239"/>
    <cellStyle name="20% - Accent5 3 3 2" xfId="939"/>
    <cellStyle name="20% - Accent5 3 3_Monthly returns" xfId="609"/>
    <cellStyle name="20% - Accent5 3 4" xfId="271"/>
    <cellStyle name="20% - Accent5 3 4 2" xfId="971"/>
    <cellStyle name="20% - Accent5 3 4_Monthly returns" xfId="610"/>
    <cellStyle name="20% - Accent5 3 5" xfId="303"/>
    <cellStyle name="20% - Accent5 3 5 2" xfId="1003"/>
    <cellStyle name="20% - Accent5 3 5_Monthly returns" xfId="611"/>
    <cellStyle name="20% - Accent5 3 6" xfId="335"/>
    <cellStyle name="20% - Accent5 3 6 2" xfId="1035"/>
    <cellStyle name="20% - Accent5 3 6_Monthly returns" xfId="612"/>
    <cellStyle name="20% - Accent5 3 7" xfId="367"/>
    <cellStyle name="20% - Accent5 3 7 2" xfId="1067"/>
    <cellStyle name="20% - Accent5 3 7_Monthly returns" xfId="613"/>
    <cellStyle name="20% - Accent5 3 8" xfId="399"/>
    <cellStyle name="20% - Accent5 3 8 2" xfId="1099"/>
    <cellStyle name="20% - Accent5 3 8_Monthly returns" xfId="614"/>
    <cellStyle name="20% - Accent5 3 9" xfId="431"/>
    <cellStyle name="20% - Accent5 3 9 2" xfId="1131"/>
    <cellStyle name="20% - Accent5 3 9_Monthly returns" xfId="615"/>
    <cellStyle name="20% - Accent5 3_Monthly returns" xfId="605"/>
    <cellStyle name="20% - Accent6" xfId="15" builtinId="50" customBuiltin="1"/>
    <cellStyle name="20% - Accent6 2" xfId="16"/>
    <cellStyle name="20% - Accent6 2 10" xfId="386"/>
    <cellStyle name="20% - Accent6 2 10 2" xfId="1086"/>
    <cellStyle name="20% - Accent6 2 10_Monthly returns" xfId="616"/>
    <cellStyle name="20% - Accent6 2 11" xfId="418"/>
    <cellStyle name="20% - Accent6 2 11 2" xfId="1118"/>
    <cellStyle name="20% - Accent6 2 11_Monthly returns" xfId="617"/>
    <cellStyle name="20% - Accent6 2 12" xfId="450"/>
    <cellStyle name="20% - Accent6 2 12 2" xfId="1150"/>
    <cellStyle name="20% - Accent6 2 12_Monthly returns" xfId="618"/>
    <cellStyle name="20% - Accent6 2 13" xfId="482"/>
    <cellStyle name="20% - Accent6 2 13 2" xfId="1182"/>
    <cellStyle name="20% - Accent6 2 13_Monthly returns" xfId="619"/>
    <cellStyle name="20% - Accent6 2 2" xfId="17"/>
    <cellStyle name="20% - Accent6 2 2 2" xfId="833"/>
    <cellStyle name="20% - Accent6 2 2_Monthly returns" xfId="620"/>
    <cellStyle name="20% - Accent6 2 3" xfId="141"/>
    <cellStyle name="20% - Accent6 2 3 2" xfId="862"/>
    <cellStyle name="20% - Accent6 2 3_Monthly returns" xfId="621"/>
    <cellStyle name="20% - Accent6 2 4" xfId="194"/>
    <cellStyle name="20% - Accent6 2 4 2" xfId="894"/>
    <cellStyle name="20% - Accent6 2 4_Monthly returns" xfId="622"/>
    <cellStyle name="20% - Accent6 2 5" xfId="226"/>
    <cellStyle name="20% - Accent6 2 5 2" xfId="926"/>
    <cellStyle name="20% - Accent6 2 5_Monthly returns" xfId="623"/>
    <cellStyle name="20% - Accent6 2 6" xfId="258"/>
    <cellStyle name="20% - Accent6 2 6 2" xfId="958"/>
    <cellStyle name="20% - Accent6 2 6_Monthly returns" xfId="624"/>
    <cellStyle name="20% - Accent6 2 7" xfId="290"/>
    <cellStyle name="20% - Accent6 2 7 2" xfId="990"/>
    <cellStyle name="20% - Accent6 2 7_Monthly returns" xfId="625"/>
    <cellStyle name="20% - Accent6 2 8" xfId="322"/>
    <cellStyle name="20% - Accent6 2 8 2" xfId="1022"/>
    <cellStyle name="20% - Accent6 2 8_Monthly returns" xfId="626"/>
    <cellStyle name="20% - Accent6 2 9" xfId="354"/>
    <cellStyle name="20% - Accent6 2 9 2" xfId="1054"/>
    <cellStyle name="20% - Accent6 2 9_Monthly returns" xfId="627"/>
    <cellStyle name="20% - Accent6 3" xfId="156"/>
    <cellStyle name="20% - Accent6 3 10" xfId="465"/>
    <cellStyle name="20% - Accent6 3 10 2" xfId="1165"/>
    <cellStyle name="20% - Accent6 3 10_Monthly returns" xfId="629"/>
    <cellStyle name="20% - Accent6 3 11" xfId="497"/>
    <cellStyle name="20% - Accent6 3 11 2" xfId="1197"/>
    <cellStyle name="20% - Accent6 3 11_Monthly returns" xfId="630"/>
    <cellStyle name="20% - Accent6 3 12" xfId="877"/>
    <cellStyle name="20% - Accent6 3 2" xfId="209"/>
    <cellStyle name="20% - Accent6 3 2 2" xfId="909"/>
    <cellStyle name="20% - Accent6 3 2_Monthly returns" xfId="631"/>
    <cellStyle name="20% - Accent6 3 3" xfId="241"/>
    <cellStyle name="20% - Accent6 3 3 2" xfId="941"/>
    <cellStyle name="20% - Accent6 3 3_Monthly returns" xfId="632"/>
    <cellStyle name="20% - Accent6 3 4" xfId="273"/>
    <cellStyle name="20% - Accent6 3 4 2" xfId="973"/>
    <cellStyle name="20% - Accent6 3 4_Monthly returns" xfId="633"/>
    <cellStyle name="20% - Accent6 3 5" xfId="305"/>
    <cellStyle name="20% - Accent6 3 5 2" xfId="1005"/>
    <cellStyle name="20% - Accent6 3 5_Monthly returns" xfId="634"/>
    <cellStyle name="20% - Accent6 3 6" xfId="337"/>
    <cellStyle name="20% - Accent6 3 6 2" xfId="1037"/>
    <cellStyle name="20% - Accent6 3 6_Monthly returns" xfId="635"/>
    <cellStyle name="20% - Accent6 3 7" xfId="369"/>
    <cellStyle name="20% - Accent6 3 7 2" xfId="1069"/>
    <cellStyle name="20% - Accent6 3 7_Monthly returns" xfId="636"/>
    <cellStyle name="20% - Accent6 3 8" xfId="401"/>
    <cellStyle name="20% - Accent6 3 8 2" xfId="1101"/>
    <cellStyle name="20% - Accent6 3 8_Monthly returns" xfId="637"/>
    <cellStyle name="20% - Accent6 3 9" xfId="433"/>
    <cellStyle name="20% - Accent6 3 9 2" xfId="1133"/>
    <cellStyle name="20% - Accent6 3 9_Monthly returns" xfId="638"/>
    <cellStyle name="20% - Accent6 3_Monthly returns" xfId="628"/>
    <cellStyle name="40% - Accent1" xfId="18" builtinId="31" customBuiltin="1"/>
    <cellStyle name="40% - Accent1 2" xfId="19"/>
    <cellStyle name="40% - Accent1 2 10" xfId="377"/>
    <cellStyle name="40% - Accent1 2 10 2" xfId="1077"/>
    <cellStyle name="40% - Accent1 2 10_Monthly returns" xfId="639"/>
    <cellStyle name="40% - Accent1 2 11" xfId="409"/>
    <cellStyle name="40% - Accent1 2 11 2" xfId="1109"/>
    <cellStyle name="40% - Accent1 2 11_Monthly returns" xfId="640"/>
    <cellStyle name="40% - Accent1 2 12" xfId="441"/>
    <cellStyle name="40% - Accent1 2 12 2" xfId="1141"/>
    <cellStyle name="40% - Accent1 2 12_Monthly returns" xfId="641"/>
    <cellStyle name="40% - Accent1 2 13" xfId="473"/>
    <cellStyle name="40% - Accent1 2 13 2" xfId="1173"/>
    <cellStyle name="40% - Accent1 2 13_Monthly returns" xfId="642"/>
    <cellStyle name="40% - Accent1 2 2" xfId="20"/>
    <cellStyle name="40% - Accent1 2 2 2" xfId="834"/>
    <cellStyle name="40% - Accent1 2 2_Monthly returns" xfId="643"/>
    <cellStyle name="40% - Accent1 2 3" xfId="132"/>
    <cellStyle name="40% - Accent1 2 3 2" xfId="853"/>
    <cellStyle name="40% - Accent1 2 3_Monthly returns" xfId="644"/>
    <cellStyle name="40% - Accent1 2 4" xfId="185"/>
    <cellStyle name="40% - Accent1 2 4 2" xfId="885"/>
    <cellStyle name="40% - Accent1 2 4_Monthly returns" xfId="645"/>
    <cellStyle name="40% - Accent1 2 5" xfId="217"/>
    <cellStyle name="40% - Accent1 2 5 2" xfId="917"/>
    <cellStyle name="40% - Accent1 2 5_Monthly returns" xfId="646"/>
    <cellStyle name="40% - Accent1 2 6" xfId="249"/>
    <cellStyle name="40% - Accent1 2 6 2" xfId="949"/>
    <cellStyle name="40% - Accent1 2 6_Monthly returns" xfId="647"/>
    <cellStyle name="40% - Accent1 2 7" xfId="281"/>
    <cellStyle name="40% - Accent1 2 7 2" xfId="981"/>
    <cellStyle name="40% - Accent1 2 7_Monthly returns" xfId="648"/>
    <cellStyle name="40% - Accent1 2 8" xfId="313"/>
    <cellStyle name="40% - Accent1 2 8 2" xfId="1013"/>
    <cellStyle name="40% - Accent1 2 8_Monthly returns" xfId="649"/>
    <cellStyle name="40% - Accent1 2 9" xfId="345"/>
    <cellStyle name="40% - Accent1 2 9 2" xfId="1045"/>
    <cellStyle name="40% - Accent1 2 9_Monthly returns" xfId="650"/>
    <cellStyle name="40% - Accent1 3" xfId="147"/>
    <cellStyle name="40% - Accent1 3 10" xfId="456"/>
    <cellStyle name="40% - Accent1 3 10 2" xfId="1156"/>
    <cellStyle name="40% - Accent1 3 10_Monthly returns" xfId="652"/>
    <cellStyle name="40% - Accent1 3 11" xfId="488"/>
    <cellStyle name="40% - Accent1 3 11 2" xfId="1188"/>
    <cellStyle name="40% - Accent1 3 11_Monthly returns" xfId="653"/>
    <cellStyle name="40% - Accent1 3 12" xfId="868"/>
    <cellStyle name="40% - Accent1 3 2" xfId="200"/>
    <cellStyle name="40% - Accent1 3 2 2" xfId="900"/>
    <cellStyle name="40% - Accent1 3 2_Monthly returns" xfId="654"/>
    <cellStyle name="40% - Accent1 3 3" xfId="232"/>
    <cellStyle name="40% - Accent1 3 3 2" xfId="932"/>
    <cellStyle name="40% - Accent1 3 3_Monthly returns" xfId="655"/>
    <cellStyle name="40% - Accent1 3 4" xfId="264"/>
    <cellStyle name="40% - Accent1 3 4 2" xfId="964"/>
    <cellStyle name="40% - Accent1 3 4_Monthly returns" xfId="656"/>
    <cellStyle name="40% - Accent1 3 5" xfId="296"/>
    <cellStyle name="40% - Accent1 3 5 2" xfId="996"/>
    <cellStyle name="40% - Accent1 3 5_Monthly returns" xfId="657"/>
    <cellStyle name="40% - Accent1 3 6" xfId="328"/>
    <cellStyle name="40% - Accent1 3 6 2" xfId="1028"/>
    <cellStyle name="40% - Accent1 3 6_Monthly returns" xfId="658"/>
    <cellStyle name="40% - Accent1 3 7" xfId="360"/>
    <cellStyle name="40% - Accent1 3 7 2" xfId="1060"/>
    <cellStyle name="40% - Accent1 3 7_Monthly returns" xfId="659"/>
    <cellStyle name="40% - Accent1 3 8" xfId="392"/>
    <cellStyle name="40% - Accent1 3 8 2" xfId="1092"/>
    <cellStyle name="40% - Accent1 3 8_Monthly returns" xfId="660"/>
    <cellStyle name="40% - Accent1 3 9" xfId="424"/>
    <cellStyle name="40% - Accent1 3 9 2" xfId="1124"/>
    <cellStyle name="40% - Accent1 3 9_Monthly returns" xfId="661"/>
    <cellStyle name="40% - Accent1 3_Monthly returns" xfId="651"/>
    <cellStyle name="40% - Accent2" xfId="21" builtinId="35" customBuiltin="1"/>
    <cellStyle name="40% - Accent2 2" xfId="22"/>
    <cellStyle name="40% - Accent2 2 10" xfId="411"/>
    <cellStyle name="40% - Accent2 2 10 2" xfId="1111"/>
    <cellStyle name="40% - Accent2 2 10_Monthly returns" xfId="663"/>
    <cellStyle name="40% - Accent2 2 11" xfId="443"/>
    <cellStyle name="40% - Accent2 2 11 2" xfId="1143"/>
    <cellStyle name="40% - Accent2 2 11_Monthly returns" xfId="664"/>
    <cellStyle name="40% - Accent2 2 12" xfId="475"/>
    <cellStyle name="40% - Accent2 2 12 2" xfId="1175"/>
    <cellStyle name="40% - Accent2 2 12_Monthly returns" xfId="665"/>
    <cellStyle name="40% - Accent2 2 13" xfId="835"/>
    <cellStyle name="40% - Accent2 2 2" xfId="134"/>
    <cellStyle name="40% - Accent2 2 2 2" xfId="855"/>
    <cellStyle name="40% - Accent2 2 2_Monthly returns" xfId="666"/>
    <cellStyle name="40% - Accent2 2 3" xfId="187"/>
    <cellStyle name="40% - Accent2 2 3 2" xfId="887"/>
    <cellStyle name="40% - Accent2 2 3_Monthly returns" xfId="667"/>
    <cellStyle name="40% - Accent2 2 4" xfId="219"/>
    <cellStyle name="40% - Accent2 2 4 2" xfId="919"/>
    <cellStyle name="40% - Accent2 2 4_Monthly returns" xfId="668"/>
    <cellStyle name="40% - Accent2 2 5" xfId="251"/>
    <cellStyle name="40% - Accent2 2 5 2" xfId="951"/>
    <cellStyle name="40% - Accent2 2 5_Monthly returns" xfId="669"/>
    <cellStyle name="40% - Accent2 2 6" xfId="283"/>
    <cellStyle name="40% - Accent2 2 6 2" xfId="983"/>
    <cellStyle name="40% - Accent2 2 6_Monthly returns" xfId="670"/>
    <cellStyle name="40% - Accent2 2 7" xfId="315"/>
    <cellStyle name="40% - Accent2 2 7 2" xfId="1015"/>
    <cellStyle name="40% - Accent2 2 7_Monthly returns" xfId="671"/>
    <cellStyle name="40% - Accent2 2 8" xfId="347"/>
    <cellStyle name="40% - Accent2 2 8 2" xfId="1047"/>
    <cellStyle name="40% - Accent2 2 8_Monthly returns" xfId="672"/>
    <cellStyle name="40% - Accent2 2 9" xfId="379"/>
    <cellStyle name="40% - Accent2 2 9 2" xfId="1079"/>
    <cellStyle name="40% - Accent2 2 9_Monthly returns" xfId="673"/>
    <cellStyle name="40% - Accent2 2_Monthly returns" xfId="662"/>
    <cellStyle name="40% - Accent2 3" xfId="149"/>
    <cellStyle name="40% - Accent2 3 10" xfId="458"/>
    <cellStyle name="40% - Accent2 3 10 2" xfId="1158"/>
    <cellStyle name="40% - Accent2 3 10_Monthly returns" xfId="675"/>
    <cellStyle name="40% - Accent2 3 11" xfId="490"/>
    <cellStyle name="40% - Accent2 3 11 2" xfId="1190"/>
    <cellStyle name="40% - Accent2 3 11_Monthly returns" xfId="676"/>
    <cellStyle name="40% - Accent2 3 12" xfId="870"/>
    <cellStyle name="40% - Accent2 3 2" xfId="202"/>
    <cellStyle name="40% - Accent2 3 2 2" xfId="902"/>
    <cellStyle name="40% - Accent2 3 2_Monthly returns" xfId="677"/>
    <cellStyle name="40% - Accent2 3 3" xfId="234"/>
    <cellStyle name="40% - Accent2 3 3 2" xfId="934"/>
    <cellStyle name="40% - Accent2 3 3_Monthly returns" xfId="678"/>
    <cellStyle name="40% - Accent2 3 4" xfId="266"/>
    <cellStyle name="40% - Accent2 3 4 2" xfId="966"/>
    <cellStyle name="40% - Accent2 3 4_Monthly returns" xfId="679"/>
    <cellStyle name="40% - Accent2 3 5" xfId="298"/>
    <cellStyle name="40% - Accent2 3 5 2" xfId="998"/>
    <cellStyle name="40% - Accent2 3 5_Monthly returns" xfId="680"/>
    <cellStyle name="40% - Accent2 3 6" xfId="330"/>
    <cellStyle name="40% - Accent2 3 6 2" xfId="1030"/>
    <cellStyle name="40% - Accent2 3 6_Monthly returns" xfId="681"/>
    <cellStyle name="40% - Accent2 3 7" xfId="362"/>
    <cellStyle name="40% - Accent2 3 7 2" xfId="1062"/>
    <cellStyle name="40% - Accent2 3 7_Monthly returns" xfId="682"/>
    <cellStyle name="40% - Accent2 3 8" xfId="394"/>
    <cellStyle name="40% - Accent2 3 8 2" xfId="1094"/>
    <cellStyle name="40% - Accent2 3 8_Monthly returns" xfId="683"/>
    <cellStyle name="40% - Accent2 3 9" xfId="426"/>
    <cellStyle name="40% - Accent2 3 9 2" xfId="1126"/>
    <cellStyle name="40% - Accent2 3 9_Monthly returns" xfId="684"/>
    <cellStyle name="40% - Accent2 3_Monthly returns" xfId="674"/>
    <cellStyle name="40% - Accent3" xfId="23" builtinId="39" customBuiltin="1"/>
    <cellStyle name="40% - Accent3 2" xfId="24"/>
    <cellStyle name="40% - Accent3 2 10" xfId="381"/>
    <cellStyle name="40% - Accent3 2 10 2" xfId="1081"/>
    <cellStyle name="40% - Accent3 2 10_Monthly returns" xfId="685"/>
    <cellStyle name="40% - Accent3 2 11" xfId="413"/>
    <cellStyle name="40% - Accent3 2 11 2" xfId="1113"/>
    <cellStyle name="40% - Accent3 2 11_Monthly returns" xfId="686"/>
    <cellStyle name="40% - Accent3 2 12" xfId="445"/>
    <cellStyle name="40% - Accent3 2 12 2" xfId="1145"/>
    <cellStyle name="40% - Accent3 2 12_Monthly returns" xfId="687"/>
    <cellStyle name="40% - Accent3 2 13" xfId="477"/>
    <cellStyle name="40% - Accent3 2 13 2" xfId="1177"/>
    <cellStyle name="40% - Accent3 2 13_Monthly returns" xfId="688"/>
    <cellStyle name="40% - Accent3 2 2" xfId="25"/>
    <cellStyle name="40% - Accent3 2 2 2" xfId="836"/>
    <cellStyle name="40% - Accent3 2 2_Monthly returns" xfId="689"/>
    <cellStyle name="40% - Accent3 2 3" xfId="136"/>
    <cellStyle name="40% - Accent3 2 3 2" xfId="857"/>
    <cellStyle name="40% - Accent3 2 3_Monthly returns" xfId="690"/>
    <cellStyle name="40% - Accent3 2 4" xfId="189"/>
    <cellStyle name="40% - Accent3 2 4 2" xfId="889"/>
    <cellStyle name="40% - Accent3 2 4_Monthly returns" xfId="691"/>
    <cellStyle name="40% - Accent3 2 5" xfId="221"/>
    <cellStyle name="40% - Accent3 2 5 2" xfId="921"/>
    <cellStyle name="40% - Accent3 2 5_Monthly returns" xfId="692"/>
    <cellStyle name="40% - Accent3 2 6" xfId="253"/>
    <cellStyle name="40% - Accent3 2 6 2" xfId="953"/>
    <cellStyle name="40% - Accent3 2 6_Monthly returns" xfId="693"/>
    <cellStyle name="40% - Accent3 2 7" xfId="285"/>
    <cellStyle name="40% - Accent3 2 7 2" xfId="985"/>
    <cellStyle name="40% - Accent3 2 7_Monthly returns" xfId="694"/>
    <cellStyle name="40% - Accent3 2 8" xfId="317"/>
    <cellStyle name="40% - Accent3 2 8 2" xfId="1017"/>
    <cellStyle name="40% - Accent3 2 8_Monthly returns" xfId="695"/>
    <cellStyle name="40% - Accent3 2 9" xfId="349"/>
    <cellStyle name="40% - Accent3 2 9 2" xfId="1049"/>
    <cellStyle name="40% - Accent3 2 9_Monthly returns" xfId="696"/>
    <cellStyle name="40% - Accent3 3" xfId="151"/>
    <cellStyle name="40% - Accent3 3 10" xfId="460"/>
    <cellStyle name="40% - Accent3 3 10 2" xfId="1160"/>
    <cellStyle name="40% - Accent3 3 10_Monthly returns" xfId="698"/>
    <cellStyle name="40% - Accent3 3 11" xfId="492"/>
    <cellStyle name="40% - Accent3 3 11 2" xfId="1192"/>
    <cellStyle name="40% - Accent3 3 11_Monthly returns" xfId="699"/>
    <cellStyle name="40% - Accent3 3 12" xfId="872"/>
    <cellStyle name="40% - Accent3 3 2" xfId="204"/>
    <cellStyle name="40% - Accent3 3 2 2" xfId="904"/>
    <cellStyle name="40% - Accent3 3 2_Monthly returns" xfId="700"/>
    <cellStyle name="40% - Accent3 3 3" xfId="236"/>
    <cellStyle name="40% - Accent3 3 3 2" xfId="936"/>
    <cellStyle name="40% - Accent3 3 3_Monthly returns" xfId="701"/>
    <cellStyle name="40% - Accent3 3 4" xfId="268"/>
    <cellStyle name="40% - Accent3 3 4 2" xfId="968"/>
    <cellStyle name="40% - Accent3 3 4_Monthly returns" xfId="702"/>
    <cellStyle name="40% - Accent3 3 5" xfId="300"/>
    <cellStyle name="40% - Accent3 3 5 2" xfId="1000"/>
    <cellStyle name="40% - Accent3 3 5_Monthly returns" xfId="703"/>
    <cellStyle name="40% - Accent3 3 6" xfId="332"/>
    <cellStyle name="40% - Accent3 3 6 2" xfId="1032"/>
    <cellStyle name="40% - Accent3 3 6_Monthly returns" xfId="704"/>
    <cellStyle name="40% - Accent3 3 7" xfId="364"/>
    <cellStyle name="40% - Accent3 3 7 2" xfId="1064"/>
    <cellStyle name="40% - Accent3 3 7_Monthly returns" xfId="705"/>
    <cellStyle name="40% - Accent3 3 8" xfId="396"/>
    <cellStyle name="40% - Accent3 3 8 2" xfId="1096"/>
    <cellStyle name="40% - Accent3 3 8_Monthly returns" xfId="706"/>
    <cellStyle name="40% - Accent3 3 9" xfId="428"/>
    <cellStyle name="40% - Accent3 3 9 2" xfId="1128"/>
    <cellStyle name="40% - Accent3 3 9_Monthly returns" xfId="707"/>
    <cellStyle name="40% - Accent3 3_Monthly returns" xfId="697"/>
    <cellStyle name="40% - Accent4" xfId="26" builtinId="43" customBuiltin="1"/>
    <cellStyle name="40% - Accent4 2" xfId="27"/>
    <cellStyle name="40% - Accent4 2 10" xfId="383"/>
    <cellStyle name="40% - Accent4 2 10 2" xfId="1083"/>
    <cellStyle name="40% - Accent4 2 10_Monthly returns" xfId="708"/>
    <cellStyle name="40% - Accent4 2 11" xfId="415"/>
    <cellStyle name="40% - Accent4 2 11 2" xfId="1115"/>
    <cellStyle name="40% - Accent4 2 11_Monthly returns" xfId="709"/>
    <cellStyle name="40% - Accent4 2 12" xfId="447"/>
    <cellStyle name="40% - Accent4 2 12 2" xfId="1147"/>
    <cellStyle name="40% - Accent4 2 12_Monthly returns" xfId="710"/>
    <cellStyle name="40% - Accent4 2 13" xfId="479"/>
    <cellStyle name="40% - Accent4 2 13 2" xfId="1179"/>
    <cellStyle name="40% - Accent4 2 13_Monthly returns" xfId="711"/>
    <cellStyle name="40% - Accent4 2 2" xfId="28"/>
    <cellStyle name="40% - Accent4 2 2 2" xfId="837"/>
    <cellStyle name="40% - Accent4 2 2_Monthly returns" xfId="712"/>
    <cellStyle name="40% - Accent4 2 3" xfId="138"/>
    <cellStyle name="40% - Accent4 2 3 2" xfId="859"/>
    <cellStyle name="40% - Accent4 2 3_Monthly returns" xfId="713"/>
    <cellStyle name="40% - Accent4 2 4" xfId="191"/>
    <cellStyle name="40% - Accent4 2 4 2" xfId="891"/>
    <cellStyle name="40% - Accent4 2 4_Monthly returns" xfId="714"/>
    <cellStyle name="40% - Accent4 2 5" xfId="223"/>
    <cellStyle name="40% - Accent4 2 5 2" xfId="923"/>
    <cellStyle name="40% - Accent4 2 5_Monthly returns" xfId="715"/>
    <cellStyle name="40% - Accent4 2 6" xfId="255"/>
    <cellStyle name="40% - Accent4 2 6 2" xfId="955"/>
    <cellStyle name="40% - Accent4 2 6_Monthly returns" xfId="716"/>
    <cellStyle name="40% - Accent4 2 7" xfId="287"/>
    <cellStyle name="40% - Accent4 2 7 2" xfId="987"/>
    <cellStyle name="40% - Accent4 2 7_Monthly returns" xfId="717"/>
    <cellStyle name="40% - Accent4 2 8" xfId="319"/>
    <cellStyle name="40% - Accent4 2 8 2" xfId="1019"/>
    <cellStyle name="40% - Accent4 2 8_Monthly returns" xfId="718"/>
    <cellStyle name="40% - Accent4 2 9" xfId="351"/>
    <cellStyle name="40% - Accent4 2 9 2" xfId="1051"/>
    <cellStyle name="40% - Accent4 2 9_Monthly returns" xfId="719"/>
    <cellStyle name="40% - Accent4 3" xfId="153"/>
    <cellStyle name="40% - Accent4 3 10" xfId="462"/>
    <cellStyle name="40% - Accent4 3 10 2" xfId="1162"/>
    <cellStyle name="40% - Accent4 3 10_Monthly returns" xfId="721"/>
    <cellStyle name="40% - Accent4 3 11" xfId="494"/>
    <cellStyle name="40% - Accent4 3 11 2" xfId="1194"/>
    <cellStyle name="40% - Accent4 3 11_Monthly returns" xfId="722"/>
    <cellStyle name="40% - Accent4 3 12" xfId="874"/>
    <cellStyle name="40% - Accent4 3 2" xfId="206"/>
    <cellStyle name="40% - Accent4 3 2 2" xfId="906"/>
    <cellStyle name="40% - Accent4 3 2_Monthly returns" xfId="723"/>
    <cellStyle name="40% - Accent4 3 3" xfId="238"/>
    <cellStyle name="40% - Accent4 3 3 2" xfId="938"/>
    <cellStyle name="40% - Accent4 3 3_Monthly returns" xfId="724"/>
    <cellStyle name="40% - Accent4 3 4" xfId="270"/>
    <cellStyle name="40% - Accent4 3 4 2" xfId="970"/>
    <cellStyle name="40% - Accent4 3 4_Monthly returns" xfId="725"/>
    <cellStyle name="40% - Accent4 3 5" xfId="302"/>
    <cellStyle name="40% - Accent4 3 5 2" xfId="1002"/>
    <cellStyle name="40% - Accent4 3 5_Monthly returns" xfId="726"/>
    <cellStyle name="40% - Accent4 3 6" xfId="334"/>
    <cellStyle name="40% - Accent4 3 6 2" xfId="1034"/>
    <cellStyle name="40% - Accent4 3 6_Monthly returns" xfId="727"/>
    <cellStyle name="40% - Accent4 3 7" xfId="366"/>
    <cellStyle name="40% - Accent4 3 7 2" xfId="1066"/>
    <cellStyle name="40% - Accent4 3 7_Monthly returns" xfId="728"/>
    <cellStyle name="40% - Accent4 3 8" xfId="398"/>
    <cellStyle name="40% - Accent4 3 8 2" xfId="1098"/>
    <cellStyle name="40% - Accent4 3 8_Monthly returns" xfId="729"/>
    <cellStyle name="40% - Accent4 3 9" xfId="430"/>
    <cellStyle name="40% - Accent4 3 9 2" xfId="1130"/>
    <cellStyle name="40% - Accent4 3 9_Monthly returns" xfId="730"/>
    <cellStyle name="40% - Accent4 3_Monthly returns" xfId="720"/>
    <cellStyle name="40% - Accent5" xfId="29" builtinId="47" customBuiltin="1"/>
    <cellStyle name="40% - Accent5 2" xfId="30"/>
    <cellStyle name="40% - Accent5 2 10" xfId="417"/>
    <cellStyle name="40% - Accent5 2 10 2" xfId="1117"/>
    <cellStyle name="40% - Accent5 2 10_Monthly returns" xfId="732"/>
    <cellStyle name="40% - Accent5 2 11" xfId="449"/>
    <cellStyle name="40% - Accent5 2 11 2" xfId="1149"/>
    <cellStyle name="40% - Accent5 2 11_Monthly returns" xfId="733"/>
    <cellStyle name="40% - Accent5 2 12" xfId="481"/>
    <cellStyle name="40% - Accent5 2 12 2" xfId="1181"/>
    <cellStyle name="40% - Accent5 2 12_Monthly returns" xfId="734"/>
    <cellStyle name="40% - Accent5 2 13" xfId="838"/>
    <cellStyle name="40% - Accent5 2 2" xfId="140"/>
    <cellStyle name="40% - Accent5 2 2 2" xfId="861"/>
    <cellStyle name="40% - Accent5 2 2_Monthly returns" xfId="735"/>
    <cellStyle name="40% - Accent5 2 3" xfId="193"/>
    <cellStyle name="40% - Accent5 2 3 2" xfId="893"/>
    <cellStyle name="40% - Accent5 2 3_Monthly returns" xfId="736"/>
    <cellStyle name="40% - Accent5 2 4" xfId="225"/>
    <cellStyle name="40% - Accent5 2 4 2" xfId="925"/>
    <cellStyle name="40% - Accent5 2 4_Monthly returns" xfId="737"/>
    <cellStyle name="40% - Accent5 2 5" xfId="257"/>
    <cellStyle name="40% - Accent5 2 5 2" xfId="957"/>
    <cellStyle name="40% - Accent5 2 5_Monthly returns" xfId="738"/>
    <cellStyle name="40% - Accent5 2 6" xfId="289"/>
    <cellStyle name="40% - Accent5 2 6 2" xfId="989"/>
    <cellStyle name="40% - Accent5 2 6_Monthly returns" xfId="739"/>
    <cellStyle name="40% - Accent5 2 7" xfId="321"/>
    <cellStyle name="40% - Accent5 2 7 2" xfId="1021"/>
    <cellStyle name="40% - Accent5 2 7_Monthly returns" xfId="740"/>
    <cellStyle name="40% - Accent5 2 8" xfId="353"/>
    <cellStyle name="40% - Accent5 2 8 2" xfId="1053"/>
    <cellStyle name="40% - Accent5 2 8_Monthly returns" xfId="741"/>
    <cellStyle name="40% - Accent5 2 9" xfId="385"/>
    <cellStyle name="40% - Accent5 2 9 2" xfId="1085"/>
    <cellStyle name="40% - Accent5 2 9_Monthly returns" xfId="742"/>
    <cellStyle name="40% - Accent5 2_Monthly returns" xfId="731"/>
    <cellStyle name="40% - Accent5 3" xfId="155"/>
    <cellStyle name="40% - Accent5 3 10" xfId="464"/>
    <cellStyle name="40% - Accent5 3 10 2" xfId="1164"/>
    <cellStyle name="40% - Accent5 3 10_Monthly returns" xfId="744"/>
    <cellStyle name="40% - Accent5 3 11" xfId="496"/>
    <cellStyle name="40% - Accent5 3 11 2" xfId="1196"/>
    <cellStyle name="40% - Accent5 3 11_Monthly returns" xfId="745"/>
    <cellStyle name="40% - Accent5 3 12" xfId="876"/>
    <cellStyle name="40% - Accent5 3 2" xfId="208"/>
    <cellStyle name="40% - Accent5 3 2 2" xfId="908"/>
    <cellStyle name="40% - Accent5 3 2_Monthly returns" xfId="746"/>
    <cellStyle name="40% - Accent5 3 3" xfId="240"/>
    <cellStyle name="40% - Accent5 3 3 2" xfId="940"/>
    <cellStyle name="40% - Accent5 3 3_Monthly returns" xfId="747"/>
    <cellStyle name="40% - Accent5 3 4" xfId="272"/>
    <cellStyle name="40% - Accent5 3 4 2" xfId="972"/>
    <cellStyle name="40% - Accent5 3 4_Monthly returns" xfId="748"/>
    <cellStyle name="40% - Accent5 3 5" xfId="304"/>
    <cellStyle name="40% - Accent5 3 5 2" xfId="1004"/>
    <cellStyle name="40% - Accent5 3 5_Monthly returns" xfId="749"/>
    <cellStyle name="40% - Accent5 3 6" xfId="336"/>
    <cellStyle name="40% - Accent5 3 6 2" xfId="1036"/>
    <cellStyle name="40% - Accent5 3 6_Monthly returns" xfId="750"/>
    <cellStyle name="40% - Accent5 3 7" xfId="368"/>
    <cellStyle name="40% - Accent5 3 7 2" xfId="1068"/>
    <cellStyle name="40% - Accent5 3 7_Monthly returns" xfId="751"/>
    <cellStyle name="40% - Accent5 3 8" xfId="400"/>
    <cellStyle name="40% - Accent5 3 8 2" xfId="1100"/>
    <cellStyle name="40% - Accent5 3 8_Monthly returns" xfId="752"/>
    <cellStyle name="40% - Accent5 3 9" xfId="432"/>
    <cellStyle name="40% - Accent5 3 9 2" xfId="1132"/>
    <cellStyle name="40% - Accent5 3 9_Monthly returns" xfId="753"/>
    <cellStyle name="40% - Accent5 3_Monthly returns" xfId="743"/>
    <cellStyle name="40% - Accent6" xfId="31" builtinId="51" customBuiltin="1"/>
    <cellStyle name="40% - Accent6 2" xfId="32"/>
    <cellStyle name="40% - Accent6 2 10" xfId="387"/>
    <cellStyle name="40% - Accent6 2 10 2" xfId="1087"/>
    <cellStyle name="40% - Accent6 2 10_Monthly returns" xfId="754"/>
    <cellStyle name="40% - Accent6 2 11" xfId="419"/>
    <cellStyle name="40% - Accent6 2 11 2" xfId="1119"/>
    <cellStyle name="40% - Accent6 2 11_Monthly returns" xfId="755"/>
    <cellStyle name="40% - Accent6 2 12" xfId="451"/>
    <cellStyle name="40% - Accent6 2 12 2" xfId="1151"/>
    <cellStyle name="40% - Accent6 2 12_Monthly returns" xfId="756"/>
    <cellStyle name="40% - Accent6 2 13" xfId="483"/>
    <cellStyle name="40% - Accent6 2 13 2" xfId="1183"/>
    <cellStyle name="40% - Accent6 2 13_Monthly returns" xfId="757"/>
    <cellStyle name="40% - Accent6 2 2" xfId="33"/>
    <cellStyle name="40% - Accent6 2 2 2" xfId="839"/>
    <cellStyle name="40% - Accent6 2 2_Monthly returns" xfId="758"/>
    <cellStyle name="40% - Accent6 2 3" xfId="142"/>
    <cellStyle name="40% - Accent6 2 3 2" xfId="863"/>
    <cellStyle name="40% - Accent6 2 3_Monthly returns" xfId="759"/>
    <cellStyle name="40% - Accent6 2 4" xfId="195"/>
    <cellStyle name="40% - Accent6 2 4 2" xfId="895"/>
    <cellStyle name="40% - Accent6 2 4_Monthly returns" xfId="760"/>
    <cellStyle name="40% - Accent6 2 5" xfId="227"/>
    <cellStyle name="40% - Accent6 2 5 2" xfId="927"/>
    <cellStyle name="40% - Accent6 2 5_Monthly returns" xfId="761"/>
    <cellStyle name="40% - Accent6 2 6" xfId="259"/>
    <cellStyle name="40% - Accent6 2 6 2" xfId="959"/>
    <cellStyle name="40% - Accent6 2 6_Monthly returns" xfId="762"/>
    <cellStyle name="40% - Accent6 2 7" xfId="291"/>
    <cellStyle name="40% - Accent6 2 7 2" xfId="991"/>
    <cellStyle name="40% - Accent6 2 7_Monthly returns" xfId="763"/>
    <cellStyle name="40% - Accent6 2 8" xfId="323"/>
    <cellStyle name="40% - Accent6 2 8 2" xfId="1023"/>
    <cellStyle name="40% - Accent6 2 8_Monthly returns" xfId="764"/>
    <cellStyle name="40% - Accent6 2 9" xfId="355"/>
    <cellStyle name="40% - Accent6 2 9 2" xfId="1055"/>
    <cellStyle name="40% - Accent6 2 9_Monthly returns" xfId="765"/>
    <cellStyle name="40% - Accent6 3" xfId="157"/>
    <cellStyle name="40% - Accent6 3 10" xfId="466"/>
    <cellStyle name="40% - Accent6 3 10 2" xfId="1166"/>
    <cellStyle name="40% - Accent6 3 10_Monthly returns" xfId="767"/>
    <cellStyle name="40% - Accent6 3 11" xfId="498"/>
    <cellStyle name="40% - Accent6 3 11 2" xfId="1198"/>
    <cellStyle name="40% - Accent6 3 11_Monthly returns" xfId="768"/>
    <cellStyle name="40% - Accent6 3 12" xfId="878"/>
    <cellStyle name="40% - Accent6 3 2" xfId="210"/>
    <cellStyle name="40% - Accent6 3 2 2" xfId="910"/>
    <cellStyle name="40% - Accent6 3 2_Monthly returns" xfId="769"/>
    <cellStyle name="40% - Accent6 3 3" xfId="242"/>
    <cellStyle name="40% - Accent6 3 3 2" xfId="942"/>
    <cellStyle name="40% - Accent6 3 3_Monthly returns" xfId="770"/>
    <cellStyle name="40% - Accent6 3 4" xfId="274"/>
    <cellStyle name="40% - Accent6 3 4 2" xfId="974"/>
    <cellStyle name="40% - Accent6 3 4_Monthly returns" xfId="771"/>
    <cellStyle name="40% - Accent6 3 5" xfId="306"/>
    <cellStyle name="40% - Accent6 3 5 2" xfId="1006"/>
    <cellStyle name="40% - Accent6 3 5_Monthly returns" xfId="772"/>
    <cellStyle name="40% - Accent6 3 6" xfId="338"/>
    <cellStyle name="40% - Accent6 3 6 2" xfId="1038"/>
    <cellStyle name="40% - Accent6 3 6_Monthly returns" xfId="773"/>
    <cellStyle name="40% - Accent6 3 7" xfId="370"/>
    <cellStyle name="40% - Accent6 3 7 2" xfId="1070"/>
    <cellStyle name="40% - Accent6 3 7_Monthly returns" xfId="774"/>
    <cellStyle name="40% - Accent6 3 8" xfId="402"/>
    <cellStyle name="40% - Accent6 3 8 2" xfId="1102"/>
    <cellStyle name="40% - Accent6 3 8_Monthly returns" xfId="775"/>
    <cellStyle name="40% - Accent6 3 9" xfId="434"/>
    <cellStyle name="40% - Accent6 3 9 2" xfId="1134"/>
    <cellStyle name="40% - Accent6 3 9_Monthly returns" xfId="776"/>
    <cellStyle name="40% - Accent6 3_Monthly returns" xfId="766"/>
    <cellStyle name="60% - Accent1" xfId="34" builtinId="32" customBuiltin="1"/>
    <cellStyle name="60% - Accent1 2" xfId="35"/>
    <cellStyle name="60% - Accent1 2 2" xfId="36"/>
    <cellStyle name="60% - Accent2" xfId="37" builtinId="36" customBuiltin="1"/>
    <cellStyle name="60% - Accent2 2" xfId="38"/>
    <cellStyle name="60% - Accent3" xfId="39" builtinId="40" customBuiltin="1"/>
    <cellStyle name="60% - Accent3 2" xfId="40"/>
    <cellStyle name="60% - Accent3 2 2" xfId="41"/>
    <cellStyle name="60% - Accent4" xfId="42" builtinId="44" customBuiltin="1"/>
    <cellStyle name="60% - Accent4 2" xfId="43"/>
    <cellStyle name="60% - Accent4 2 2" xfId="44"/>
    <cellStyle name="60% - Accent5" xfId="45" builtinId="48" customBuiltin="1"/>
    <cellStyle name="60% - Accent5 2" xfId="46"/>
    <cellStyle name="60% - Accent6" xfId="47" builtinId="52" customBuiltin="1"/>
    <cellStyle name="60% - Accent6 2" xfId="48"/>
    <cellStyle name="60% - Accent6 2 2" xfId="49"/>
    <cellStyle name="Accent1" xfId="50" builtinId="29" customBuiltin="1"/>
    <cellStyle name="Accent1 2" xfId="51"/>
    <cellStyle name="Accent1 2 2" xfId="52"/>
    <cellStyle name="Accent2" xfId="53" builtinId="33" customBuiltin="1"/>
    <cellStyle name="Accent2 2" xfId="54"/>
    <cellStyle name="Accent3" xfId="55" builtinId="37" customBuiltin="1"/>
    <cellStyle name="Accent3 2" xfId="56"/>
    <cellStyle name="Accent4" xfId="57" builtinId="41" customBuiltin="1"/>
    <cellStyle name="Accent4 2" xfId="58"/>
    <cellStyle name="Accent4 2 2" xfId="59"/>
    <cellStyle name="Accent5" xfId="60" builtinId="45" customBuiltin="1"/>
    <cellStyle name="Accent5 2" xfId="61"/>
    <cellStyle name="Accent6" xfId="62" builtinId="49" customBuiltin="1"/>
    <cellStyle name="Accent6 2" xfId="63"/>
    <cellStyle name="Bad" xfId="64" builtinId="27" customBuiltin="1"/>
    <cellStyle name="Bad 2" xfId="65"/>
    <cellStyle name="Calculation" xfId="66" builtinId="22" customBuiltin="1"/>
    <cellStyle name="Calculation 2" xfId="67"/>
    <cellStyle name="Check Cell" xfId="68" builtinId="23" customBuiltin="1"/>
    <cellStyle name="Check Cell 2" xfId="69"/>
    <cellStyle name="Comma" xfId="500" builtinId="3"/>
    <cellStyle name="Comma 10" xfId="1200"/>
    <cellStyle name="Comma 2" xfId="70"/>
    <cellStyle name="Comma 2 2" xfId="71"/>
    <cellStyle name="Comma 2 2 2" xfId="161"/>
    <cellStyle name="Comma 2 3" xfId="72"/>
    <cellStyle name="Comma 2 3 2" xfId="162"/>
    <cellStyle name="Comma 3" xfId="73"/>
    <cellStyle name="Comma 3 2" xfId="74"/>
    <cellStyle name="Comma 3 2 2" xfId="164"/>
    <cellStyle name="Comma 3 3" xfId="75"/>
    <cellStyle name="Comma 3 3 2" xfId="165"/>
    <cellStyle name="Comma 3 4" xfId="163"/>
    <cellStyle name="Comma 4" xfId="76"/>
    <cellStyle name="Comma 4 2" xfId="166"/>
    <cellStyle name="Comma 5" xfId="77"/>
    <cellStyle name="Comma 6" xfId="78"/>
    <cellStyle name="Comma 6 2" xfId="167"/>
    <cellStyle name="Comma 7" xfId="79"/>
    <cellStyle name="Comma 7 10" xfId="388"/>
    <cellStyle name="Comma 7 10 2" xfId="1088"/>
    <cellStyle name="Comma 7 11" xfId="420"/>
    <cellStyle name="Comma 7 11 2" xfId="1120"/>
    <cellStyle name="Comma 7 12" xfId="452"/>
    <cellStyle name="Comma 7 12 2" xfId="1152"/>
    <cellStyle name="Comma 7 13" xfId="484"/>
    <cellStyle name="Comma 7 13 2" xfId="1184"/>
    <cellStyle name="Comma 7 14" xfId="840"/>
    <cellStyle name="Comma 7 2" xfId="80"/>
    <cellStyle name="Comma 7 2 2" xfId="841"/>
    <cellStyle name="Comma 7 3" xfId="143"/>
    <cellStyle name="Comma 7 3 2" xfId="864"/>
    <cellStyle name="Comma 7 4" xfId="196"/>
    <cellStyle name="Comma 7 4 2" xfId="896"/>
    <cellStyle name="Comma 7 5" xfId="228"/>
    <cellStyle name="Comma 7 5 2" xfId="928"/>
    <cellStyle name="Comma 7 6" xfId="260"/>
    <cellStyle name="Comma 7 6 2" xfId="960"/>
    <cellStyle name="Comma 7 7" xfId="292"/>
    <cellStyle name="Comma 7 7 2" xfId="992"/>
    <cellStyle name="Comma 7 8" xfId="324"/>
    <cellStyle name="Comma 7 8 2" xfId="1024"/>
    <cellStyle name="Comma 7 9" xfId="356"/>
    <cellStyle name="Comma 7 9 2" xfId="1056"/>
    <cellStyle name="Comma 8" xfId="158"/>
    <cellStyle name="Comma 8 10" xfId="467"/>
    <cellStyle name="Comma 8 10 2" xfId="1167"/>
    <cellStyle name="Comma 8 11" xfId="499"/>
    <cellStyle name="Comma 8 11 2" xfId="1199"/>
    <cellStyle name="Comma 8 12" xfId="879"/>
    <cellStyle name="Comma 8 2" xfId="211"/>
    <cellStyle name="Comma 8 2 2" xfId="911"/>
    <cellStyle name="Comma 8 3" xfId="243"/>
    <cellStyle name="Comma 8 3 2" xfId="943"/>
    <cellStyle name="Comma 8 4" xfId="275"/>
    <cellStyle name="Comma 8 4 2" xfId="975"/>
    <cellStyle name="Comma 8 5" xfId="307"/>
    <cellStyle name="Comma 8 5 2" xfId="1007"/>
    <cellStyle name="Comma 8 6" xfId="339"/>
    <cellStyle name="Comma 8 6 2" xfId="1039"/>
    <cellStyle name="Comma 8 7" xfId="371"/>
    <cellStyle name="Comma 8 7 2" xfId="1071"/>
    <cellStyle name="Comma 8 8" xfId="403"/>
    <cellStyle name="Comma 8 8 2" xfId="1103"/>
    <cellStyle name="Comma 8 9" xfId="435"/>
    <cellStyle name="Comma 8 9 2" xfId="1135"/>
    <cellStyle name="Comma 9" xfId="160"/>
    <cellStyle name="Explanatory Text" xfId="81" builtinId="53" customBuiltin="1"/>
    <cellStyle name="Explanatory Text 2" xfId="82"/>
    <cellStyle name="Good" xfId="83" builtinId="26" customBuiltin="1"/>
    <cellStyle name="Good 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3 2" xfId="90"/>
    <cellStyle name="Heading 4" xfId="91" builtinId="19" customBuiltin="1"/>
    <cellStyle name="Heading 4 2" xfId="92"/>
    <cellStyle name="Input" xfId="93" builtinId="20" customBuiltin="1"/>
    <cellStyle name="Input 2" xfId="94"/>
    <cellStyle name="Linked Cell" xfId="95" builtinId="24" customBuiltin="1"/>
    <cellStyle name="Linked Cell 2" xfId="96"/>
    <cellStyle name="Neutral" xfId="97" builtinId="28" customBuiltin="1"/>
    <cellStyle name="Neutral 2" xfId="98"/>
    <cellStyle name="Normal" xfId="0" builtinId="0"/>
    <cellStyle name="Normal 2" xfId="99"/>
    <cellStyle name="Normal 2 2" xfId="100"/>
    <cellStyle name="Normal 2 2 2" xfId="168"/>
    <cellStyle name="Normal 2 2_Monthly returns" xfId="777"/>
    <cellStyle name="Normal 2 3" xfId="101"/>
    <cellStyle name="Normal 2 3 2" xfId="169"/>
    <cellStyle name="Normal 2 3_Monthly returns" xfId="778"/>
    <cellStyle name="Normal 2 4" xfId="102"/>
    <cellStyle name="Normal 2 4 2" xfId="170"/>
    <cellStyle name="Normal 2 5" xfId="103"/>
    <cellStyle name="Normal 2 5 10" xfId="404"/>
    <cellStyle name="Normal 2 5 10 2" xfId="1104"/>
    <cellStyle name="Normal 2 5 10_Monthly returns" xfId="780"/>
    <cellStyle name="Normal 2 5 11" xfId="436"/>
    <cellStyle name="Normal 2 5 11 2" xfId="1136"/>
    <cellStyle name="Normal 2 5 11_Monthly returns" xfId="781"/>
    <cellStyle name="Normal 2 5 12" xfId="468"/>
    <cellStyle name="Normal 2 5 12 2" xfId="1168"/>
    <cellStyle name="Normal 2 5 12_Monthly returns" xfId="782"/>
    <cellStyle name="Normal 2 5 13" xfId="842"/>
    <cellStyle name="Normal 2 5 2" xfId="127"/>
    <cellStyle name="Normal 2 5 2 2" xfId="848"/>
    <cellStyle name="Normal 2 5 2_Monthly returns" xfId="783"/>
    <cellStyle name="Normal 2 5 3" xfId="171"/>
    <cellStyle name="Normal 2 5 3 2" xfId="880"/>
    <cellStyle name="Normal 2 5 3_Monthly returns" xfId="784"/>
    <cellStyle name="Normal 2 5 4" xfId="212"/>
    <cellStyle name="Normal 2 5 4 2" xfId="912"/>
    <cellStyle name="Normal 2 5 4_Monthly returns" xfId="785"/>
    <cellStyle name="Normal 2 5 5" xfId="244"/>
    <cellStyle name="Normal 2 5 5 2" xfId="944"/>
    <cellStyle name="Normal 2 5 5_Monthly returns" xfId="786"/>
    <cellStyle name="Normal 2 5 6" xfId="276"/>
    <cellStyle name="Normal 2 5 6 2" xfId="976"/>
    <cellStyle name="Normal 2 5 6_Monthly returns" xfId="787"/>
    <cellStyle name="Normal 2 5 7" xfId="308"/>
    <cellStyle name="Normal 2 5 7 2" xfId="1008"/>
    <cellStyle name="Normal 2 5 7_Monthly returns" xfId="788"/>
    <cellStyle name="Normal 2 5 8" xfId="340"/>
    <cellStyle name="Normal 2 5 8 2" xfId="1040"/>
    <cellStyle name="Normal 2 5 8_Monthly returns" xfId="789"/>
    <cellStyle name="Normal 2 5 9" xfId="372"/>
    <cellStyle name="Normal 2 5 9 2" xfId="1072"/>
    <cellStyle name="Normal 2 5 9_Monthly returns" xfId="790"/>
    <cellStyle name="Normal 2 5_Monthly returns" xfId="779"/>
    <cellStyle name="Normal 3" xfId="104"/>
    <cellStyle name="Normal 3 10" xfId="405"/>
    <cellStyle name="Normal 3 10 2" xfId="1105"/>
    <cellStyle name="Normal 3 10_Monthly returns" xfId="792"/>
    <cellStyle name="Normal 3 11" xfId="437"/>
    <cellStyle name="Normal 3 11 2" xfId="1137"/>
    <cellStyle name="Normal 3 11_Monthly returns" xfId="793"/>
    <cellStyle name="Normal 3 12" xfId="469"/>
    <cellStyle name="Normal 3 12 2" xfId="1169"/>
    <cellStyle name="Normal 3 12_Monthly returns" xfId="794"/>
    <cellStyle name="Normal 3 13" xfId="843"/>
    <cellStyle name="Normal 3 2" xfId="128"/>
    <cellStyle name="Normal 3 2 2" xfId="849"/>
    <cellStyle name="Normal 3 2_Monthly returns" xfId="795"/>
    <cellStyle name="Normal 3 3" xfId="172"/>
    <cellStyle name="Normal 3 3 2" xfId="881"/>
    <cellStyle name="Normal 3 3_Monthly returns" xfId="796"/>
    <cellStyle name="Normal 3 4" xfId="213"/>
    <cellStyle name="Normal 3 4 2" xfId="913"/>
    <cellStyle name="Normal 3 4_Monthly returns" xfId="797"/>
    <cellStyle name="Normal 3 5" xfId="245"/>
    <cellStyle name="Normal 3 5 2" xfId="945"/>
    <cellStyle name="Normal 3 5_Monthly returns" xfId="798"/>
    <cellStyle name="Normal 3 6" xfId="277"/>
    <cellStyle name="Normal 3 6 2" xfId="977"/>
    <cellStyle name="Normal 3 6_Monthly returns" xfId="799"/>
    <cellStyle name="Normal 3 7" xfId="309"/>
    <cellStyle name="Normal 3 7 2" xfId="1009"/>
    <cellStyle name="Normal 3 7_Monthly returns" xfId="800"/>
    <cellStyle name="Normal 3 8" xfId="341"/>
    <cellStyle name="Normal 3 8 2" xfId="1041"/>
    <cellStyle name="Normal 3 8_Monthly returns" xfId="801"/>
    <cellStyle name="Normal 3 9" xfId="373"/>
    <cellStyle name="Normal 3 9 2" xfId="1073"/>
    <cellStyle name="Normal 3 9_Monthly returns" xfId="802"/>
    <cellStyle name="Normal 3_Monthly returns" xfId="791"/>
    <cellStyle name="Normal 4" xfId="105"/>
    <cellStyle name="Normal 4 2" xfId="173"/>
    <cellStyle name="Normal 4_Monthly returns" xfId="803"/>
    <cellStyle name="Normal 5" xfId="106"/>
    <cellStyle name="Normal 5 2" xfId="174"/>
    <cellStyle name="Normal 5_Monthly returns" xfId="804"/>
    <cellStyle name="Normal 6" xfId="107"/>
    <cellStyle name="Normal 6 10" xfId="406"/>
    <cellStyle name="Normal 6 10 2" xfId="1106"/>
    <cellStyle name="Normal 6 10_Monthly returns" xfId="806"/>
    <cellStyle name="Normal 6 11" xfId="438"/>
    <cellStyle name="Normal 6 11 2" xfId="1138"/>
    <cellStyle name="Normal 6 11_Monthly returns" xfId="807"/>
    <cellStyle name="Normal 6 12" xfId="470"/>
    <cellStyle name="Normal 6 12 2" xfId="1170"/>
    <cellStyle name="Normal 6 12_Monthly returns" xfId="808"/>
    <cellStyle name="Normal 6 13" xfId="844"/>
    <cellStyle name="Normal 6 2" xfId="129"/>
    <cellStyle name="Normal 6 2 2" xfId="850"/>
    <cellStyle name="Normal 6 2_Monthly returns" xfId="809"/>
    <cellStyle name="Normal 6 3" xfId="182"/>
    <cellStyle name="Normal 6 3 2" xfId="882"/>
    <cellStyle name="Normal 6 3_Monthly returns" xfId="810"/>
    <cellStyle name="Normal 6 4" xfId="214"/>
    <cellStyle name="Normal 6 4 2" xfId="914"/>
    <cellStyle name="Normal 6 4_Monthly returns" xfId="811"/>
    <cellStyle name="Normal 6 5" xfId="246"/>
    <cellStyle name="Normal 6 5 2" xfId="946"/>
    <cellStyle name="Normal 6 5_Monthly returns" xfId="812"/>
    <cellStyle name="Normal 6 6" xfId="278"/>
    <cellStyle name="Normal 6 6 2" xfId="978"/>
    <cellStyle name="Normal 6 6_Monthly returns" xfId="813"/>
    <cellStyle name="Normal 6 7" xfId="310"/>
    <cellStyle name="Normal 6 7 2" xfId="1010"/>
    <cellStyle name="Normal 6 7_Monthly returns" xfId="814"/>
    <cellStyle name="Normal 6 8" xfId="342"/>
    <cellStyle name="Normal 6 8 2" xfId="1042"/>
    <cellStyle name="Normal 6 8_Monthly returns" xfId="815"/>
    <cellStyle name="Normal 6 9" xfId="374"/>
    <cellStyle name="Normal 6 9 2" xfId="1074"/>
    <cellStyle name="Normal 6 9_Monthly returns" xfId="816"/>
    <cellStyle name="Normal 6_Monthly returns" xfId="805"/>
    <cellStyle name="Normal 7" xfId="144"/>
    <cellStyle name="Normal 7 10" xfId="453"/>
    <cellStyle name="Normal 7 10 2" xfId="1153"/>
    <cellStyle name="Normal 7 10_Monthly returns" xfId="818"/>
    <cellStyle name="Normal 7 11" xfId="485"/>
    <cellStyle name="Normal 7 11 2" xfId="1185"/>
    <cellStyle name="Normal 7 11_Monthly returns" xfId="819"/>
    <cellStyle name="Normal 7 12" xfId="865"/>
    <cellStyle name="Normal 7 2" xfId="197"/>
    <cellStyle name="Normal 7 2 2" xfId="897"/>
    <cellStyle name="Normal 7 2_Monthly returns" xfId="820"/>
    <cellStyle name="Normal 7 3" xfId="229"/>
    <cellStyle name="Normal 7 3 2" xfId="929"/>
    <cellStyle name="Normal 7 3_Monthly returns" xfId="821"/>
    <cellStyle name="Normal 7 4" xfId="261"/>
    <cellStyle name="Normal 7 4 2" xfId="961"/>
    <cellStyle name="Normal 7 4_Monthly returns" xfId="822"/>
    <cellStyle name="Normal 7 5" xfId="293"/>
    <cellStyle name="Normal 7 5 2" xfId="993"/>
    <cellStyle name="Normal 7 5_Monthly returns" xfId="823"/>
    <cellStyle name="Normal 7 6" xfId="325"/>
    <cellStyle name="Normal 7 6 2" xfId="1025"/>
    <cellStyle name="Normal 7 6_Monthly returns" xfId="824"/>
    <cellStyle name="Normal 7 7" xfId="357"/>
    <cellStyle name="Normal 7 7 2" xfId="1057"/>
    <cellStyle name="Normal 7 7_Monthly returns" xfId="825"/>
    <cellStyle name="Normal 7 8" xfId="389"/>
    <cellStyle name="Normal 7 8 2" xfId="1089"/>
    <cellStyle name="Normal 7 8_Monthly returns" xfId="826"/>
    <cellStyle name="Normal 7 9" xfId="421"/>
    <cellStyle name="Normal 7 9 2" xfId="1121"/>
    <cellStyle name="Normal 7 9_Monthly returns" xfId="827"/>
    <cellStyle name="Normal 7_Monthly returns" xfId="817"/>
    <cellStyle name="Normal 8" xfId="159"/>
    <cellStyle name="Note" xfId="108" builtinId="10" customBuiltin="1"/>
    <cellStyle name="Note 10" xfId="375"/>
    <cellStyle name="Note 10 2" xfId="1075"/>
    <cellStyle name="Note 11" xfId="407"/>
    <cellStyle name="Note 11 2" xfId="1107"/>
    <cellStyle name="Note 12" xfId="439"/>
    <cellStyle name="Note 12 2" xfId="1139"/>
    <cellStyle name="Note 13" xfId="471"/>
    <cellStyle name="Note 13 2" xfId="1171"/>
    <cellStyle name="Note 14" xfId="845"/>
    <cellStyle name="Note 2" xfId="109"/>
    <cellStyle name="Note 2 10" xfId="422"/>
    <cellStyle name="Note 2 10 2" xfId="1122"/>
    <cellStyle name="Note 2 11" xfId="454"/>
    <cellStyle name="Note 2 11 2" xfId="1154"/>
    <cellStyle name="Note 2 12" xfId="486"/>
    <cellStyle name="Note 2 12 2" xfId="1186"/>
    <cellStyle name="Note 2 13" xfId="846"/>
    <cellStyle name="Note 2 2" xfId="145"/>
    <cellStyle name="Note 2 2 2" xfId="866"/>
    <cellStyle name="Note 2 3" xfId="198"/>
    <cellStyle name="Note 2 3 2" xfId="898"/>
    <cellStyle name="Note 2 4" xfId="230"/>
    <cellStyle name="Note 2 4 2" xfId="930"/>
    <cellStyle name="Note 2 5" xfId="262"/>
    <cellStyle name="Note 2 5 2" xfId="962"/>
    <cellStyle name="Note 2 6" xfId="294"/>
    <cellStyle name="Note 2 6 2" xfId="994"/>
    <cellStyle name="Note 2 7" xfId="326"/>
    <cellStyle name="Note 2 7 2" xfId="1026"/>
    <cellStyle name="Note 2 8" xfId="358"/>
    <cellStyle name="Note 2 8 2" xfId="1058"/>
    <cellStyle name="Note 2 9" xfId="390"/>
    <cellStyle name="Note 2 9 2" xfId="1090"/>
    <cellStyle name="Note 3" xfId="130"/>
    <cellStyle name="Note 3 2" xfId="851"/>
    <cellStyle name="Note 4" xfId="183"/>
    <cellStyle name="Note 4 2" xfId="883"/>
    <cellStyle name="Note 5" xfId="215"/>
    <cellStyle name="Note 5 2" xfId="915"/>
    <cellStyle name="Note 6" xfId="247"/>
    <cellStyle name="Note 6 2" xfId="947"/>
    <cellStyle name="Note 7" xfId="279"/>
    <cellStyle name="Note 7 2" xfId="979"/>
    <cellStyle name="Note 8" xfId="311"/>
    <cellStyle name="Note 8 2" xfId="1011"/>
    <cellStyle name="Note 9" xfId="343"/>
    <cellStyle name="Note 9 2" xfId="1043"/>
    <cellStyle name="Output" xfId="110" builtinId="21" customBuiltin="1"/>
    <cellStyle name="Output 2" xfId="111"/>
    <cellStyle name="Percent" xfId="112" builtinId="5"/>
    <cellStyle name="Percent 2" xfId="113"/>
    <cellStyle name="Percent 2 2" xfId="114"/>
    <cellStyle name="Percent 2 2 2" xfId="176"/>
    <cellStyle name="Percent 2 3" xfId="175"/>
    <cellStyle name="Percent 3" xfId="115"/>
    <cellStyle name="Percent 3 2" xfId="116"/>
    <cellStyle name="Percent 3 2 2" xfId="178"/>
    <cellStyle name="Percent 3 3" xfId="117"/>
    <cellStyle name="Percent 3 3 2" xfId="179"/>
    <cellStyle name="Percent 3 4" xfId="177"/>
    <cellStyle name="Percent 4" xfId="118"/>
    <cellStyle name="Percent 4 2" xfId="180"/>
    <cellStyle name="Percent 5" xfId="119"/>
    <cellStyle name="Percent 5 2" xfId="181"/>
    <cellStyle name="Percent 6" xfId="120"/>
    <cellStyle name="Percent 6 2" xfId="847"/>
    <cellStyle name="Title" xfId="121" builtinId="15" customBuiltin="1"/>
    <cellStyle name="Title 2" xfId="122"/>
    <cellStyle name="Total" xfId="123" builtinId="25" customBuiltin="1"/>
    <cellStyle name="Total 2" xfId="124"/>
    <cellStyle name="Warning Text" xfId="125" builtinId="11" customBuiltin="1"/>
    <cellStyle name="Warning Text 2" xfId="12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M17006"/>
  <sheetViews>
    <sheetView tabSelected="1" zoomScaleNormal="100" workbookViewId="0">
      <selection activeCell="L7" sqref="L7"/>
    </sheetView>
  </sheetViews>
  <sheetFormatPr defaultRowHeight="12.75" x14ac:dyDescent="0.2"/>
  <cols>
    <col min="1" max="1" width="17.7109375" style="16" customWidth="1"/>
    <col min="2" max="2" width="17.7109375" style="17" customWidth="1"/>
    <col min="3" max="3" width="17.7109375" style="2" customWidth="1"/>
    <col min="4" max="5" width="17.7109375" style="4" customWidth="1"/>
    <col min="6" max="6" width="16.85546875" style="17" hidden="1" customWidth="1"/>
    <col min="7" max="7" width="18.28515625" style="12" hidden="1" customWidth="1"/>
    <col min="8" max="9" width="17.7109375" style="45" customWidth="1"/>
    <col min="10" max="10" width="17.7109375" style="29" customWidth="1"/>
    <col min="11" max="11" width="17.7109375" style="15" customWidth="1"/>
    <col min="12" max="12" width="17.7109375" style="1" customWidth="1"/>
    <col min="13" max="13" width="15.140625" bestFit="1" customWidth="1"/>
    <col min="14" max="14" width="12.140625" bestFit="1" customWidth="1"/>
    <col min="16" max="16" width="11.7109375" bestFit="1" customWidth="1"/>
  </cols>
  <sheetData>
    <row r="1" spans="1:247" ht="24.95" customHeight="1" x14ac:dyDescent="0.35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247" x14ac:dyDescent="0.2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</row>
    <row r="3" spans="1:247" x14ac:dyDescent="0.2">
      <c r="A3" s="208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</row>
    <row r="4" spans="1:247" x14ac:dyDescent="0.2">
      <c r="A4" s="209" t="s">
        <v>9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1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</row>
    <row r="5" spans="1:247" ht="13.5" thickBot="1" x14ac:dyDescent="0.25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1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</row>
    <row r="6" spans="1:247" s="3" customFormat="1" ht="39.950000000000003" customHeight="1" x14ac:dyDescent="0.25">
      <c r="A6" s="69" t="s">
        <v>2</v>
      </c>
      <c r="B6" s="70" t="s">
        <v>3</v>
      </c>
      <c r="C6" s="70" t="s">
        <v>4</v>
      </c>
      <c r="D6" s="71" t="s">
        <v>5</v>
      </c>
      <c r="E6" s="70" t="s">
        <v>38</v>
      </c>
      <c r="F6" s="70" t="s">
        <v>37</v>
      </c>
      <c r="G6" s="72" t="s">
        <v>6</v>
      </c>
      <c r="H6" s="68" t="s">
        <v>34</v>
      </c>
      <c r="I6" s="68" t="s">
        <v>35</v>
      </c>
      <c r="J6" s="73" t="s">
        <v>36</v>
      </c>
      <c r="K6" s="74" t="s">
        <v>7</v>
      </c>
      <c r="L6" s="92" t="s">
        <v>8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IH6"/>
      <c r="II6"/>
      <c r="IJ6"/>
      <c r="IK6"/>
      <c r="IL6"/>
      <c r="IM6"/>
    </row>
    <row r="7" spans="1:247" s="163" customFormat="1" ht="20.25" customHeight="1" x14ac:dyDescent="0.25">
      <c r="A7" s="75">
        <v>45412</v>
      </c>
      <c r="B7" s="144">
        <v>477.11726900000002</v>
      </c>
      <c r="C7" s="144">
        <f t="shared" ref="C7" si="0">0.997*B7</f>
        <v>475.68591719300002</v>
      </c>
      <c r="D7" s="165">
        <f t="shared" ref="D7" si="1">1.003*B7</f>
        <v>478.54862080699996</v>
      </c>
      <c r="E7" s="78">
        <f>15286.59/1800.553*100</f>
        <v>848.99417012440063</v>
      </c>
      <c r="F7" s="76"/>
      <c r="G7" s="137"/>
      <c r="H7" s="78">
        <v>151.392</v>
      </c>
      <c r="I7" s="78">
        <v>168.29145368203899</v>
      </c>
      <c r="J7" s="166">
        <f t="shared" ref="J7:J28" si="2">(E7/E8)*0.5*J8+(H7/H8)*0.5*J8</f>
        <v>394.7870776003241</v>
      </c>
      <c r="K7" s="80">
        <v>230263.21189999999</v>
      </c>
      <c r="L7" s="82">
        <f t="shared" ref="L7:L28" si="3">K7*B7/1000000</f>
        <v>109.86255481289629</v>
      </c>
      <c r="M7" s="173"/>
      <c r="N7" s="174"/>
      <c r="O7" s="162"/>
      <c r="P7" s="162"/>
      <c r="Q7" s="162"/>
      <c r="R7" s="162"/>
      <c r="S7" s="162"/>
      <c r="T7" s="162"/>
      <c r="U7" s="162"/>
      <c r="V7" s="162"/>
      <c r="W7" s="162"/>
      <c r="IH7" s="172"/>
      <c r="II7" s="172"/>
      <c r="IJ7" s="172"/>
      <c r="IK7" s="172"/>
      <c r="IL7" s="172"/>
      <c r="IM7" s="172"/>
    </row>
    <row r="8" spans="1:247" s="163" customFormat="1" ht="20.25" customHeight="1" x14ac:dyDescent="0.25">
      <c r="A8" s="75">
        <v>45382</v>
      </c>
      <c r="B8" s="144">
        <v>470.57771400000001</v>
      </c>
      <c r="C8" s="144">
        <f t="shared" ref="C8" si="4">0.997*B8</f>
        <v>469.16598085800001</v>
      </c>
      <c r="D8" s="165">
        <f t="shared" ref="D8" si="5">1.003*B8</f>
        <v>471.98944714199996</v>
      </c>
      <c r="E8" s="78">
        <f>15868.89/1800.553*100</f>
        <v>881.33423453794467</v>
      </c>
      <c r="F8" s="76"/>
      <c r="G8" s="137"/>
      <c r="H8" s="78">
        <v>152.42070000000001</v>
      </c>
      <c r="I8" s="78">
        <v>167.726093301209</v>
      </c>
      <c r="J8" s="166">
        <f t="shared" si="2"/>
        <v>403.55295836735604</v>
      </c>
      <c r="K8" s="80">
        <v>232631.95480000001</v>
      </c>
      <c r="L8" s="82">
        <f t="shared" si="3"/>
        <v>109.47141349313533</v>
      </c>
      <c r="M8" s="173"/>
      <c r="N8" s="174"/>
      <c r="O8" s="162"/>
      <c r="P8" s="162"/>
      <c r="Q8" s="162"/>
      <c r="R8" s="162"/>
      <c r="S8" s="162"/>
      <c r="T8" s="162"/>
      <c r="U8" s="162"/>
      <c r="V8" s="162"/>
      <c r="W8" s="162"/>
      <c r="IH8" s="172"/>
      <c r="II8" s="172"/>
      <c r="IJ8" s="172"/>
      <c r="IK8" s="172"/>
      <c r="IL8" s="172"/>
      <c r="IM8" s="172"/>
    </row>
    <row r="9" spans="1:247" s="163" customFormat="1" ht="20.25" customHeight="1" x14ac:dyDescent="0.25">
      <c r="A9" s="75">
        <v>45351</v>
      </c>
      <c r="B9" s="144">
        <v>464.81119999999999</v>
      </c>
      <c r="C9" s="144">
        <f t="shared" ref="C9" si="6">0.997*B9</f>
        <v>463.41676639999997</v>
      </c>
      <c r="D9" s="165">
        <f t="shared" ref="D9" si="7">1.003*B9</f>
        <v>466.20563359999994</v>
      </c>
      <c r="E9" s="78">
        <f>15366.38/1800.553*100</f>
        <v>853.42558647260023</v>
      </c>
      <c r="F9" s="76"/>
      <c r="G9" s="137"/>
      <c r="H9" s="78">
        <v>152.2697</v>
      </c>
      <c r="I9" s="78">
        <v>167.14759559820399</v>
      </c>
      <c r="J9" s="166">
        <f t="shared" si="2"/>
        <v>396.8670243234842</v>
      </c>
      <c r="K9" s="80">
        <v>232858.53270000001</v>
      </c>
      <c r="L9" s="82">
        <f t="shared" si="3"/>
        <v>108.23525401452625</v>
      </c>
      <c r="M9" s="173"/>
      <c r="N9" s="174"/>
      <c r="O9" s="162"/>
      <c r="P9" s="162"/>
      <c r="Q9" s="162"/>
      <c r="R9" s="162"/>
      <c r="S9" s="162"/>
      <c r="T9" s="162"/>
      <c r="U9" s="162"/>
      <c r="V9" s="162"/>
      <c r="W9" s="162"/>
      <c r="IH9" s="172"/>
      <c r="II9" s="172"/>
      <c r="IJ9" s="172"/>
      <c r="IK9" s="172"/>
      <c r="IL9" s="172"/>
      <c r="IM9" s="172"/>
    </row>
    <row r="10" spans="1:247" s="163" customFormat="1" ht="20.25" customHeight="1" x14ac:dyDescent="0.25">
      <c r="A10" s="75">
        <v>45322</v>
      </c>
      <c r="B10" s="144">
        <v>472.00057199999998</v>
      </c>
      <c r="C10" s="144">
        <f t="shared" ref="C10" si="8">0.997*B10</f>
        <v>470.58457028399999</v>
      </c>
      <c r="D10" s="165">
        <f t="shared" ref="D10" si="9">1.003*B10</f>
        <v>473.4165737159999</v>
      </c>
      <c r="E10" s="78">
        <f>14735.89/1800.553*100</f>
        <v>818.4091220863811</v>
      </c>
      <c r="F10" s="76"/>
      <c r="G10" s="137"/>
      <c r="H10" s="78">
        <v>152.49700000000001</v>
      </c>
      <c r="I10" s="78">
        <v>166.60727417140299</v>
      </c>
      <c r="J10" s="166">
        <f t="shared" si="2"/>
        <v>388.83838783152095</v>
      </c>
      <c r="K10" s="80">
        <v>239715.80050000001</v>
      </c>
      <c r="L10" s="82">
        <f t="shared" si="3"/>
        <v>113.14599495343788</v>
      </c>
      <c r="M10" s="173"/>
      <c r="N10" s="174"/>
      <c r="O10" s="162"/>
      <c r="P10" s="162"/>
      <c r="Q10" s="162"/>
      <c r="R10" s="162"/>
      <c r="S10" s="162"/>
      <c r="T10" s="162"/>
      <c r="U10" s="162"/>
      <c r="V10" s="162"/>
      <c r="W10" s="162"/>
      <c r="IH10" s="172"/>
      <c r="II10" s="172"/>
      <c r="IJ10" s="172"/>
      <c r="IK10" s="172"/>
      <c r="IL10" s="172"/>
      <c r="IM10" s="172"/>
    </row>
    <row r="11" spans="1:247" s="163" customFormat="1" ht="20.25" customHeight="1" x14ac:dyDescent="0.25">
      <c r="A11" s="75">
        <v>45291</v>
      </c>
      <c r="B11" s="144">
        <v>474.18755099999998</v>
      </c>
      <c r="C11" s="144">
        <f t="shared" ref="C11" si="10">0.997*B11</f>
        <v>472.76498834699998</v>
      </c>
      <c r="D11" s="165">
        <f t="shared" ref="D11" si="11">1.003*B11</f>
        <v>475.61011365299993</v>
      </c>
      <c r="E11" s="78">
        <f>14557.83/1800.553*100</f>
        <v>808.51993804125721</v>
      </c>
      <c r="F11" s="76"/>
      <c r="G11" s="137"/>
      <c r="H11" s="78">
        <v>153.8749</v>
      </c>
      <c r="I11" s="78">
        <v>166.04370895482299</v>
      </c>
      <c r="J11" s="166">
        <f t="shared" si="2"/>
        <v>388.20240714249508</v>
      </c>
      <c r="K11" s="80">
        <v>239715.80050000001</v>
      </c>
      <c r="L11" s="82">
        <f t="shared" si="3"/>
        <v>113.67024837509959</v>
      </c>
      <c r="M11" s="173"/>
      <c r="N11" s="174"/>
      <c r="O11" s="162"/>
      <c r="P11" s="162"/>
      <c r="Q11" s="162"/>
      <c r="R11" s="162"/>
      <c r="S11" s="162"/>
      <c r="T11" s="162"/>
      <c r="U11" s="162"/>
      <c r="V11" s="162"/>
      <c r="W11" s="162"/>
      <c r="IH11" s="172"/>
      <c r="II11" s="172"/>
      <c r="IJ11" s="172"/>
      <c r="IK11" s="172"/>
      <c r="IL11" s="172"/>
      <c r="IM11" s="172"/>
    </row>
    <row r="12" spans="1:247" s="163" customFormat="1" ht="20.25" customHeight="1" x14ac:dyDescent="0.25">
      <c r="A12" s="75">
        <v>45260</v>
      </c>
      <c r="B12" s="144">
        <v>468.32625999999999</v>
      </c>
      <c r="C12" s="144">
        <f t="shared" ref="C12" si="12">0.997*B12</f>
        <v>466.92128121999997</v>
      </c>
      <c r="D12" s="165">
        <f t="shared" ref="D12" si="13">1.003*B12</f>
        <v>469.73123877999996</v>
      </c>
      <c r="E12" s="78">
        <f>13871.96/1800.553*100</f>
        <v>770.42775191843828</v>
      </c>
      <c r="F12" s="76"/>
      <c r="G12" s="137"/>
      <c r="H12" s="78">
        <v>151.33850000000001</v>
      </c>
      <c r="I12" s="78">
        <v>165.47846822360901</v>
      </c>
      <c r="J12" s="166">
        <f t="shared" si="2"/>
        <v>375.76411058212568</v>
      </c>
      <c r="K12" s="80">
        <v>239715.80050000001</v>
      </c>
      <c r="L12" s="82">
        <f t="shared" si="3"/>
        <v>112.26520431107113</v>
      </c>
      <c r="M12" s="173"/>
      <c r="N12" s="174"/>
      <c r="O12" s="162"/>
      <c r="P12" s="162"/>
      <c r="Q12" s="162"/>
      <c r="R12" s="162"/>
      <c r="S12" s="162"/>
      <c r="T12" s="162"/>
      <c r="U12" s="162"/>
      <c r="V12" s="162"/>
      <c r="W12" s="162"/>
      <c r="IH12" s="172"/>
      <c r="II12" s="172"/>
      <c r="IJ12" s="172"/>
      <c r="IK12" s="172"/>
      <c r="IL12" s="172"/>
      <c r="IM12" s="172"/>
    </row>
    <row r="13" spans="1:247" s="163" customFormat="1" ht="20.25" customHeight="1" x14ac:dyDescent="0.25">
      <c r="A13" s="75">
        <v>45230</v>
      </c>
      <c r="B13" s="144">
        <v>469.0095</v>
      </c>
      <c r="C13" s="144">
        <f t="shared" ref="C13" si="14">0.997*B13</f>
        <v>467.60247149999998</v>
      </c>
      <c r="D13" s="165">
        <f t="shared" ref="D13" si="15">1.003*B13</f>
        <v>470.41652849999997</v>
      </c>
      <c r="E13" s="78">
        <f>12676.97/1800.553*100</f>
        <v>704.05980829223017</v>
      </c>
      <c r="F13" s="76"/>
      <c r="G13" s="137"/>
      <c r="H13" s="78">
        <v>148.11060000000001</v>
      </c>
      <c r="I13" s="78">
        <v>164.9186</v>
      </c>
      <c r="J13" s="166">
        <f t="shared" si="2"/>
        <v>355.15474906231378</v>
      </c>
      <c r="K13" s="80">
        <v>239718.25599999999</v>
      </c>
      <c r="L13" s="82">
        <f t="shared" si="3"/>
        <v>112.43013938743199</v>
      </c>
      <c r="M13" s="173"/>
      <c r="N13" s="174"/>
      <c r="O13" s="162"/>
      <c r="P13" s="162"/>
      <c r="Q13" s="162"/>
      <c r="R13" s="162"/>
      <c r="S13" s="162"/>
      <c r="T13" s="162"/>
      <c r="U13" s="162"/>
      <c r="V13" s="162"/>
      <c r="W13" s="162"/>
      <c r="IH13" s="172"/>
      <c r="II13" s="172"/>
      <c r="IJ13" s="172"/>
      <c r="IK13" s="172"/>
      <c r="IL13" s="172"/>
      <c r="IM13" s="172"/>
    </row>
    <row r="14" spans="1:247" s="163" customFormat="1" ht="20.25" customHeight="1" x14ac:dyDescent="0.25">
      <c r="A14" s="75">
        <v>45199</v>
      </c>
      <c r="B14" s="144">
        <v>473.99810000000002</v>
      </c>
      <c r="C14" s="144">
        <f t="shared" ref="C14" si="16">0.997*B14</f>
        <v>472.57610570000003</v>
      </c>
      <c r="D14" s="165">
        <f t="shared" ref="D14" si="17">1.003*B14</f>
        <v>475.42009429999996</v>
      </c>
      <c r="E14" s="78">
        <f>13052.6/1800.553*100</f>
        <v>724.92173237888574</v>
      </c>
      <c r="F14" s="76"/>
      <c r="G14" s="137"/>
      <c r="H14" s="78">
        <v>148.00839999999999</v>
      </c>
      <c r="I14" s="78">
        <v>164.33123813879601</v>
      </c>
      <c r="J14" s="166">
        <f t="shared" si="2"/>
        <v>360.21352898894702</v>
      </c>
      <c r="K14" s="80">
        <v>239718.25599999999</v>
      </c>
      <c r="L14" s="82">
        <f t="shared" si="3"/>
        <v>113.6259978793136</v>
      </c>
      <c r="M14" s="173"/>
      <c r="N14" s="174"/>
      <c r="O14" s="162"/>
      <c r="P14" s="162"/>
      <c r="Q14" s="162"/>
      <c r="R14" s="162"/>
      <c r="S14" s="162"/>
      <c r="T14" s="162"/>
      <c r="U14" s="162"/>
      <c r="V14" s="162"/>
      <c r="W14" s="162"/>
      <c r="IH14" s="172"/>
      <c r="II14" s="172"/>
      <c r="IJ14" s="172"/>
      <c r="IK14" s="172"/>
      <c r="IL14" s="172"/>
      <c r="IM14" s="172"/>
    </row>
    <row r="15" spans="1:247" s="163" customFormat="1" ht="20.25" customHeight="1" x14ac:dyDescent="0.25">
      <c r="A15" s="75">
        <v>45169</v>
      </c>
      <c r="B15" s="144">
        <v>464.50290000000001</v>
      </c>
      <c r="C15" s="144">
        <f t="shared" ref="C15" si="18">0.997*B15</f>
        <v>463.10939130000003</v>
      </c>
      <c r="D15" s="165">
        <f t="shared" ref="D15" si="19">1.003*B15</f>
        <v>465.89640869999994</v>
      </c>
      <c r="E15" s="78">
        <f>13636.08/1800.553*100</f>
        <v>757.3273322140476</v>
      </c>
      <c r="F15" s="76"/>
      <c r="G15" s="137"/>
      <c r="H15" s="78">
        <v>149.6405</v>
      </c>
      <c r="I15" s="78">
        <v>163.76684804097599</v>
      </c>
      <c r="J15" s="166">
        <f t="shared" si="2"/>
        <v>370.15139624266885</v>
      </c>
      <c r="K15" s="80">
        <v>239718.25599999999</v>
      </c>
      <c r="L15" s="82">
        <f t="shared" si="3"/>
        <v>111.3498250949424</v>
      </c>
      <c r="M15" s="173"/>
      <c r="N15" s="174"/>
      <c r="O15" s="162"/>
      <c r="P15" s="162"/>
      <c r="Q15" s="162"/>
      <c r="R15" s="162"/>
      <c r="S15" s="162"/>
      <c r="T15" s="162"/>
      <c r="U15" s="162"/>
      <c r="V15" s="162"/>
      <c r="W15" s="162"/>
      <c r="IH15" s="172"/>
      <c r="II15" s="172"/>
      <c r="IJ15" s="172"/>
      <c r="IK15" s="172"/>
      <c r="IL15" s="172"/>
      <c r="IM15" s="172"/>
    </row>
    <row r="16" spans="1:247" s="163" customFormat="1" ht="20.25" customHeight="1" x14ac:dyDescent="0.25">
      <c r="A16" s="75">
        <v>45138</v>
      </c>
      <c r="B16" s="144">
        <v>462.83890000000002</v>
      </c>
      <c r="C16" s="144">
        <f t="shared" ref="C16" si="20">0.997*B16</f>
        <v>461.4503833</v>
      </c>
      <c r="D16" s="165">
        <f t="shared" ref="D16" si="21">1.003*B16</f>
        <v>464.22741669999999</v>
      </c>
      <c r="E16" s="78">
        <f>13963.89/1800.553*100</f>
        <v>775.53340557039962</v>
      </c>
      <c r="F16" s="76"/>
      <c r="G16" s="137"/>
      <c r="H16" s="78">
        <v>150.61750000000001</v>
      </c>
      <c r="I16" s="78">
        <v>163.1883</v>
      </c>
      <c r="J16" s="166">
        <f t="shared" si="2"/>
        <v>375.78100533980631</v>
      </c>
      <c r="K16" s="80">
        <v>239718.25599999999</v>
      </c>
      <c r="L16" s="82">
        <f t="shared" si="3"/>
        <v>110.95093391695841</v>
      </c>
      <c r="M16" s="173"/>
      <c r="N16" s="174"/>
      <c r="O16" s="162"/>
      <c r="P16" s="162"/>
      <c r="Q16" s="162"/>
      <c r="R16" s="162"/>
      <c r="S16" s="162"/>
      <c r="T16" s="162"/>
      <c r="U16" s="162"/>
      <c r="V16" s="162"/>
      <c r="W16" s="162"/>
      <c r="IH16" s="172"/>
      <c r="II16" s="172"/>
      <c r="IJ16" s="172"/>
      <c r="IK16" s="172"/>
      <c r="IL16" s="172"/>
      <c r="IM16" s="172"/>
    </row>
    <row r="17" spans="1:247" s="163" customFormat="1" ht="20.25" customHeight="1" x14ac:dyDescent="0.25">
      <c r="A17" s="75">
        <v>45107</v>
      </c>
      <c r="B17" s="144">
        <v>455.16219999999998</v>
      </c>
      <c r="C17" s="144">
        <f t="shared" ref="C17" si="22">0.997*B17</f>
        <v>453.79671339999999</v>
      </c>
      <c r="D17" s="165">
        <f t="shared" ref="D17" si="23">1.003*B17</f>
        <v>456.52768659999992</v>
      </c>
      <c r="E17" s="78">
        <f>13506.74/1800.553*100</f>
        <v>750.14398354283378</v>
      </c>
      <c r="F17" s="76"/>
      <c r="G17" s="137"/>
      <c r="H17" s="78">
        <v>148.292</v>
      </c>
      <c r="I17" s="78">
        <v>162.61689999999999</v>
      </c>
      <c r="J17" s="166">
        <f t="shared" si="2"/>
        <v>366.70005205684674</v>
      </c>
      <c r="K17" s="80">
        <v>240068.25599999999</v>
      </c>
      <c r="L17" s="82">
        <f t="shared" si="3"/>
        <v>109.26999555112319</v>
      </c>
      <c r="M17" s="173"/>
      <c r="N17" s="174"/>
      <c r="O17" s="162"/>
      <c r="P17" s="162"/>
      <c r="Q17" s="162"/>
      <c r="R17" s="162"/>
      <c r="S17" s="162"/>
      <c r="T17" s="162"/>
      <c r="U17" s="162"/>
      <c r="V17" s="162"/>
      <c r="W17" s="162"/>
      <c r="IH17" s="172"/>
      <c r="II17" s="172"/>
      <c r="IJ17" s="172"/>
      <c r="IK17" s="172"/>
      <c r="IL17" s="172"/>
      <c r="IM17" s="172"/>
    </row>
    <row r="18" spans="1:247" s="163" customFormat="1" ht="20.25" customHeight="1" x14ac:dyDescent="0.25">
      <c r="A18" s="75">
        <v>45077</v>
      </c>
      <c r="B18" s="144">
        <v>458.64299999999997</v>
      </c>
      <c r="C18" s="144">
        <f t="shared" ref="C18" si="24">0.997*B18</f>
        <v>457.26707099999999</v>
      </c>
      <c r="D18" s="165">
        <f t="shared" ref="D18" si="25">1.003*B18</f>
        <v>460.0189289999999</v>
      </c>
      <c r="E18" s="78">
        <f>12731.91/1800.553*100</f>
        <v>707.11109309195558</v>
      </c>
      <c r="F18" s="76"/>
      <c r="G18" s="137"/>
      <c r="H18" s="78">
        <v>147.79599999999999</v>
      </c>
      <c r="I18" s="78">
        <v>162.0675</v>
      </c>
      <c r="J18" s="166">
        <f t="shared" si="2"/>
        <v>355.29279019821104</v>
      </c>
      <c r="K18" s="80">
        <v>240068.25599999999</v>
      </c>
      <c r="L18" s="82">
        <f t="shared" si="3"/>
        <v>110.10562513660798</v>
      </c>
      <c r="M18" s="173"/>
      <c r="N18" s="174"/>
      <c r="O18" s="162"/>
      <c r="P18" s="162"/>
      <c r="Q18" s="162"/>
      <c r="R18" s="162"/>
      <c r="S18" s="162"/>
      <c r="T18" s="162"/>
      <c r="U18" s="162"/>
      <c r="V18" s="162"/>
      <c r="W18" s="162"/>
      <c r="IH18" s="172"/>
      <c r="II18" s="172"/>
      <c r="IJ18" s="172"/>
      <c r="IK18" s="172"/>
      <c r="IL18" s="172"/>
      <c r="IM18" s="172"/>
    </row>
    <row r="19" spans="1:247" s="163" customFormat="1" ht="20.25" customHeight="1" x14ac:dyDescent="0.25">
      <c r="A19" s="75">
        <v>45046</v>
      </c>
      <c r="B19" s="144">
        <v>475.38810000000001</v>
      </c>
      <c r="C19" s="144">
        <f t="shared" ref="C19" si="26">0.997*B19</f>
        <v>473.96193570000003</v>
      </c>
      <c r="D19" s="165">
        <f t="shared" ref="D19" si="27">1.003*B19</f>
        <v>476.81426429999993</v>
      </c>
      <c r="E19" s="78">
        <f>12850.38/1800.553*100</f>
        <v>713.69073834538608</v>
      </c>
      <c r="F19" s="76"/>
      <c r="G19" s="137"/>
      <c r="H19" s="78">
        <v>149.09989999999999</v>
      </c>
      <c r="I19" s="78">
        <v>161.52549250731099</v>
      </c>
      <c r="J19" s="166">
        <f t="shared" si="2"/>
        <v>358.51301251067105</v>
      </c>
      <c r="K19" s="80">
        <v>240068.25599999999</v>
      </c>
      <c r="L19" s="82">
        <f t="shared" si="3"/>
        <v>114.1255920901536</v>
      </c>
      <c r="M19" s="173"/>
      <c r="N19" s="174"/>
      <c r="O19" s="162"/>
      <c r="P19" s="162"/>
      <c r="Q19" s="162"/>
      <c r="R19" s="162"/>
      <c r="S19" s="162"/>
      <c r="T19" s="162"/>
      <c r="U19" s="162"/>
      <c r="V19" s="162"/>
      <c r="W19" s="162"/>
      <c r="IH19" s="172"/>
      <c r="II19" s="172"/>
      <c r="IJ19" s="172"/>
      <c r="IK19" s="172"/>
      <c r="IL19" s="172"/>
      <c r="IM19" s="172"/>
    </row>
    <row r="20" spans="1:247" s="163" customFormat="1" ht="20.25" customHeight="1" x14ac:dyDescent="0.25">
      <c r="A20" s="75">
        <v>45016</v>
      </c>
      <c r="B20" s="144">
        <v>464.62450000000001</v>
      </c>
      <c r="C20" s="144">
        <f t="shared" ref="C20" si="28">0.997*B20</f>
        <v>463.23062650000003</v>
      </c>
      <c r="D20" s="165">
        <f t="shared" ref="D20" si="29">1.003*B20</f>
        <v>466.01837349999994</v>
      </c>
      <c r="E20" s="78">
        <f>12622.66/1800.553*100</f>
        <v>701.04351274302951</v>
      </c>
      <c r="F20" s="76"/>
      <c r="G20" s="137"/>
      <c r="H20" s="78">
        <v>148.16810000000001</v>
      </c>
      <c r="I20" s="78">
        <v>161.03365301682101</v>
      </c>
      <c r="J20" s="166">
        <f t="shared" si="2"/>
        <v>354.2042288379206</v>
      </c>
      <c r="K20" s="80">
        <v>240438.5289</v>
      </c>
      <c r="L20" s="82">
        <f t="shared" si="3"/>
        <v>111.71363127089806</v>
      </c>
      <c r="M20" s="173"/>
      <c r="N20" s="174"/>
      <c r="O20" s="162"/>
      <c r="P20" s="162"/>
      <c r="Q20" s="162"/>
      <c r="R20" s="162"/>
      <c r="S20" s="162"/>
      <c r="T20" s="162"/>
      <c r="U20" s="162"/>
      <c r="V20" s="162"/>
      <c r="W20" s="162"/>
      <c r="IH20" s="172"/>
      <c r="II20" s="172"/>
      <c r="IJ20" s="172"/>
      <c r="IK20" s="172"/>
      <c r="IL20" s="172"/>
      <c r="IM20" s="172"/>
    </row>
    <row r="21" spans="1:247" s="163" customFormat="1" ht="20.25" customHeight="1" x14ac:dyDescent="0.25">
      <c r="A21" s="75">
        <v>44985</v>
      </c>
      <c r="B21" s="144">
        <v>471.57272499999999</v>
      </c>
      <c r="C21" s="144">
        <f t="shared" ref="C21:C22" si="30">0.997*B21</f>
        <v>470.15800682499997</v>
      </c>
      <c r="D21" s="165">
        <f t="shared" ref="D21:D22" si="31">1.003*B21</f>
        <v>472.98744317499995</v>
      </c>
      <c r="E21" s="78">
        <f>12235.69/1800.553*100</f>
        <v>679.55178214692933</v>
      </c>
      <c r="F21" s="76"/>
      <c r="G21" s="137"/>
      <c r="H21" s="78">
        <v>145.86150000000001</v>
      </c>
      <c r="I21" s="78">
        <v>160.54138740886501</v>
      </c>
      <c r="J21" s="166">
        <f t="shared" si="2"/>
        <v>345.99718192796871</v>
      </c>
      <c r="K21" s="80">
        <v>240438.5289</v>
      </c>
      <c r="L21" s="82">
        <f t="shared" si="3"/>
        <v>113.38425226836425</v>
      </c>
      <c r="M21" s="173"/>
      <c r="N21" s="174"/>
      <c r="O21" s="162"/>
      <c r="P21" s="162"/>
      <c r="Q21" s="162"/>
      <c r="R21" s="162"/>
      <c r="S21" s="162"/>
      <c r="T21" s="162"/>
      <c r="U21" s="162"/>
      <c r="V21" s="162"/>
      <c r="W21" s="162"/>
      <c r="IH21" s="172"/>
      <c r="II21" s="172"/>
      <c r="IJ21" s="172"/>
      <c r="IK21" s="172"/>
      <c r="IL21" s="172"/>
      <c r="IM21" s="172"/>
    </row>
    <row r="22" spans="1:247" s="163" customFormat="1" ht="20.25" customHeight="1" x14ac:dyDescent="0.25">
      <c r="A22" s="75">
        <v>44957</v>
      </c>
      <c r="B22" s="144">
        <v>472.4649</v>
      </c>
      <c r="C22" s="144">
        <f t="shared" si="30"/>
        <v>471.04750530000001</v>
      </c>
      <c r="D22" s="165">
        <f t="shared" si="31"/>
        <v>473.88229469999993</v>
      </c>
      <c r="E22" s="78">
        <f>12532.08/1800.553*100</f>
        <v>696.01283605647814</v>
      </c>
      <c r="F22" s="76"/>
      <c r="G22" s="137"/>
      <c r="H22" s="78">
        <v>148.0711</v>
      </c>
      <c r="I22" s="78">
        <v>160.08402215483801</v>
      </c>
      <c r="J22" s="166">
        <f t="shared" si="2"/>
        <v>352.80149937033372</v>
      </c>
      <c r="K22" s="80">
        <v>240438.5289</v>
      </c>
      <c r="L22" s="82">
        <f t="shared" si="3"/>
        <v>113.59876551288562</v>
      </c>
      <c r="M22" s="173"/>
      <c r="N22" s="174"/>
      <c r="O22" s="162"/>
      <c r="P22" s="162"/>
      <c r="Q22" s="162"/>
      <c r="R22" s="162"/>
      <c r="S22" s="162"/>
      <c r="T22" s="162"/>
      <c r="U22" s="162"/>
      <c r="V22" s="162"/>
      <c r="W22" s="162"/>
      <c r="IH22" s="172"/>
      <c r="II22" s="172"/>
      <c r="IJ22" s="172"/>
      <c r="IK22" s="172"/>
      <c r="IL22" s="172"/>
      <c r="IM22" s="172"/>
    </row>
    <row r="23" spans="1:247" s="163" customFormat="1" ht="20.25" customHeight="1" x14ac:dyDescent="0.25">
      <c r="A23" s="75">
        <v>44926</v>
      </c>
      <c r="B23" s="144">
        <v>473.45139999999998</v>
      </c>
      <c r="C23" s="144">
        <f t="shared" ref="C23" si="32">0.997*B23</f>
        <v>472.03104579999996</v>
      </c>
      <c r="D23" s="165">
        <f t="shared" ref="D23" si="33">1.003*B23</f>
        <v>474.87175419999994</v>
      </c>
      <c r="E23" s="78">
        <f>11700.99/1800.553*100</f>
        <v>649.85534999525146</v>
      </c>
      <c r="F23" s="76"/>
      <c r="G23" s="137"/>
      <c r="H23" s="78">
        <v>146.27160000000001</v>
      </c>
      <c r="I23" s="78">
        <v>159.61145871339701</v>
      </c>
      <c r="J23" s="166">
        <f t="shared" si="2"/>
        <v>338.69001708876516</v>
      </c>
      <c r="K23" s="80">
        <v>237700.9474</v>
      </c>
      <c r="L23" s="82">
        <f t="shared" si="3"/>
        <v>112.53984632785637</v>
      </c>
      <c r="M23" s="173"/>
      <c r="N23" s="174"/>
      <c r="O23" s="162"/>
      <c r="P23" s="162"/>
      <c r="Q23" s="162"/>
      <c r="R23" s="162"/>
      <c r="S23" s="162"/>
      <c r="T23" s="162"/>
      <c r="U23" s="162"/>
      <c r="V23" s="162"/>
      <c r="W23" s="162"/>
      <c r="IH23" s="172"/>
      <c r="II23" s="172"/>
      <c r="IJ23" s="172"/>
      <c r="IK23" s="172"/>
      <c r="IL23" s="172"/>
      <c r="IM23" s="172"/>
    </row>
    <row r="24" spans="1:247" s="163" customFormat="1" ht="20.25" customHeight="1" x14ac:dyDescent="0.25">
      <c r="A24" s="75">
        <v>44895</v>
      </c>
      <c r="B24" s="144">
        <v>461.9854281285962</v>
      </c>
      <c r="C24" s="144">
        <f t="shared" ref="C24:C29" si="34">0.997*B24</f>
        <v>460.59947184421043</v>
      </c>
      <c r="D24" s="165">
        <f t="shared" ref="D24:D29" si="35">1.003*B24</f>
        <v>463.37138441298191</v>
      </c>
      <c r="E24" s="78">
        <f>12215.11/1800.553*100</f>
        <v>678.40879996312242</v>
      </c>
      <c r="F24" s="76"/>
      <c r="G24" s="137"/>
      <c r="H24" s="78">
        <v>143.8941503776</v>
      </c>
      <c r="I24" s="78">
        <v>159.15847404020701</v>
      </c>
      <c r="J24" s="166">
        <f t="shared" si="2"/>
        <v>343.07566372949088</v>
      </c>
      <c r="K24" s="80">
        <v>237703.68979999996</v>
      </c>
      <c r="L24" s="82">
        <f t="shared" si="3"/>
        <v>109.81564090000001</v>
      </c>
      <c r="M24" s="173"/>
      <c r="N24" s="174"/>
      <c r="O24" s="162"/>
      <c r="P24" s="162"/>
      <c r="Q24" s="162"/>
      <c r="R24" s="162"/>
      <c r="S24" s="162"/>
      <c r="T24" s="162"/>
      <c r="U24" s="162"/>
      <c r="V24" s="162"/>
      <c r="W24" s="162"/>
      <c r="IH24" s="172"/>
      <c r="II24" s="172"/>
      <c r="IJ24" s="172"/>
      <c r="IK24" s="172"/>
      <c r="IL24" s="172"/>
      <c r="IM24" s="172"/>
    </row>
    <row r="25" spans="1:247" s="163" customFormat="1" ht="20.25" customHeight="1" x14ac:dyDescent="0.25">
      <c r="A25" s="75">
        <v>44865</v>
      </c>
      <c r="B25" s="144">
        <v>452.24610068295209</v>
      </c>
      <c r="C25" s="144">
        <f t="shared" si="34"/>
        <v>450.88936238090321</v>
      </c>
      <c r="D25" s="165">
        <f t="shared" si="35"/>
        <v>453.60283898500091</v>
      </c>
      <c r="E25" s="78">
        <f>11415.73/1800.553*100</f>
        <v>634.01243951163883</v>
      </c>
      <c r="F25" s="76"/>
      <c r="G25" s="137"/>
      <c r="H25" s="78">
        <v>139.036240852605</v>
      </c>
      <c r="I25" s="78">
        <v>158.73737088931401</v>
      </c>
      <c r="J25" s="166">
        <f t="shared" si="2"/>
        <v>325.9681524839167</v>
      </c>
      <c r="K25" s="80">
        <v>237703.68979999996</v>
      </c>
      <c r="L25" s="82">
        <f t="shared" si="3"/>
        <v>107.50056683</v>
      </c>
      <c r="M25" s="173"/>
      <c r="N25" s="174"/>
      <c r="O25" s="162"/>
      <c r="P25" s="162"/>
      <c r="Q25" s="162"/>
      <c r="R25" s="162"/>
      <c r="S25" s="162"/>
      <c r="T25" s="162"/>
      <c r="U25" s="162"/>
      <c r="V25" s="162"/>
      <c r="W25" s="162"/>
      <c r="IH25" s="172"/>
      <c r="II25" s="172"/>
      <c r="IJ25" s="172"/>
      <c r="IK25" s="172"/>
      <c r="IL25" s="172"/>
      <c r="IM25" s="172"/>
    </row>
    <row r="26" spans="1:247" s="163" customFormat="1" ht="20.25" customHeight="1" x14ac:dyDescent="0.25">
      <c r="A26" s="75">
        <v>44834</v>
      </c>
      <c r="B26" s="144">
        <v>448.21691432786815</v>
      </c>
      <c r="C26" s="144">
        <f t="shared" si="34"/>
        <v>446.87226358488454</v>
      </c>
      <c r="D26" s="165">
        <f t="shared" si="35"/>
        <v>449.56156507085171</v>
      </c>
      <c r="E26" s="78">
        <f>10648.16/1800.553*100</f>
        <v>591.3827585191882</v>
      </c>
      <c r="F26" s="76"/>
      <c r="G26" s="137"/>
      <c r="H26" s="78">
        <v>138.36792674182701</v>
      </c>
      <c r="I26" s="78">
        <v>158.32729930185101</v>
      </c>
      <c r="J26" s="166">
        <f t="shared" si="2"/>
        <v>313.89651900239289</v>
      </c>
      <c r="K26" s="80">
        <v>236654.76459999997</v>
      </c>
      <c r="L26" s="82">
        <f t="shared" si="3"/>
        <v>106.07266835</v>
      </c>
      <c r="M26" s="173"/>
      <c r="N26" s="174"/>
      <c r="O26" s="162"/>
      <c r="P26" s="162"/>
      <c r="Q26" s="162"/>
      <c r="R26" s="162"/>
      <c r="S26" s="162"/>
      <c r="T26" s="162"/>
      <c r="U26" s="162"/>
      <c r="V26" s="162"/>
      <c r="W26" s="162"/>
      <c r="IH26" s="172"/>
      <c r="II26" s="172"/>
      <c r="IJ26" s="172"/>
      <c r="IK26" s="172"/>
      <c r="IL26" s="172"/>
      <c r="IM26" s="172"/>
    </row>
    <row r="27" spans="1:247" s="163" customFormat="1" ht="20.25" customHeight="1" x14ac:dyDescent="0.25">
      <c r="A27" s="75">
        <v>44804</v>
      </c>
      <c r="B27" s="144">
        <v>444.16278599999998</v>
      </c>
      <c r="C27" s="144">
        <f t="shared" si="34"/>
        <v>442.830297642</v>
      </c>
      <c r="D27" s="165">
        <f t="shared" si="35"/>
        <v>445.49527435799996</v>
      </c>
      <c r="E27" s="78">
        <f>11734.16/1800.553*100</f>
        <v>651.69756180462332</v>
      </c>
      <c r="F27" s="76"/>
      <c r="G27" s="137"/>
      <c r="H27" s="78">
        <v>140.7938</v>
      </c>
      <c r="I27" s="78">
        <v>157.97952402166899</v>
      </c>
      <c r="J27" s="166">
        <f t="shared" si="2"/>
        <v>332.12701569450633</v>
      </c>
      <c r="K27" s="80">
        <v>236654.76459999999</v>
      </c>
      <c r="L27" s="82">
        <f t="shared" si="3"/>
        <v>105.11323956491017</v>
      </c>
      <c r="M27" s="173"/>
      <c r="N27" s="174"/>
      <c r="O27" s="162"/>
      <c r="P27" s="162"/>
      <c r="Q27" s="162"/>
      <c r="R27" s="162"/>
      <c r="S27" s="162"/>
      <c r="T27" s="162"/>
      <c r="U27" s="162"/>
      <c r="V27" s="162"/>
      <c r="W27" s="162"/>
      <c r="IH27" s="172"/>
      <c r="II27" s="172"/>
      <c r="IJ27" s="172"/>
      <c r="IK27" s="172"/>
      <c r="IL27" s="172"/>
      <c r="IM27" s="172"/>
    </row>
    <row r="28" spans="1:247" s="163" customFormat="1" ht="20.25" customHeight="1" x14ac:dyDescent="0.25">
      <c r="A28" s="75">
        <v>44773</v>
      </c>
      <c r="B28" s="144">
        <v>445.26537278092064</v>
      </c>
      <c r="C28" s="144">
        <f t="shared" si="34"/>
        <v>443.92957666257786</v>
      </c>
      <c r="D28" s="165">
        <f t="shared" si="35"/>
        <v>446.60116889926337</v>
      </c>
      <c r="E28" s="78">
        <f>12241.14/1800.553*100</f>
        <v>679.85446693321433</v>
      </c>
      <c r="F28" s="76"/>
      <c r="G28" s="137"/>
      <c r="H28" s="78">
        <v>142.79536998704401</v>
      </c>
      <c r="I28" s="78">
        <v>157.71274380760801</v>
      </c>
      <c r="J28" s="166">
        <f t="shared" si="2"/>
        <v>341.59485130124074</v>
      </c>
      <c r="K28" s="80">
        <v>236654.76459999997</v>
      </c>
      <c r="L28" s="82">
        <f t="shared" si="3"/>
        <v>105.37417198</v>
      </c>
      <c r="M28" s="173"/>
      <c r="N28" s="174"/>
      <c r="O28" s="162"/>
      <c r="P28" s="162"/>
      <c r="Q28" s="162"/>
      <c r="R28" s="162"/>
      <c r="S28" s="162"/>
      <c r="T28" s="162"/>
      <c r="U28" s="162"/>
      <c r="V28" s="162"/>
      <c r="W28" s="162"/>
      <c r="IH28" s="172"/>
      <c r="II28" s="172"/>
      <c r="IJ28" s="172"/>
      <c r="IK28" s="172"/>
      <c r="IL28" s="172"/>
      <c r="IM28" s="172"/>
    </row>
    <row r="29" spans="1:247" s="163" customFormat="1" ht="20.25" customHeight="1" x14ac:dyDescent="0.25">
      <c r="A29" s="75">
        <v>44742</v>
      </c>
      <c r="B29" s="144">
        <v>452.18298922007006</v>
      </c>
      <c r="C29" s="144">
        <f t="shared" si="34"/>
        <v>450.82644025240984</v>
      </c>
      <c r="D29" s="165">
        <f t="shared" si="35"/>
        <v>453.53953818773022</v>
      </c>
      <c r="E29" s="78">
        <f>11337.72/1800.553*100</f>
        <v>629.67988168079467</v>
      </c>
      <c r="F29" s="76"/>
      <c r="G29" s="137"/>
      <c r="H29" s="78">
        <v>143.715721116764</v>
      </c>
      <c r="I29" s="78">
        <v>157.48431251459499</v>
      </c>
      <c r="J29" s="166">
        <f t="shared" ref="J29:J30" si="36">(E29/E30)*0.5*J30+(H29/H30)*0.5*J30</f>
        <v>329.52139851883976</v>
      </c>
      <c r="K29" s="80">
        <v>236654.76459999997</v>
      </c>
      <c r="L29" s="82">
        <f t="shared" ref="L29:L30" si="37">K29*B29/1000000</f>
        <v>107.01125887000001</v>
      </c>
      <c r="M29" s="173"/>
      <c r="N29" s="174"/>
      <c r="O29" s="162"/>
      <c r="P29" s="162"/>
      <c r="Q29" s="162"/>
      <c r="R29" s="162"/>
      <c r="S29" s="162"/>
      <c r="T29" s="162"/>
      <c r="U29" s="162"/>
      <c r="V29" s="162"/>
      <c r="W29" s="162"/>
      <c r="IH29" s="172"/>
      <c r="II29" s="172"/>
      <c r="IJ29" s="172"/>
      <c r="IK29" s="172"/>
      <c r="IL29" s="172"/>
      <c r="IM29" s="172"/>
    </row>
    <row r="30" spans="1:247" s="163" customFormat="1" ht="20.25" customHeight="1" x14ac:dyDescent="0.25">
      <c r="A30" s="75">
        <v>44712</v>
      </c>
      <c r="B30" s="144">
        <v>465.02410131488227</v>
      </c>
      <c r="C30" s="144">
        <f t="shared" ref="C30" si="38">0.997*B30</f>
        <v>463.62902901093764</v>
      </c>
      <c r="D30" s="165">
        <f t="shared" ref="D30" si="39">1.003*B30</f>
        <v>466.41917361882685</v>
      </c>
      <c r="E30" s="78">
        <f>12408.09/1800.553*100</f>
        <v>689.1266183222599</v>
      </c>
      <c r="F30" s="76"/>
      <c r="G30" s="137"/>
      <c r="H30" s="78">
        <v>145.094075277125</v>
      </c>
      <c r="I30" s="78">
        <v>157.30079291171299</v>
      </c>
      <c r="J30" s="166">
        <f t="shared" si="36"/>
        <v>346.09295356510199</v>
      </c>
      <c r="K30" s="80">
        <v>236654.76459999997</v>
      </c>
      <c r="L30" s="82">
        <f t="shared" si="37"/>
        <v>110.05016923000001</v>
      </c>
      <c r="M30" s="173"/>
      <c r="N30" s="174"/>
      <c r="O30" s="162"/>
      <c r="P30" s="162"/>
      <c r="Q30" s="162"/>
      <c r="R30" s="162"/>
      <c r="S30" s="162"/>
      <c r="T30" s="162"/>
      <c r="U30" s="162"/>
      <c r="V30" s="162"/>
      <c r="W30" s="162"/>
      <c r="IH30" s="172"/>
      <c r="II30" s="172"/>
      <c r="IJ30" s="172"/>
      <c r="IK30" s="172"/>
      <c r="IL30" s="172"/>
      <c r="IM30" s="172"/>
    </row>
    <row r="31" spans="1:247" s="163" customFormat="1" ht="20.25" customHeight="1" x14ac:dyDescent="0.25">
      <c r="A31" s="75">
        <v>44681</v>
      </c>
      <c r="B31" s="144">
        <v>458.06234555297118</v>
      </c>
      <c r="C31" s="144">
        <f t="shared" ref="C31" si="40">0.997*B31</f>
        <v>456.68815851631228</v>
      </c>
      <c r="D31" s="165">
        <f t="shared" ref="D31" si="41">1.003*B31</f>
        <v>459.43653258963002</v>
      </c>
      <c r="E31" s="78">
        <f>12389.19/1800.553*100</f>
        <v>688.07694080651891</v>
      </c>
      <c r="F31" s="76"/>
      <c r="G31" s="137"/>
      <c r="H31" s="78">
        <v>143.98373206399799</v>
      </c>
      <c r="I31" s="78">
        <v>157.18533274422299</v>
      </c>
      <c r="J31" s="166">
        <f t="shared" ref="J31" si="42">(E31/E32)*0.5*J32+(H31/H32)*0.5*J32</f>
        <v>344.50185256853877</v>
      </c>
      <c r="K31" s="80">
        <v>235893.82239999998</v>
      </c>
      <c r="L31" s="82">
        <f t="shared" ref="L31" si="43">K31*B31/1000000</f>
        <v>108.05407759000001</v>
      </c>
      <c r="M31" s="173"/>
      <c r="N31" s="174"/>
      <c r="O31" s="162"/>
      <c r="P31" s="162"/>
      <c r="Q31" s="162"/>
      <c r="R31" s="162"/>
      <c r="S31" s="162"/>
      <c r="T31" s="162"/>
      <c r="U31" s="162"/>
      <c r="V31" s="162"/>
      <c r="W31" s="162"/>
      <c r="IH31" s="172"/>
      <c r="II31" s="172"/>
      <c r="IJ31" s="172"/>
      <c r="IK31" s="172"/>
      <c r="IL31" s="172"/>
      <c r="IM31" s="172"/>
    </row>
    <row r="32" spans="1:247" s="163" customFormat="1" ht="20.25" customHeight="1" x14ac:dyDescent="0.25">
      <c r="A32" s="75">
        <v>44651</v>
      </c>
      <c r="B32" s="144">
        <v>460.50856196563126</v>
      </c>
      <c r="C32" s="144">
        <f t="shared" ref="C32" si="44">0.997*B32</f>
        <v>459.12703627973434</v>
      </c>
      <c r="D32" s="165">
        <f t="shared" ref="D32" si="45">1.003*B32</f>
        <v>461.89008765152812</v>
      </c>
      <c r="E32" s="78">
        <f>13505.74/1800.553*100</f>
        <v>750.08844504993738</v>
      </c>
      <c r="F32" s="76"/>
      <c r="G32" s="137"/>
      <c r="H32" s="78">
        <v>147.87763016711</v>
      </c>
      <c r="I32" s="78">
        <v>157.094842886744</v>
      </c>
      <c r="J32" s="166">
        <f t="shared" ref="J32" si="46">(E32/E33)*0.5*J33+(H32/H33)*0.5*J33</f>
        <v>364.36024189552654</v>
      </c>
      <c r="K32" s="80">
        <v>235893.82239999998</v>
      </c>
      <c r="L32" s="82">
        <f t="shared" ref="L32" si="47">K32*B32/1000000</f>
        <v>108.63112493000001</v>
      </c>
      <c r="M32" s="173"/>
      <c r="N32" s="174"/>
      <c r="O32" s="162"/>
      <c r="P32" s="162"/>
      <c r="Q32" s="162"/>
      <c r="R32" s="162"/>
      <c r="S32" s="162"/>
      <c r="T32" s="162"/>
      <c r="U32" s="162"/>
      <c r="V32" s="162"/>
      <c r="W32" s="162"/>
      <c r="IH32" s="172"/>
      <c r="II32" s="172"/>
      <c r="IJ32" s="172"/>
      <c r="IK32" s="172"/>
      <c r="IL32" s="172"/>
      <c r="IM32" s="172"/>
    </row>
    <row r="33" spans="1:247" s="163" customFormat="1" ht="20.25" customHeight="1" x14ac:dyDescent="0.25">
      <c r="A33" s="75">
        <v>44620</v>
      </c>
      <c r="B33" s="144">
        <v>464.65055701356539</v>
      </c>
      <c r="C33" s="144">
        <f t="shared" ref="C33" si="48">0.997*B33</f>
        <v>463.25660534252467</v>
      </c>
      <c r="D33" s="165">
        <f t="shared" ref="D33" si="49">1.003*B33</f>
        <v>466.04450868460606</v>
      </c>
      <c r="E33" s="78">
        <f>13137.03/1800.553*100</f>
        <v>729.61084733412451</v>
      </c>
      <c r="F33" s="76"/>
      <c r="G33" s="137"/>
      <c r="H33" s="78">
        <v>149.18545908836299</v>
      </c>
      <c r="I33" s="78">
        <v>157.03894066372899</v>
      </c>
      <c r="J33" s="166">
        <f t="shared" ref="J33:J34" si="50">(E33/E34)*0.5*J34+(H33/H34)*0.5*J34</f>
        <v>360.87777108133571</v>
      </c>
      <c r="K33" s="80">
        <v>236661.67789999998</v>
      </c>
      <c r="L33" s="82">
        <f t="shared" ref="L33:L34" si="51">K33*B33/1000000</f>
        <v>109.96498045999999</v>
      </c>
      <c r="M33" s="173"/>
      <c r="N33" s="174"/>
      <c r="O33" s="162"/>
      <c r="P33" s="162"/>
      <c r="Q33" s="162"/>
      <c r="R33" s="162"/>
      <c r="S33" s="162"/>
      <c r="T33" s="162"/>
      <c r="U33" s="162"/>
      <c r="V33" s="162"/>
      <c r="W33" s="162"/>
      <c r="IH33" s="172"/>
      <c r="II33" s="172"/>
      <c r="IJ33" s="172"/>
      <c r="IK33" s="172"/>
      <c r="IL33" s="172"/>
      <c r="IM33" s="172"/>
    </row>
    <row r="34" spans="1:247" s="163" customFormat="1" ht="20.25" customHeight="1" x14ac:dyDescent="0.25">
      <c r="A34" s="75">
        <v>44592</v>
      </c>
      <c r="B34" s="144">
        <v>454.00186305360279</v>
      </c>
      <c r="C34" s="144">
        <f t="shared" ref="C34" si="52">0.997*B34</f>
        <v>452.639857464442</v>
      </c>
      <c r="D34" s="165">
        <f t="shared" ref="D34" si="53">1.003*B34</f>
        <v>455.36386864276352</v>
      </c>
      <c r="E34" s="78">
        <f>13473.43/1800.553*100</f>
        <v>748.29399634445633</v>
      </c>
      <c r="F34" s="76"/>
      <c r="G34" s="137"/>
      <c r="H34" s="78">
        <v>149.17287386342699</v>
      </c>
      <c r="I34" s="78">
        <v>157.02697486407601</v>
      </c>
      <c r="J34" s="166">
        <f t="shared" si="50"/>
        <v>365.4242502162449</v>
      </c>
      <c r="K34" s="80">
        <v>237919.83189999999</v>
      </c>
      <c r="L34" s="82">
        <f t="shared" si="51"/>
        <v>108.01604694</v>
      </c>
      <c r="M34" s="173"/>
      <c r="N34" s="174"/>
      <c r="O34" s="162"/>
      <c r="P34" s="162"/>
      <c r="Q34" s="162"/>
      <c r="R34" s="162"/>
      <c r="S34" s="162"/>
      <c r="T34" s="162"/>
      <c r="U34" s="162"/>
      <c r="V34" s="162"/>
      <c r="W34" s="162"/>
      <c r="IH34" s="172"/>
      <c r="II34" s="172"/>
      <c r="IJ34" s="172"/>
      <c r="IK34" s="172"/>
      <c r="IL34" s="172"/>
      <c r="IM34" s="172"/>
    </row>
    <row r="35" spans="1:247" s="163" customFormat="1" ht="20.25" customHeight="1" x14ac:dyDescent="0.25">
      <c r="A35" s="75">
        <v>44561</v>
      </c>
      <c r="B35" s="144">
        <v>442.21702172060554</v>
      </c>
      <c r="C35" s="144">
        <f t="shared" ref="C35" si="54">0.997*B35</f>
        <v>440.89037065544375</v>
      </c>
      <c r="D35" s="165">
        <f t="shared" ref="D35" si="55">1.003*B35</f>
        <v>443.54367278576728</v>
      </c>
      <c r="E35" s="78">
        <f>14223.14/1800.553*100</f>
        <v>789.9317598537782</v>
      </c>
      <c r="F35" s="76"/>
      <c r="G35" s="137"/>
      <c r="H35" s="78">
        <v>149.90406303319</v>
      </c>
      <c r="I35" s="78">
        <v>157.01372813204301</v>
      </c>
      <c r="J35" s="166">
        <f t="shared" ref="J35" si="56">(E35/E36)*0.5*J36+(H35/H36)*0.5*J36</f>
        <v>376.25828722182496</v>
      </c>
      <c r="K35" s="80">
        <v>237919.82689999999</v>
      </c>
      <c r="L35" s="82">
        <f t="shared" ref="L35" si="57">K35*B35/1000000</f>
        <v>105.21219726000001</v>
      </c>
      <c r="M35" s="173"/>
      <c r="N35" s="174"/>
      <c r="O35" s="162"/>
      <c r="P35" s="162"/>
      <c r="Q35" s="162"/>
      <c r="R35" s="162"/>
      <c r="S35" s="162"/>
      <c r="T35" s="162"/>
      <c r="U35" s="162"/>
      <c r="V35" s="162"/>
      <c r="W35" s="162"/>
      <c r="IH35" s="172"/>
      <c r="II35" s="172"/>
      <c r="IJ35" s="172"/>
      <c r="IK35" s="172"/>
      <c r="IL35" s="172"/>
      <c r="IM35" s="172"/>
    </row>
    <row r="36" spans="1:247" s="163" customFormat="1" ht="20.25" customHeight="1" x14ac:dyDescent="0.25">
      <c r="A36" s="75">
        <v>44530</v>
      </c>
      <c r="B36" s="144">
        <v>434.82692980220895</v>
      </c>
      <c r="C36" s="144">
        <f t="shared" ref="C36" si="58">0.997*B36</f>
        <v>433.52244901280233</v>
      </c>
      <c r="D36" s="165">
        <f t="shared" ref="D36" si="59">1.003*B36</f>
        <v>436.13141059161552</v>
      </c>
      <c r="E36" s="78">
        <f xml:space="preserve"> 13636.23/1800.553*100</f>
        <v>757.335662987982</v>
      </c>
      <c r="F36" s="76"/>
      <c r="G36" s="137"/>
      <c r="H36" s="78">
        <v>149.49458651291499</v>
      </c>
      <c r="I36" s="78">
        <v>157.02085923436499</v>
      </c>
      <c r="J36" s="166">
        <f t="shared" ref="J36" si="60">(E36/E37)*0.5*J37+(H36/H37)*0.5*J37</f>
        <v>367.83854369235223</v>
      </c>
      <c r="K36" s="80">
        <v>237919.82689999999</v>
      </c>
      <c r="L36" s="82">
        <f t="shared" ref="L36" si="61">K36*B36/1000000</f>
        <v>103.45394787000001</v>
      </c>
      <c r="M36" s="152"/>
      <c r="N36" s="66"/>
      <c r="O36" s="162"/>
      <c r="P36" s="162"/>
      <c r="Q36" s="162"/>
      <c r="R36" s="162"/>
      <c r="S36" s="162"/>
      <c r="T36" s="162"/>
      <c r="U36" s="162"/>
      <c r="V36" s="162"/>
      <c r="W36" s="162"/>
      <c r="IH36" s="172"/>
      <c r="II36" s="172"/>
      <c r="IJ36" s="172"/>
      <c r="IK36" s="172"/>
      <c r="IL36" s="172"/>
      <c r="IM36" s="172"/>
    </row>
    <row r="37" spans="1:247" s="163" customFormat="1" ht="20.25" customHeight="1" x14ac:dyDescent="0.25">
      <c r="A37" s="75">
        <v>44500</v>
      </c>
      <c r="B37" s="144">
        <v>448.22640474945638</v>
      </c>
      <c r="C37" s="144">
        <f t="shared" ref="C37" si="62">0.997*B37</f>
        <v>446.88172553520803</v>
      </c>
      <c r="D37" s="165">
        <f t="shared" ref="D37" si="63">1.003*B37</f>
        <v>449.57108396370472</v>
      </c>
      <c r="E37" s="78">
        <f xml:space="preserve"> 13936.99/1800.553*100</f>
        <v>774.03942011148786</v>
      </c>
      <c r="F37" s="76"/>
      <c r="G37" s="137"/>
      <c r="H37" s="78">
        <v>150.894470062495</v>
      </c>
      <c r="I37" s="78">
        <v>157.040228102828</v>
      </c>
      <c r="J37" s="166">
        <f t="shared" ref="J37" si="64">(E37/E38)*0.5*J38+(H37/H38)*0.5*J38</f>
        <v>373.60271390118629</v>
      </c>
      <c r="K37" s="80">
        <v>237919.82689999999</v>
      </c>
      <c r="L37" s="82">
        <f t="shared" ref="L37" si="65">K37*B37/1000000</f>
        <v>106.64194863</v>
      </c>
      <c r="M37" s="152"/>
      <c r="N37" s="66"/>
      <c r="O37" s="162"/>
      <c r="P37" s="162"/>
      <c r="Q37" s="162"/>
      <c r="R37" s="162"/>
      <c r="S37" s="162"/>
      <c r="T37" s="162"/>
      <c r="U37" s="162"/>
      <c r="V37" s="162"/>
      <c r="W37" s="162"/>
      <c r="IH37" s="172"/>
      <c r="II37" s="172"/>
      <c r="IJ37" s="172"/>
      <c r="IK37" s="172"/>
      <c r="IL37" s="172"/>
      <c r="IM37" s="172"/>
    </row>
    <row r="38" spans="1:247" s="163" customFormat="1" ht="20.25" customHeight="1" x14ac:dyDescent="0.25">
      <c r="A38" s="75">
        <v>44469</v>
      </c>
      <c r="B38" s="144">
        <v>451.27720330732905</v>
      </c>
      <c r="C38" s="144">
        <f t="shared" ref="C38" si="66">0.997*B38</f>
        <v>449.92337169740705</v>
      </c>
      <c r="D38" s="165">
        <f t="shared" ref="D38" si="67">1.003*B38</f>
        <v>452.63103491725099</v>
      </c>
      <c r="E38" s="78">
        <f>13186.53/1800.553*100</f>
        <v>732.36000273249385</v>
      </c>
      <c r="F38" s="76"/>
      <c r="G38" s="137"/>
      <c r="H38" s="78">
        <v>150.62699404074399</v>
      </c>
      <c r="I38" s="78">
        <v>157.054957732242</v>
      </c>
      <c r="J38" s="166">
        <f t="shared" ref="J38" si="68">(E38/E39)*0.5*J39+(H38/H39)*0.5*J39</f>
        <v>362.9524448927541</v>
      </c>
      <c r="K38" s="80">
        <v>239247.09029999998</v>
      </c>
      <c r="L38" s="82">
        <f t="shared" ref="L38" si="69">K38*B38/1000000</f>
        <v>107.96675781</v>
      </c>
      <c r="M38" s="152"/>
      <c r="N38" s="66"/>
      <c r="O38" s="162"/>
      <c r="P38" s="162"/>
      <c r="Q38" s="162"/>
      <c r="R38" s="162"/>
      <c r="S38" s="162"/>
      <c r="T38" s="162"/>
      <c r="U38" s="162"/>
      <c r="V38" s="162"/>
      <c r="W38" s="162"/>
      <c r="IH38" s="172"/>
      <c r="II38" s="172"/>
      <c r="IJ38" s="172"/>
      <c r="IK38" s="172"/>
      <c r="IL38" s="172"/>
      <c r="IM38" s="172"/>
    </row>
    <row r="39" spans="1:247" s="163" customFormat="1" ht="20.25" customHeight="1" x14ac:dyDescent="0.25">
      <c r="A39" s="75">
        <v>44439</v>
      </c>
      <c r="B39" s="144">
        <v>455.08854654605602</v>
      </c>
      <c r="C39" s="144">
        <f t="shared" ref="C39" si="70">0.997*B39</f>
        <v>453.72328090641787</v>
      </c>
      <c r="D39" s="165">
        <f t="shared" ref="D39" si="71">1.003*B39</f>
        <v>456.45381218569412</v>
      </c>
      <c r="E39" s="78">
        <f>13751.46/1800.553*100</f>
        <v>763.73536352442818</v>
      </c>
      <c r="F39" s="76"/>
      <c r="G39" s="137"/>
      <c r="H39" s="78">
        <v>152.06117020585401</v>
      </c>
      <c r="I39" s="78">
        <v>157.071943452939</v>
      </c>
      <c r="J39" s="166">
        <f t="shared" ref="J39:J77" si="72">(E39/E40)*0.5*J40+(H39/H40)*0.5*J40</f>
        <v>372.35688206717896</v>
      </c>
      <c r="K39" s="80">
        <v>239247.09029999998</v>
      </c>
      <c r="L39" s="82">
        <f t="shared" ref="L39:L59" si="73">K39*B39/1000000</f>
        <v>108.87861059000001</v>
      </c>
      <c r="M39" s="152"/>
      <c r="N39" s="66"/>
      <c r="O39" s="162"/>
      <c r="P39" s="162"/>
      <c r="Q39" s="162"/>
      <c r="R39" s="162"/>
      <c r="S39" s="162"/>
      <c r="T39" s="162"/>
      <c r="U39" s="162"/>
      <c r="V39" s="162"/>
      <c r="W39" s="162"/>
      <c r="IH39" s="172"/>
      <c r="II39" s="172"/>
      <c r="IJ39" s="172"/>
      <c r="IK39" s="172"/>
      <c r="IL39" s="172"/>
      <c r="IM39" s="172"/>
    </row>
    <row r="40" spans="1:247" s="163" customFormat="1" ht="20.25" customHeight="1" x14ac:dyDescent="0.25">
      <c r="A40" s="75">
        <v>44408</v>
      </c>
      <c r="B40" s="144">
        <v>452.56138878943773</v>
      </c>
      <c r="C40" s="144">
        <f t="shared" ref="C40" si="74">0.997*B40</f>
        <v>451.20370462306943</v>
      </c>
      <c r="D40" s="165">
        <f t="shared" ref="D40" si="75">1.003*B40</f>
        <v>453.91907295580597</v>
      </c>
      <c r="E40" s="78">
        <f>13413.45/1800.553*100</f>
        <v>744.96279754053342</v>
      </c>
      <c r="F40" s="76"/>
      <c r="G40" s="137"/>
      <c r="H40" s="78">
        <v>152.47365565127899</v>
      </c>
      <c r="I40" s="78">
        <v>157.08778278838099</v>
      </c>
      <c r="J40" s="166">
        <f t="shared" si="72"/>
        <v>368.215553712359</v>
      </c>
      <c r="K40" s="80">
        <v>239247.09029999998</v>
      </c>
      <c r="L40" s="82">
        <f t="shared" si="73"/>
        <v>108.27399545</v>
      </c>
      <c r="M40" s="152"/>
      <c r="N40" s="66"/>
      <c r="O40" s="162"/>
      <c r="P40" s="162"/>
      <c r="Q40" s="162"/>
      <c r="R40" s="162"/>
      <c r="S40" s="162"/>
      <c r="T40" s="162"/>
      <c r="U40" s="162"/>
      <c r="V40" s="162"/>
      <c r="W40" s="162"/>
      <c r="IH40" s="172"/>
      <c r="II40" s="172"/>
      <c r="IJ40" s="172"/>
      <c r="IK40" s="172"/>
      <c r="IL40" s="172"/>
      <c r="IM40" s="172"/>
    </row>
    <row r="41" spans="1:247" s="163" customFormat="1" ht="20.25" customHeight="1" x14ac:dyDescent="0.25">
      <c r="A41" s="75">
        <v>44377</v>
      </c>
      <c r="B41" s="144">
        <v>462.64814874532249</v>
      </c>
      <c r="C41" s="144">
        <f t="shared" ref="C41" si="76">0.997*B41</f>
        <v>461.26020429908652</v>
      </c>
      <c r="D41" s="165">
        <f t="shared" ref="D41" si="77">1.003*B41</f>
        <v>464.03609319155839</v>
      </c>
      <c r="E41" s="78">
        <f>13174.28/1800.553*100</f>
        <v>731.67965619451354</v>
      </c>
      <c r="F41" s="76"/>
      <c r="G41" s="137"/>
      <c r="H41" s="78">
        <v>152.2088</v>
      </c>
      <c r="I41" s="78">
        <v>157.10413080965299</v>
      </c>
      <c r="J41" s="166">
        <f t="shared" si="72"/>
        <v>364.5889159657562</v>
      </c>
      <c r="K41" s="80">
        <v>239247.09030000001</v>
      </c>
      <c r="L41" s="82">
        <f t="shared" si="73"/>
        <v>110.68722342</v>
      </c>
      <c r="M41" s="152"/>
      <c r="N41" s="66"/>
      <c r="O41" s="162"/>
      <c r="P41" s="162"/>
      <c r="Q41" s="162"/>
      <c r="R41" s="162"/>
      <c r="S41" s="162"/>
      <c r="T41" s="162"/>
      <c r="U41" s="162"/>
      <c r="V41" s="162"/>
      <c r="W41" s="162"/>
      <c r="IH41" s="172"/>
      <c r="II41" s="172"/>
      <c r="IJ41" s="172"/>
      <c r="IK41" s="172"/>
      <c r="IL41" s="172"/>
      <c r="IM41" s="172"/>
    </row>
    <row r="42" spans="1:247" s="163" customFormat="1" ht="20.25" customHeight="1" x14ac:dyDescent="0.25">
      <c r="A42" s="75">
        <v>44347</v>
      </c>
      <c r="B42" s="144">
        <v>479.27262186843348</v>
      </c>
      <c r="C42" s="144">
        <f t="shared" ref="C42" si="78">0.997*B42</f>
        <v>477.83480400282815</v>
      </c>
      <c r="D42" s="165">
        <f t="shared" ref="D42" si="79">1.003*B42</f>
        <v>480.71043973403874</v>
      </c>
      <c r="E42" s="78">
        <f>12976.58/1800.553*100</f>
        <v>720.69969614890533</v>
      </c>
      <c r="F42" s="76"/>
      <c r="G42" s="137"/>
      <c r="H42" s="78">
        <v>154.50729999999999</v>
      </c>
      <c r="I42" s="78">
        <v>157.11797440980899</v>
      </c>
      <c r="J42" s="166">
        <f t="shared" si="72"/>
        <v>364.52351694066351</v>
      </c>
      <c r="K42" s="80">
        <v>239248.49049999999</v>
      </c>
      <c r="L42" s="82">
        <f t="shared" si="73"/>
        <v>114.66525132</v>
      </c>
      <c r="M42" s="152"/>
      <c r="N42" s="66"/>
      <c r="O42" s="162"/>
      <c r="P42" s="162"/>
      <c r="Q42" s="162"/>
      <c r="R42" s="162"/>
      <c r="S42" s="162"/>
      <c r="T42" s="162"/>
      <c r="U42" s="162"/>
      <c r="V42" s="162"/>
      <c r="W42" s="162"/>
      <c r="IH42" s="172"/>
      <c r="II42" s="172"/>
      <c r="IJ42" s="172"/>
      <c r="IK42" s="172"/>
      <c r="IL42" s="172"/>
      <c r="IM42" s="172"/>
    </row>
    <row r="43" spans="1:247" s="163" customFormat="1" ht="20.25" customHeight="1" x14ac:dyDescent="0.25">
      <c r="A43" s="75">
        <v>44316</v>
      </c>
      <c r="B43" s="144">
        <v>460.42165399999999</v>
      </c>
      <c r="C43" s="144">
        <f t="shared" ref="C43" si="80">0.997*B43</f>
        <v>459.040389038</v>
      </c>
      <c r="D43" s="165">
        <f t="shared" ref="D43" si="81">1.003*B43</f>
        <v>461.80291896199992</v>
      </c>
      <c r="E43" s="78">
        <f>12784.97/1800.553*100</f>
        <v>710.05796552503591</v>
      </c>
      <c r="F43" s="76"/>
      <c r="G43" s="137"/>
      <c r="H43" s="78">
        <v>153.285920169901</v>
      </c>
      <c r="I43" s="78">
        <v>157.13396353537101</v>
      </c>
      <c r="J43" s="166">
        <f t="shared" si="72"/>
        <v>360.38715287311925</v>
      </c>
      <c r="K43" s="80">
        <v>239248.66319999998</v>
      </c>
      <c r="L43" s="82">
        <f t="shared" si="73"/>
        <v>110.15526522783293</v>
      </c>
      <c r="M43" s="152"/>
      <c r="N43" s="66"/>
      <c r="O43" s="162"/>
      <c r="P43" s="162"/>
      <c r="Q43" s="162"/>
      <c r="R43" s="162"/>
      <c r="S43" s="162"/>
      <c r="T43" s="162"/>
      <c r="U43" s="162"/>
      <c r="V43" s="162"/>
      <c r="W43" s="162"/>
      <c r="IH43" s="172"/>
      <c r="II43" s="172"/>
      <c r="IJ43" s="172"/>
      <c r="IK43" s="172"/>
      <c r="IL43" s="172"/>
      <c r="IM43" s="172"/>
    </row>
    <row r="44" spans="1:247" s="163" customFormat="1" ht="20.25" customHeight="1" x14ac:dyDescent="0.25">
      <c r="A44" s="75">
        <v>44286</v>
      </c>
      <c r="B44" s="144">
        <v>449.06316638512362</v>
      </c>
      <c r="C44" s="144">
        <f t="shared" ref="C44" si="82">0.997*B44</f>
        <v>447.71597688596825</v>
      </c>
      <c r="D44" s="165">
        <f t="shared" ref="D44" si="83">1.003*B44</f>
        <v>450.41035588427894</v>
      </c>
      <c r="E44" s="78">
        <f>12211.12/1800.553*100</f>
        <v>678.18720137646608</v>
      </c>
      <c r="F44" s="76"/>
      <c r="G44" s="137"/>
      <c r="H44" s="78">
        <v>151.74779011488701</v>
      </c>
      <c r="I44" s="78">
        <v>157.14905475284399</v>
      </c>
      <c r="J44" s="166">
        <f t="shared" si="72"/>
        <v>350.37856352731887</v>
      </c>
      <c r="K44" s="80">
        <v>239248.66319999998</v>
      </c>
      <c r="L44" s="82">
        <f t="shared" si="73"/>
        <v>107.43776225000001</v>
      </c>
      <c r="M44" s="152"/>
      <c r="N44" s="66"/>
      <c r="O44" s="162"/>
      <c r="P44" s="162"/>
      <c r="Q44" s="162"/>
      <c r="R44" s="162"/>
      <c r="S44" s="162"/>
      <c r="T44" s="162"/>
      <c r="U44" s="162"/>
      <c r="V44" s="162"/>
      <c r="W44" s="162"/>
      <c r="IH44" s="172"/>
      <c r="II44" s="172"/>
      <c r="IJ44" s="172"/>
      <c r="IK44" s="172"/>
      <c r="IL44" s="172"/>
      <c r="IM44" s="172"/>
    </row>
    <row r="45" spans="1:247" s="163" customFormat="1" ht="20.25" customHeight="1" x14ac:dyDescent="0.25">
      <c r="A45" s="75">
        <v>44255</v>
      </c>
      <c r="B45" s="144">
        <v>446.82901299999997</v>
      </c>
      <c r="C45" s="144">
        <f t="shared" ref="C45" si="84">0.997*B45</f>
        <v>445.48852596099999</v>
      </c>
      <c r="D45" s="165">
        <f t="shared" ref="D45" si="85">1.003*B45</f>
        <v>448.1695000389999</v>
      </c>
      <c r="E45" s="78">
        <f>11811.31/1800.553*100</f>
        <v>655.98235653157667</v>
      </c>
      <c r="F45" s="76"/>
      <c r="G45" s="137"/>
      <c r="H45" s="78">
        <v>153.81573208891899</v>
      </c>
      <c r="I45" s="78">
        <v>157.16476362932201</v>
      </c>
      <c r="J45" s="166">
        <f t="shared" si="72"/>
        <v>346.839847104022</v>
      </c>
      <c r="K45" s="80">
        <v>239269.38789999997</v>
      </c>
      <c r="L45" s="82">
        <f t="shared" si="73"/>
        <v>106.91250443647112</v>
      </c>
      <c r="M45" s="152"/>
      <c r="N45" s="66"/>
      <c r="O45" s="162"/>
      <c r="P45" s="162"/>
      <c r="Q45" s="162"/>
      <c r="R45" s="162"/>
      <c r="S45" s="162"/>
      <c r="T45" s="162"/>
      <c r="U45" s="162"/>
      <c r="V45" s="162"/>
      <c r="W45" s="162"/>
      <c r="IH45" s="172"/>
      <c r="II45" s="172"/>
      <c r="IJ45" s="172"/>
      <c r="IK45" s="172"/>
      <c r="IL45" s="172"/>
      <c r="IM45" s="172"/>
    </row>
    <row r="46" spans="1:247" s="163" customFormat="1" ht="20.25" customHeight="1" x14ac:dyDescent="0.25">
      <c r="A46" s="75">
        <v>44227</v>
      </c>
      <c r="B46" s="144">
        <v>431.31031904910469</v>
      </c>
      <c r="C46" s="144">
        <f t="shared" ref="C46" si="86">0.997*B46</f>
        <v>430.01638809195737</v>
      </c>
      <c r="D46" s="165">
        <f t="shared" ref="D46" si="87">1.003*B46</f>
        <v>432.60425000625196</v>
      </c>
      <c r="E46" s="78">
        <f>11512.42/1800.553*100</f>
        <v>639.38245638978697</v>
      </c>
      <c r="F46" s="76"/>
      <c r="G46" s="137"/>
      <c r="H46" s="78">
        <v>154.148480303772</v>
      </c>
      <c r="I46" s="78">
        <v>157.17763569395001</v>
      </c>
      <c r="J46" s="166">
        <f t="shared" si="72"/>
        <v>342.7603521328316</v>
      </c>
      <c r="K46" s="80">
        <v>240330.35939999999</v>
      </c>
      <c r="L46" s="82">
        <f t="shared" si="73"/>
        <v>103.65696398999999</v>
      </c>
      <c r="M46" s="152"/>
      <c r="N46" s="66"/>
      <c r="O46" s="162"/>
      <c r="P46" s="162"/>
      <c r="Q46" s="162"/>
      <c r="R46" s="162"/>
      <c r="S46" s="162"/>
      <c r="T46" s="162"/>
      <c r="U46" s="162"/>
      <c r="V46" s="162"/>
      <c r="W46" s="162"/>
      <c r="IH46" s="172"/>
      <c r="II46" s="172"/>
      <c r="IJ46" s="172"/>
      <c r="IK46" s="172"/>
      <c r="IL46" s="172"/>
      <c r="IM46" s="172"/>
    </row>
    <row r="47" spans="1:247" s="163" customFormat="1" ht="20.25" customHeight="1" x14ac:dyDescent="0.25">
      <c r="A47" s="75">
        <v>44196</v>
      </c>
      <c r="B47" s="144">
        <v>428.07274551930789</v>
      </c>
      <c r="C47" s="144">
        <f t="shared" ref="C47" si="88">0.997*B47</f>
        <v>426.78852728274995</v>
      </c>
      <c r="D47" s="165">
        <f t="shared" ref="D47" si="89">1.003*B47</f>
        <v>429.35696375586576</v>
      </c>
      <c r="E47" s="78">
        <f>11625.2/1800.553*100</f>
        <v>645.64608761863713</v>
      </c>
      <c r="F47" s="76"/>
      <c r="G47" s="137"/>
      <c r="H47" s="78">
        <v>154.695632495914</v>
      </c>
      <c r="I47" s="78">
        <v>157.19250091503099</v>
      </c>
      <c r="J47" s="166">
        <f t="shared" si="72"/>
        <v>345.04425144561696</v>
      </c>
      <c r="K47" s="80">
        <v>240330.35939999999</v>
      </c>
      <c r="L47" s="82">
        <f t="shared" si="73"/>
        <v>102.87887678</v>
      </c>
      <c r="M47" s="152"/>
      <c r="N47" s="66"/>
      <c r="O47" s="162"/>
      <c r="P47" s="162"/>
      <c r="Q47" s="162"/>
      <c r="R47" s="162"/>
      <c r="S47" s="162"/>
      <c r="T47" s="162"/>
      <c r="U47" s="162"/>
      <c r="V47" s="162"/>
      <c r="W47" s="162"/>
      <c r="IH47" s="172"/>
      <c r="II47" s="172"/>
      <c r="IJ47" s="172"/>
      <c r="IK47" s="172"/>
      <c r="IL47" s="172"/>
      <c r="IM47" s="172"/>
    </row>
    <row r="48" spans="1:247" s="163" customFormat="1" ht="20.25" customHeight="1" x14ac:dyDescent="0.25">
      <c r="A48" s="75">
        <v>44195</v>
      </c>
      <c r="B48" s="144">
        <v>429.06890900000002</v>
      </c>
      <c r="C48" s="144">
        <f t="shared" ref="C48" si="90">0.997*B48</f>
        <v>427.78170227300001</v>
      </c>
      <c r="D48" s="165">
        <f t="shared" ref="D48" si="91">1.003*B48</f>
        <v>430.35611572699997</v>
      </c>
      <c r="E48" s="78">
        <f>11607.42/1800.553*100</f>
        <v>644.65861321494003</v>
      </c>
      <c r="F48" s="76"/>
      <c r="G48" s="137"/>
      <c r="H48" s="78">
        <v>154.86770000000001</v>
      </c>
      <c r="I48" s="78">
        <v>157.19308034595099</v>
      </c>
      <c r="J48" s="166">
        <f t="shared" si="72"/>
        <v>344.97168362720168</v>
      </c>
      <c r="K48" s="80">
        <v>221741.10269999999</v>
      </c>
      <c r="L48" s="82">
        <f t="shared" si="73"/>
        <v>95.142213015945956</v>
      </c>
      <c r="M48" s="152"/>
      <c r="N48" s="66"/>
      <c r="O48" s="162"/>
      <c r="P48" s="162"/>
      <c r="Q48" s="162"/>
      <c r="R48" s="162"/>
      <c r="S48" s="162"/>
      <c r="T48" s="162"/>
      <c r="U48" s="162"/>
      <c r="V48" s="162"/>
      <c r="W48" s="162"/>
      <c r="IH48" s="172"/>
      <c r="II48" s="172"/>
      <c r="IJ48" s="172"/>
      <c r="IK48" s="172"/>
      <c r="IL48" s="172"/>
      <c r="IM48" s="172"/>
    </row>
    <row r="49" spans="1:247" s="163" customFormat="1" ht="20.25" customHeight="1" x14ac:dyDescent="0.25">
      <c r="A49" s="75">
        <v>44188</v>
      </c>
      <c r="B49" s="144">
        <v>423.62739466374222</v>
      </c>
      <c r="C49" s="144">
        <f t="shared" ref="C49" si="92">0.997*B49</f>
        <v>422.35651247975102</v>
      </c>
      <c r="D49" s="165">
        <f t="shared" ref="D49" si="93">1.003*B49</f>
        <v>424.89827684773343</v>
      </c>
      <c r="E49" s="78">
        <f>11454.05/1800.553*100</f>
        <v>636.140674559427</v>
      </c>
      <c r="F49" s="76"/>
      <c r="G49" s="137"/>
      <c r="H49" s="78">
        <v>154.17006029635701</v>
      </c>
      <c r="I49" s="78">
        <v>157.19722261550999</v>
      </c>
      <c r="J49" s="166">
        <f t="shared" si="72"/>
        <v>341.90900727933899</v>
      </c>
      <c r="K49" s="80">
        <v>221246.86679999999</v>
      </c>
      <c r="L49" s="82">
        <f t="shared" si="73"/>
        <v>93.72623376</v>
      </c>
      <c r="M49" s="152"/>
      <c r="N49" s="66"/>
      <c r="O49" s="162"/>
      <c r="P49" s="162"/>
      <c r="Q49" s="162"/>
      <c r="R49" s="162"/>
      <c r="S49" s="162"/>
      <c r="T49" s="162"/>
      <c r="U49" s="162"/>
      <c r="V49" s="162"/>
      <c r="W49" s="162"/>
      <c r="IH49" s="172"/>
      <c r="II49" s="172"/>
      <c r="IJ49" s="172"/>
      <c r="IK49" s="172"/>
      <c r="IL49" s="172"/>
      <c r="IM49" s="172"/>
    </row>
    <row r="50" spans="1:247" s="163" customFormat="1" ht="20.25" customHeight="1" x14ac:dyDescent="0.25">
      <c r="A50" s="75">
        <v>44181</v>
      </c>
      <c r="B50" s="144">
        <v>423.51962780163956</v>
      </c>
      <c r="C50" s="144">
        <f t="shared" ref="C50" si="94">0.997*B50</f>
        <v>422.24906891823463</v>
      </c>
      <c r="D50" s="165">
        <f t="shared" ref="D50" si="95">1.003*B50</f>
        <v>424.79018668504443</v>
      </c>
      <c r="E50" s="78">
        <f>11465.8/1800.553*100</f>
        <v>636.793251850959</v>
      </c>
      <c r="F50" s="76"/>
      <c r="G50" s="137"/>
      <c r="H50" s="78">
        <v>154.309040489669</v>
      </c>
      <c r="I50" s="78">
        <v>157.201122144393</v>
      </c>
      <c r="J50" s="166">
        <f t="shared" si="72"/>
        <v>342.23848850937122</v>
      </c>
      <c r="K50" s="80">
        <v>221783.4595</v>
      </c>
      <c r="L50" s="82">
        <f t="shared" si="73"/>
        <v>93.929648220000004</v>
      </c>
      <c r="M50" s="152"/>
      <c r="N50" s="66"/>
      <c r="O50" s="162"/>
      <c r="P50" s="162"/>
      <c r="Q50" s="162"/>
      <c r="R50" s="162"/>
      <c r="S50" s="162"/>
      <c r="T50" s="162"/>
      <c r="U50" s="162"/>
      <c r="V50" s="162"/>
      <c r="W50" s="162"/>
      <c r="IH50" s="171"/>
      <c r="II50" s="171"/>
      <c r="IJ50" s="171"/>
      <c r="IK50" s="171"/>
      <c r="IL50" s="171"/>
      <c r="IM50" s="171"/>
    </row>
    <row r="51" spans="1:247" s="163" customFormat="1" ht="20.25" customHeight="1" x14ac:dyDescent="0.25">
      <c r="A51" s="75">
        <v>44174</v>
      </c>
      <c r="B51" s="144">
        <v>417.09060235389904</v>
      </c>
      <c r="C51" s="144">
        <f t="shared" ref="C51" si="96">0.997*B51</f>
        <v>415.83933054683735</v>
      </c>
      <c r="D51" s="165">
        <f t="shared" ref="D51" si="97">1.003*B51</f>
        <v>418.34187416096069</v>
      </c>
      <c r="E51" s="78">
        <f>11345.62/1800.553*100</f>
        <v>630.11863577467591</v>
      </c>
      <c r="F51" s="76"/>
      <c r="G51" s="137"/>
      <c r="H51" s="78">
        <v>153.54074558905401</v>
      </c>
      <c r="I51" s="78">
        <v>157.205025463342</v>
      </c>
      <c r="J51" s="166">
        <f t="shared" si="72"/>
        <v>339.59028127248257</v>
      </c>
      <c r="K51" s="80">
        <v>209831.51300000001</v>
      </c>
      <c r="L51" s="82">
        <f t="shared" si="73"/>
        <v>87.518752150000012</v>
      </c>
      <c r="M51" s="152"/>
      <c r="N51" s="66"/>
      <c r="O51" s="162"/>
      <c r="P51" s="162"/>
      <c r="Q51" s="162"/>
      <c r="R51" s="162"/>
      <c r="S51" s="162"/>
      <c r="T51" s="162"/>
      <c r="U51" s="162"/>
      <c r="V51" s="162"/>
      <c r="W51" s="162"/>
      <c r="IH51" s="171"/>
      <c r="II51" s="171"/>
      <c r="IJ51" s="171"/>
      <c r="IK51" s="171"/>
      <c r="IL51" s="171"/>
      <c r="IM51" s="171"/>
    </row>
    <row r="52" spans="1:247" s="163" customFormat="1" ht="20.25" customHeight="1" x14ac:dyDescent="0.25">
      <c r="A52" s="75">
        <v>44167</v>
      </c>
      <c r="B52" s="144">
        <v>416.19518199999999</v>
      </c>
      <c r="C52" s="144">
        <f t="shared" ref="C52" si="98">0.997*B52</f>
        <v>414.94659645399997</v>
      </c>
      <c r="D52" s="165">
        <f t="shared" ref="D52" si="99">1.003*B52</f>
        <v>417.44376754599995</v>
      </c>
      <c r="E52" s="78">
        <f>11283.69/1800.553*100</f>
        <v>626.67913690960506</v>
      </c>
      <c r="F52" s="76"/>
      <c r="G52" s="137"/>
      <c r="H52" s="78">
        <v>153.4752</v>
      </c>
      <c r="I52" s="78">
        <v>157.20897093904</v>
      </c>
      <c r="J52" s="166">
        <f t="shared" si="72"/>
        <v>338.58881531189991</v>
      </c>
      <c r="K52" s="80">
        <v>197853.85279999999</v>
      </c>
      <c r="L52" s="82">
        <f t="shared" si="73"/>
        <v>82.345820275497204</v>
      </c>
      <c r="M52" s="152"/>
      <c r="N52" s="66"/>
      <c r="O52" s="162"/>
      <c r="P52" s="162"/>
      <c r="Q52" s="162"/>
      <c r="R52" s="162"/>
      <c r="S52" s="162"/>
      <c r="T52" s="162"/>
      <c r="U52" s="162"/>
      <c r="V52" s="162"/>
      <c r="W52" s="162"/>
      <c r="IH52" s="171"/>
      <c r="II52" s="171"/>
      <c r="IJ52" s="171"/>
      <c r="IK52" s="171"/>
      <c r="IL52" s="171"/>
      <c r="IM52" s="171"/>
    </row>
    <row r="53" spans="1:247" s="163" customFormat="1" ht="20.25" customHeight="1" x14ac:dyDescent="0.25">
      <c r="A53" s="75">
        <v>44160</v>
      </c>
      <c r="B53" s="144">
        <v>409.64998658783958</v>
      </c>
      <c r="C53" s="144">
        <f t="shared" ref="C53:C59" si="100">0.997*B53</f>
        <v>408.42103662807608</v>
      </c>
      <c r="D53" s="165">
        <f t="shared" ref="D53" si="101">1.003*B53</f>
        <v>410.87893654760308</v>
      </c>
      <c r="E53" s="78">
        <f>11174.1/1800.553*100</f>
        <v>620.59267347309412</v>
      </c>
      <c r="F53" s="76"/>
      <c r="G53" s="137"/>
      <c r="H53" s="78">
        <v>152.78788402647999</v>
      </c>
      <c r="I53" s="78">
        <v>157.21268764349099</v>
      </c>
      <c r="J53" s="166">
        <f t="shared" si="72"/>
        <v>336.18409065220584</v>
      </c>
      <c r="K53" s="80">
        <v>195420.04569999999</v>
      </c>
      <c r="L53" s="82">
        <f t="shared" si="73"/>
        <v>80.053819099999998</v>
      </c>
      <c r="M53" s="152"/>
      <c r="N53" s="66"/>
      <c r="O53" s="162"/>
      <c r="P53" s="162"/>
      <c r="Q53" s="162"/>
      <c r="R53" s="162"/>
      <c r="S53" s="162"/>
      <c r="T53" s="162"/>
      <c r="U53" s="162"/>
      <c r="V53" s="162"/>
      <c r="W53" s="162"/>
      <c r="IH53" s="171"/>
      <c r="II53" s="171"/>
      <c r="IJ53" s="171"/>
      <c r="IK53" s="171"/>
      <c r="IL53" s="171"/>
      <c r="IM53" s="171"/>
    </row>
    <row r="54" spans="1:247" s="163" customFormat="1" ht="20.25" customHeight="1" x14ac:dyDescent="0.25">
      <c r="A54" s="75">
        <v>44153</v>
      </c>
      <c r="B54" s="144">
        <v>405.79560313755474</v>
      </c>
      <c r="C54" s="144">
        <f t="shared" si="100"/>
        <v>404.57821632814205</v>
      </c>
      <c r="D54" s="165">
        <f t="shared" ref="D54:D59" si="102">1.003*B54</f>
        <v>407.01298994696737</v>
      </c>
      <c r="E54" s="78">
        <f>10971.77/1800.553*100</f>
        <v>609.35557020537578</v>
      </c>
      <c r="F54" s="76"/>
      <c r="G54" s="137"/>
      <c r="H54" s="78">
        <v>152.49038800128</v>
      </c>
      <c r="I54" s="78">
        <v>157.21636381434399</v>
      </c>
      <c r="J54" s="166">
        <f t="shared" si="72"/>
        <v>332.79097398986971</v>
      </c>
      <c r="K54" s="80">
        <v>195420.04569999999</v>
      </c>
      <c r="L54" s="82">
        <f t="shared" si="73"/>
        <v>79.300595310000006</v>
      </c>
      <c r="M54" s="152"/>
      <c r="N54" s="66"/>
      <c r="O54" s="162"/>
      <c r="P54" s="162"/>
      <c r="Q54" s="162"/>
      <c r="R54" s="162"/>
      <c r="S54" s="162"/>
      <c r="T54" s="162"/>
      <c r="U54" s="162"/>
      <c r="V54" s="162"/>
      <c r="W54" s="162"/>
      <c r="IH54" s="171"/>
      <c r="II54" s="171"/>
      <c r="IJ54" s="171"/>
      <c r="IK54" s="171"/>
      <c r="IL54" s="171"/>
      <c r="IM54" s="171"/>
    </row>
    <row r="55" spans="1:247" s="163" customFormat="1" ht="20.25" customHeight="1" x14ac:dyDescent="0.25">
      <c r="A55" s="75">
        <v>44146</v>
      </c>
      <c r="B55" s="144">
        <v>398.91859993562576</v>
      </c>
      <c r="C55" s="144">
        <f t="shared" si="100"/>
        <v>397.72184413581891</v>
      </c>
      <c r="D55" s="165">
        <f t="shared" si="102"/>
        <v>400.11535573543262</v>
      </c>
      <c r="E55" s="78">
        <f>10900.6/1800.553*100</f>
        <v>605.40289566594265</v>
      </c>
      <c r="F55" s="76"/>
      <c r="G55" s="137"/>
      <c r="H55" s="78">
        <v>151.86603544980599</v>
      </c>
      <c r="I55" s="78">
        <v>157.21995920221099</v>
      </c>
      <c r="J55" s="166">
        <f t="shared" si="72"/>
        <v>331.02986130095746</v>
      </c>
      <c r="K55" s="80">
        <v>195420.04569999999</v>
      </c>
      <c r="L55" s="82">
        <f t="shared" si="73"/>
        <v>77.956691030000002</v>
      </c>
      <c r="M55" s="152"/>
      <c r="N55" s="66"/>
      <c r="O55" s="162"/>
      <c r="P55" s="162"/>
      <c r="Q55" s="162"/>
      <c r="R55" s="162"/>
      <c r="S55" s="162"/>
      <c r="T55" s="162"/>
      <c r="U55" s="162"/>
      <c r="V55" s="162"/>
      <c r="W55" s="162"/>
      <c r="IH55" s="171"/>
      <c r="II55" s="171"/>
      <c r="IJ55" s="171"/>
      <c r="IK55" s="171"/>
      <c r="IL55" s="171"/>
      <c r="IM55" s="171"/>
    </row>
    <row r="56" spans="1:247" s="163" customFormat="1" ht="20.25" customHeight="1" x14ac:dyDescent="0.25">
      <c r="A56" s="75">
        <v>44139</v>
      </c>
      <c r="B56" s="144">
        <v>399.09011105097699</v>
      </c>
      <c r="C56" s="144">
        <f t="shared" si="100"/>
        <v>397.89284071782407</v>
      </c>
      <c r="D56" s="165">
        <f t="shared" si="102"/>
        <v>400.2873813841299</v>
      </c>
      <c r="E56" s="78">
        <f>10414.49/1800.553*100</f>
        <v>578.40507888409832</v>
      </c>
      <c r="F56" s="76"/>
      <c r="G56" s="137"/>
      <c r="H56" s="78">
        <v>151.470643917405</v>
      </c>
      <c r="I56" s="78">
        <v>157.22360472655001</v>
      </c>
      <c r="J56" s="166">
        <f t="shared" si="72"/>
        <v>323.06837989397098</v>
      </c>
      <c r="K56" s="80">
        <v>195420.04569999999</v>
      </c>
      <c r="L56" s="82">
        <f t="shared" si="73"/>
        <v>77.990207739999988</v>
      </c>
      <c r="M56" s="152"/>
      <c r="N56" s="66"/>
      <c r="O56" s="162"/>
      <c r="P56" s="162"/>
      <c r="Q56" s="162"/>
      <c r="R56" s="162"/>
      <c r="S56" s="162"/>
      <c r="T56" s="162"/>
      <c r="U56" s="162"/>
      <c r="V56" s="162"/>
      <c r="W56" s="162"/>
      <c r="IH56" s="171"/>
      <c r="II56" s="171"/>
      <c r="IJ56" s="171"/>
      <c r="IK56" s="171"/>
      <c r="IL56" s="171"/>
      <c r="IM56" s="171"/>
    </row>
    <row r="57" spans="1:247" s="163" customFormat="1" ht="20.25" customHeight="1" x14ac:dyDescent="0.25">
      <c r="A57" s="75">
        <v>44132</v>
      </c>
      <c r="B57" s="144">
        <v>390.31132971431907</v>
      </c>
      <c r="C57" s="144">
        <f t="shared" si="100"/>
        <v>389.14039572517612</v>
      </c>
      <c r="D57" s="165">
        <f t="shared" si="102"/>
        <v>391.48226370346197</v>
      </c>
      <c r="E57" s="78">
        <f>9938.2/1800.553*100</f>
        <v>551.95265010249625</v>
      </c>
      <c r="F57" s="76"/>
      <c r="G57" s="137"/>
      <c r="H57" s="78">
        <v>151.34938680599601</v>
      </c>
      <c r="I57" s="78">
        <v>157.22735943219899</v>
      </c>
      <c r="J57" s="166">
        <f t="shared" si="72"/>
        <v>315.38460929905125</v>
      </c>
      <c r="K57" s="80">
        <v>195420.04569999999</v>
      </c>
      <c r="L57" s="82">
        <f t="shared" si="73"/>
        <v>76.27465789</v>
      </c>
      <c r="M57" s="152"/>
      <c r="N57" s="66"/>
      <c r="O57" s="162"/>
      <c r="P57" s="162"/>
      <c r="Q57" s="162"/>
      <c r="R57" s="162"/>
      <c r="S57" s="162"/>
      <c r="T57" s="162"/>
      <c r="U57" s="162"/>
      <c r="V57" s="162"/>
      <c r="W57" s="162"/>
      <c r="IH57" s="171"/>
      <c r="II57" s="171"/>
      <c r="IJ57" s="171"/>
      <c r="IK57" s="171"/>
      <c r="IL57" s="171"/>
      <c r="IM57" s="171"/>
    </row>
    <row r="58" spans="1:247" s="163" customFormat="1" ht="20.25" customHeight="1" x14ac:dyDescent="0.25">
      <c r="A58" s="75">
        <v>44125</v>
      </c>
      <c r="B58" s="144">
        <v>399.24732394021754</v>
      </c>
      <c r="C58" s="144">
        <f t="shared" si="100"/>
        <v>398.04958196839686</v>
      </c>
      <c r="D58" s="165">
        <f t="shared" si="102"/>
        <v>400.44506591203816</v>
      </c>
      <c r="E58" s="78">
        <f>10415.75/1800.553*100</f>
        <v>578.47505738514769</v>
      </c>
      <c r="F58" s="76"/>
      <c r="G58" s="137"/>
      <c r="H58" s="78">
        <v>152.05250000000001</v>
      </c>
      <c r="I58" s="78">
        <v>157.2311</v>
      </c>
      <c r="J58" s="166">
        <f t="shared" si="72"/>
        <v>323.54987279038039</v>
      </c>
      <c r="K58" s="80">
        <v>195420.04569999999</v>
      </c>
      <c r="L58" s="82">
        <f t="shared" si="73"/>
        <v>78.02093029000001</v>
      </c>
      <c r="M58" s="152"/>
      <c r="N58" s="66"/>
      <c r="O58" s="162"/>
      <c r="P58" s="162"/>
      <c r="Q58" s="162"/>
      <c r="R58" s="162"/>
      <c r="S58" s="162"/>
      <c r="T58" s="162"/>
      <c r="U58" s="162"/>
      <c r="V58" s="162"/>
      <c r="W58" s="162"/>
      <c r="IH58" s="171"/>
      <c r="II58" s="171"/>
      <c r="IJ58" s="171"/>
      <c r="IK58" s="171"/>
      <c r="IL58" s="171"/>
      <c r="IM58" s="171"/>
    </row>
    <row r="59" spans="1:247" s="163" customFormat="1" ht="20.25" customHeight="1" x14ac:dyDescent="0.25">
      <c r="A59" s="75">
        <v>44118</v>
      </c>
      <c r="B59" s="144">
        <v>393.14120076474842</v>
      </c>
      <c r="C59" s="144">
        <f t="shared" si="100"/>
        <v>391.96177716245415</v>
      </c>
      <c r="D59" s="165">
        <f t="shared" si="102"/>
        <v>394.32062436704263</v>
      </c>
      <c r="E59" s="78">
        <f>10569.11/1800.553*100</f>
        <v>586.99244065573191</v>
      </c>
      <c r="F59" s="76"/>
      <c r="G59" s="137"/>
      <c r="H59" s="78">
        <v>151.436964193401</v>
      </c>
      <c r="I59" s="78">
        <v>157.23464753122801</v>
      </c>
      <c r="J59" s="166">
        <f t="shared" si="72"/>
        <v>325.24857709840649</v>
      </c>
      <c r="K59" s="80">
        <v>195420.04569999999</v>
      </c>
      <c r="L59" s="82">
        <f t="shared" si="73"/>
        <v>76.827671420000001</v>
      </c>
      <c r="M59" s="152"/>
      <c r="N59" s="66"/>
      <c r="O59" s="162"/>
      <c r="P59" s="162"/>
      <c r="Q59" s="162"/>
      <c r="R59" s="162"/>
      <c r="S59" s="162"/>
      <c r="T59" s="162"/>
      <c r="U59" s="162"/>
      <c r="V59" s="162"/>
      <c r="W59" s="162"/>
      <c r="IH59" s="171"/>
      <c r="II59" s="171"/>
      <c r="IJ59" s="171"/>
      <c r="IK59" s="171"/>
      <c r="IL59" s="171"/>
      <c r="IM59" s="171"/>
    </row>
    <row r="60" spans="1:247" s="163" customFormat="1" ht="20.25" customHeight="1" x14ac:dyDescent="0.25">
      <c r="A60" s="75">
        <v>44111</v>
      </c>
      <c r="B60" s="144">
        <v>385.26309600000002</v>
      </c>
      <c r="C60" s="144">
        <f t="shared" ref="C60" si="103">0.997*B60</f>
        <v>384.10730671200002</v>
      </c>
      <c r="D60" s="165">
        <f t="shared" ref="D60" si="104">1.003*B60</f>
        <v>386.41888528799996</v>
      </c>
      <c r="E60" s="78">
        <f>10375.51/1800.553*100</f>
        <v>576.24018843099861</v>
      </c>
      <c r="F60" s="76"/>
      <c r="G60" s="137"/>
      <c r="H60" s="78">
        <v>151.15970276750599</v>
      </c>
      <c r="I60" s="78">
        <v>157.23794524603599</v>
      </c>
      <c r="J60" s="166">
        <f t="shared" si="72"/>
        <v>321.94963131485565</v>
      </c>
      <c r="K60" s="80">
        <v>196920.04569999999</v>
      </c>
      <c r="L60" s="82">
        <f t="shared" ref="L60:L118" si="105">K60*B60/1000000</f>
        <v>75.86602647084348</v>
      </c>
      <c r="M60" s="152"/>
      <c r="N60" s="66"/>
      <c r="O60" s="162"/>
      <c r="P60" s="162"/>
      <c r="Q60" s="162"/>
      <c r="R60" s="162"/>
      <c r="S60" s="162"/>
      <c r="T60" s="162"/>
      <c r="U60" s="162"/>
      <c r="V60" s="162"/>
      <c r="W60" s="162"/>
      <c r="IH60" s="171"/>
      <c r="II60" s="171"/>
      <c r="IJ60" s="171"/>
      <c r="IK60" s="171"/>
      <c r="IL60" s="171"/>
      <c r="IM60" s="171"/>
    </row>
    <row r="61" spans="1:247" s="163" customFormat="1" ht="20.25" customHeight="1" x14ac:dyDescent="0.25">
      <c r="A61" s="75">
        <v>44104</v>
      </c>
      <c r="B61" s="144">
        <v>381.34608658486451</v>
      </c>
      <c r="C61" s="144">
        <f t="shared" ref="C61" si="106">0.997*B61</f>
        <v>380.2020483251099</v>
      </c>
      <c r="D61" s="165">
        <f t="shared" ref="D61" si="107">1.003*B61</f>
        <v>382.49012484461906</v>
      </c>
      <c r="E61" s="78">
        <f>10191.08/1800.553*100</f>
        <v>565.99722418612498</v>
      </c>
      <c r="F61" s="76"/>
      <c r="G61" s="137"/>
      <c r="H61" s="78">
        <v>151.02795340682999</v>
      </c>
      <c r="I61" s="78">
        <v>157.240956091556</v>
      </c>
      <c r="J61" s="166">
        <f t="shared" si="72"/>
        <v>318.9247023417098</v>
      </c>
      <c r="K61" s="80">
        <v>197347.76869999999</v>
      </c>
      <c r="L61" s="82">
        <f t="shared" si="105"/>
        <v>75.257799290000008</v>
      </c>
      <c r="M61" s="152"/>
      <c r="N61" s="66"/>
      <c r="O61" s="162"/>
      <c r="P61" s="162"/>
      <c r="Q61" s="162"/>
      <c r="R61" s="162"/>
      <c r="S61" s="162"/>
      <c r="T61" s="162"/>
      <c r="U61" s="162"/>
      <c r="V61" s="162"/>
      <c r="W61" s="162"/>
      <c r="IH61" s="171"/>
      <c r="II61" s="171"/>
      <c r="IJ61" s="171"/>
      <c r="IK61" s="171"/>
      <c r="IL61" s="171"/>
      <c r="IM61" s="171"/>
    </row>
    <row r="62" spans="1:247" s="163" customFormat="1" ht="20.25" customHeight="1" x14ac:dyDescent="0.25">
      <c r="A62" s="75">
        <v>44098</v>
      </c>
      <c r="B62" s="144">
        <v>377.31132572115803</v>
      </c>
      <c r="C62" s="144">
        <f t="shared" ref="C62" si="108">0.997*B62</f>
        <v>376.17939174399453</v>
      </c>
      <c r="D62" s="165">
        <f t="shared" ref="D62" si="109">1.003*B62</f>
        <v>378.44325969832147</v>
      </c>
      <c r="E62" s="78">
        <f>9893.73/1800.553*100</f>
        <v>549.4828533233956</v>
      </c>
      <c r="F62" s="76"/>
      <c r="G62" s="137"/>
      <c r="H62" s="78">
        <v>150.47909932909201</v>
      </c>
      <c r="I62" s="78">
        <v>157.24392064350201</v>
      </c>
      <c r="J62" s="166">
        <f t="shared" si="72"/>
        <v>313.63959825228869</v>
      </c>
      <c r="K62" s="80">
        <v>197587.4877</v>
      </c>
      <c r="L62" s="82">
        <f t="shared" si="105"/>
        <v>74.551996930000001</v>
      </c>
      <c r="M62" s="152"/>
      <c r="N62" s="66"/>
      <c r="O62" s="162"/>
      <c r="P62" s="162"/>
      <c r="Q62" s="162"/>
      <c r="R62" s="162"/>
      <c r="S62" s="162"/>
      <c r="T62" s="162"/>
      <c r="U62" s="162"/>
      <c r="V62" s="162"/>
      <c r="W62" s="162"/>
      <c r="IH62" s="171"/>
      <c r="II62" s="171"/>
      <c r="IJ62" s="171"/>
      <c r="IK62" s="171"/>
      <c r="IL62" s="171"/>
      <c r="IM62" s="171"/>
    </row>
    <row r="63" spans="1:247" s="163" customFormat="1" ht="20.25" customHeight="1" x14ac:dyDescent="0.25">
      <c r="A63" s="75">
        <v>44090</v>
      </c>
      <c r="B63" s="144">
        <v>394.887834</v>
      </c>
      <c r="C63" s="144">
        <f t="shared" ref="C63" si="110">0.997*B63</f>
        <v>393.70317049800002</v>
      </c>
      <c r="D63" s="165">
        <f t="shared" ref="D63" si="111">1.003*B63</f>
        <v>396.07249750199998</v>
      </c>
      <c r="E63" s="78">
        <f>10335.71/1800.553*100</f>
        <v>574.02975641372393</v>
      </c>
      <c r="F63" s="76"/>
      <c r="G63" s="137"/>
      <c r="H63" s="78">
        <v>151.688874229379</v>
      </c>
      <c r="I63" s="78">
        <v>157.246809616353</v>
      </c>
      <c r="J63" s="166">
        <f t="shared" si="72"/>
        <v>321.80339523591238</v>
      </c>
      <c r="K63" s="80">
        <v>197689.4877</v>
      </c>
      <c r="L63" s="82">
        <f t="shared" si="105"/>
        <v>78.065173602422647</v>
      </c>
      <c r="M63" s="152"/>
      <c r="N63" s="66"/>
      <c r="O63" s="162"/>
      <c r="P63" s="162"/>
      <c r="Q63" s="162"/>
      <c r="R63" s="162"/>
      <c r="S63" s="162"/>
      <c r="T63" s="162"/>
      <c r="U63" s="162"/>
      <c r="V63" s="162"/>
      <c r="W63" s="162"/>
      <c r="IH63" s="171"/>
      <c r="II63" s="171"/>
      <c r="IJ63" s="171"/>
      <c r="IK63" s="171"/>
      <c r="IL63" s="171"/>
      <c r="IM63" s="171"/>
    </row>
    <row r="64" spans="1:247" s="163" customFormat="1" ht="20.25" customHeight="1" x14ac:dyDescent="0.25">
      <c r="A64" s="75">
        <v>44083</v>
      </c>
      <c r="B64" s="144">
        <v>391.09779482725628</v>
      </c>
      <c r="C64" s="144">
        <f t="shared" ref="C64" si="112">0.997*B64</f>
        <v>389.9245014427745</v>
      </c>
      <c r="D64" s="165">
        <f t="shared" ref="D64" si="113">1.003*B64</f>
        <v>392.271088211738</v>
      </c>
      <c r="E64" s="78">
        <f>10290.39/1800.553*100</f>
        <v>571.5127519156614</v>
      </c>
      <c r="F64" s="76"/>
      <c r="G64" s="137"/>
      <c r="H64" s="78">
        <v>151.40329888471001</v>
      </c>
      <c r="I64" s="78">
        <v>157.24953844298699</v>
      </c>
      <c r="J64" s="166">
        <f t="shared" si="72"/>
        <v>320.79444876973434</v>
      </c>
      <c r="K64" s="80">
        <v>197689.4877</v>
      </c>
      <c r="L64" s="82">
        <f t="shared" si="105"/>
        <v>77.315922700000002</v>
      </c>
      <c r="M64" s="152"/>
      <c r="N64" s="66"/>
      <c r="O64" s="162"/>
      <c r="P64" s="162"/>
      <c r="Q64" s="162"/>
      <c r="R64" s="162"/>
      <c r="S64" s="162"/>
      <c r="T64" s="162"/>
      <c r="U64" s="162"/>
      <c r="V64" s="162"/>
      <c r="W64" s="162"/>
      <c r="IH64" s="171"/>
      <c r="II64" s="171"/>
      <c r="IJ64" s="171"/>
      <c r="IK64" s="171"/>
      <c r="IL64" s="171"/>
      <c r="IM64" s="171"/>
    </row>
    <row r="65" spans="1:247" s="163" customFormat="1" ht="20.25" customHeight="1" x14ac:dyDescent="0.25">
      <c r="A65" s="75">
        <v>44076</v>
      </c>
      <c r="B65" s="144">
        <v>395.54630531828724</v>
      </c>
      <c r="C65" s="144">
        <f t="shared" ref="C65" si="114">0.997*B65</f>
        <v>394.35966640233238</v>
      </c>
      <c r="D65" s="165">
        <f t="shared" ref="D65" si="115">1.003*B65</f>
        <v>396.73294423424204</v>
      </c>
      <c r="E65" s="78">
        <f>10718.07/1800.553*100</f>
        <v>595.26545455757196</v>
      </c>
      <c r="F65" s="76"/>
      <c r="G65" s="137"/>
      <c r="H65" s="78">
        <v>152.049762622641</v>
      </c>
      <c r="I65" s="78">
        <v>157.25191591100901</v>
      </c>
      <c r="J65" s="166">
        <f t="shared" si="72"/>
        <v>328.03657209418486</v>
      </c>
      <c r="K65" s="80">
        <v>197689.4877</v>
      </c>
      <c r="L65" s="82">
        <f t="shared" si="105"/>
        <v>78.195346459999996</v>
      </c>
      <c r="M65" s="152"/>
      <c r="N65" s="66"/>
      <c r="O65" s="162"/>
      <c r="P65" s="162"/>
      <c r="Q65" s="162"/>
      <c r="R65" s="162"/>
      <c r="S65" s="162"/>
      <c r="T65" s="162"/>
      <c r="U65" s="162"/>
      <c r="V65" s="162"/>
      <c r="W65" s="162"/>
      <c r="IH65" s="171"/>
      <c r="II65" s="171"/>
      <c r="IJ65" s="171"/>
      <c r="IK65" s="171"/>
      <c r="IL65" s="171"/>
      <c r="IM65" s="171"/>
    </row>
    <row r="66" spans="1:247" s="163" customFormat="1" ht="20.25" customHeight="1" x14ac:dyDescent="0.25">
      <c r="A66" s="75">
        <v>44069</v>
      </c>
      <c r="B66" s="144">
        <v>395.43686743035653</v>
      </c>
      <c r="C66" s="144">
        <f t="shared" ref="C66" si="116">0.997*B66</f>
        <v>394.25055682806544</v>
      </c>
      <c r="D66" s="165">
        <f t="shared" ref="D66" si="117">1.003*B66</f>
        <v>396.62317803264756</v>
      </c>
      <c r="E66" s="78">
        <f>10266.42/1800.553*100</f>
        <v>570.18149424093588</v>
      </c>
      <c r="F66" s="76"/>
      <c r="G66" s="137"/>
      <c r="H66" s="78">
        <v>151.759054722728</v>
      </c>
      <c r="I66" s="78">
        <v>157.25454497004199</v>
      </c>
      <c r="J66" s="166">
        <f t="shared" si="72"/>
        <v>320.67569738353029</v>
      </c>
      <c r="K66" s="80">
        <v>197689.4877</v>
      </c>
      <c r="L66" s="82">
        <f t="shared" si="105"/>
        <v>78.173711740000002</v>
      </c>
      <c r="M66" s="152"/>
      <c r="N66" s="66"/>
      <c r="O66" s="162"/>
      <c r="P66" s="162"/>
      <c r="Q66" s="162"/>
      <c r="R66" s="162"/>
      <c r="S66" s="162"/>
      <c r="T66" s="162"/>
      <c r="U66" s="162"/>
      <c r="V66" s="162"/>
      <c r="W66" s="162"/>
      <c r="IH66" s="171"/>
      <c r="II66" s="171"/>
      <c r="IJ66" s="171"/>
      <c r="IK66" s="171"/>
      <c r="IL66" s="171"/>
      <c r="IM66" s="171"/>
    </row>
    <row r="67" spans="1:247" s="163" customFormat="1" ht="20.25" customHeight="1" x14ac:dyDescent="0.25">
      <c r="A67" s="75">
        <v>44062</v>
      </c>
      <c r="B67" s="144">
        <v>394.73792801132271</v>
      </c>
      <c r="C67" s="144">
        <f t="shared" ref="C67" si="118">0.997*B67</f>
        <v>393.55371422728876</v>
      </c>
      <c r="D67" s="165">
        <f t="shared" ref="D67" si="119">1.003*B67</f>
        <v>395.92214179535665</v>
      </c>
      <c r="E67" s="78">
        <f>10282.31/1800.553*100</f>
        <v>571.06400089305896</v>
      </c>
      <c r="F67" s="76"/>
      <c r="G67" s="137"/>
      <c r="H67" s="78">
        <v>151.47183175250601</v>
      </c>
      <c r="I67" s="78">
        <v>157.25712240996901</v>
      </c>
      <c r="J67" s="166">
        <f t="shared" si="72"/>
        <v>320.61945413224578</v>
      </c>
      <c r="K67" s="80">
        <v>198067.92309999999</v>
      </c>
      <c r="L67" s="82">
        <f t="shared" si="105"/>
        <v>78.184921569999986</v>
      </c>
      <c r="M67" s="152"/>
      <c r="N67" s="66"/>
      <c r="O67" s="162"/>
      <c r="P67" s="162"/>
      <c r="Q67" s="162"/>
      <c r="R67" s="162"/>
      <c r="S67" s="162"/>
      <c r="T67" s="162"/>
      <c r="U67" s="162"/>
      <c r="V67" s="162"/>
      <c r="W67" s="162"/>
      <c r="IH67" s="171"/>
      <c r="II67" s="171"/>
      <c r="IJ67" s="171"/>
      <c r="IK67" s="171"/>
      <c r="IL67" s="171"/>
      <c r="IM67" s="171"/>
    </row>
    <row r="68" spans="1:247" s="163" customFormat="1" ht="20.25" customHeight="1" x14ac:dyDescent="0.25">
      <c r="A68" s="75">
        <v>44055</v>
      </c>
      <c r="B68" s="144">
        <v>393.38750665514721</v>
      </c>
      <c r="C68" s="144">
        <f t="shared" ref="C68" si="120">0.997*B68</f>
        <v>392.20734413518176</v>
      </c>
      <c r="D68" s="165">
        <f t="shared" ref="D68" si="121">1.003*B68</f>
        <v>394.5676691751126</v>
      </c>
      <c r="E68" s="78">
        <f>10263.61/1800.553*100</f>
        <v>570.02543107589725</v>
      </c>
      <c r="F68" s="76"/>
      <c r="G68" s="137"/>
      <c r="H68" s="78">
        <v>151.14123844661199</v>
      </c>
      <c r="I68" s="78">
        <v>157.25963046518601</v>
      </c>
      <c r="J68" s="166">
        <f t="shared" si="72"/>
        <v>319.97801264885595</v>
      </c>
      <c r="K68" s="80">
        <v>198567.92309999999</v>
      </c>
      <c r="L68" s="82">
        <f t="shared" si="105"/>
        <v>78.114140169999999</v>
      </c>
      <c r="M68" s="152"/>
      <c r="N68" s="66"/>
      <c r="O68" s="162"/>
      <c r="P68" s="162"/>
      <c r="Q68" s="162"/>
      <c r="R68" s="162"/>
      <c r="S68" s="162"/>
      <c r="T68" s="162"/>
      <c r="U68" s="162"/>
      <c r="V68" s="162"/>
      <c r="W68" s="162"/>
      <c r="IH68" s="171"/>
      <c r="II68" s="171"/>
      <c r="IJ68" s="171"/>
      <c r="IK68" s="171"/>
      <c r="IL68" s="171"/>
      <c r="IM68" s="171"/>
    </row>
    <row r="69" spans="1:247" s="163" customFormat="1" ht="20.25" customHeight="1" x14ac:dyDescent="0.25">
      <c r="A69" s="75">
        <v>44048</v>
      </c>
      <c r="B69" s="144">
        <v>401.52747651816048</v>
      </c>
      <c r="C69" s="144">
        <f t="shared" ref="C69" si="122">0.997*B69</f>
        <v>400.32289408860601</v>
      </c>
      <c r="D69" s="165">
        <f t="shared" ref="D69" si="123">1.003*B69</f>
        <v>402.7320589477149</v>
      </c>
      <c r="E69" s="78">
        <f>10105.36/1800.553*100</f>
        <v>561.23646457504992</v>
      </c>
      <c r="F69" s="76"/>
      <c r="G69" s="137"/>
      <c r="H69" s="78">
        <v>151.687924111505</v>
      </c>
      <c r="I69" s="78">
        <v>157.26206591817299</v>
      </c>
      <c r="J69" s="166">
        <f t="shared" si="72"/>
        <v>318.06074400390571</v>
      </c>
      <c r="K69" s="80">
        <v>196569.9809</v>
      </c>
      <c r="L69" s="82">
        <f t="shared" si="105"/>
        <v>78.928248390000007</v>
      </c>
      <c r="M69" s="152"/>
      <c r="N69" s="66"/>
      <c r="O69" s="162"/>
      <c r="P69" s="162"/>
      <c r="Q69" s="162"/>
      <c r="R69" s="162"/>
      <c r="S69" s="162"/>
      <c r="T69" s="162"/>
      <c r="U69" s="162"/>
      <c r="V69" s="162"/>
      <c r="W69" s="162"/>
      <c r="IH69" s="171"/>
      <c r="II69" s="171"/>
      <c r="IJ69" s="171"/>
      <c r="IK69" s="171"/>
      <c r="IL69" s="171"/>
      <c r="IM69" s="171"/>
    </row>
    <row r="70" spans="1:247" s="163" customFormat="1" ht="20.25" customHeight="1" x14ac:dyDescent="0.25">
      <c r="A70" s="75">
        <v>44041</v>
      </c>
      <c r="B70" s="144">
        <v>394.5743624069911</v>
      </c>
      <c r="C70" s="144">
        <f t="shared" ref="C70" si="124">0.997*B70</f>
        <v>393.39063931977012</v>
      </c>
      <c r="D70" s="165">
        <f t="shared" ref="D70" si="125">1.003*B70</f>
        <v>395.75808549421203</v>
      </c>
      <c r="E70" s="78">
        <f>9947.58/1800.553*100</f>
        <v>552.47360116586401</v>
      </c>
      <c r="F70" s="76"/>
      <c r="G70" s="137"/>
      <c r="H70" s="78">
        <v>151.37093058541799</v>
      </c>
      <c r="I70" s="78">
        <v>157.26453628982901</v>
      </c>
      <c r="J70" s="166">
        <f t="shared" si="72"/>
        <v>315.2307138175907</v>
      </c>
      <c r="K70" s="80">
        <v>198320.11290000001</v>
      </c>
      <c r="L70" s="82">
        <f t="shared" si="105"/>
        <v>78.252032099999994</v>
      </c>
      <c r="M70" s="152"/>
      <c r="N70" s="66"/>
      <c r="O70" s="162"/>
      <c r="P70" s="162"/>
      <c r="Q70" s="162"/>
      <c r="R70" s="162"/>
      <c r="S70" s="162"/>
      <c r="T70" s="162"/>
      <c r="U70" s="162"/>
      <c r="V70" s="162"/>
      <c r="W70" s="162"/>
      <c r="IH70" s="171"/>
      <c r="II70" s="171"/>
      <c r="IJ70" s="171"/>
      <c r="IK70" s="171"/>
      <c r="IL70" s="171"/>
      <c r="IM70" s="171"/>
    </row>
    <row r="71" spans="1:247" s="163" customFormat="1" ht="20.25" customHeight="1" x14ac:dyDescent="0.25">
      <c r="A71" s="75">
        <v>44034</v>
      </c>
      <c r="B71" s="144">
        <v>388.6598266453488</v>
      </c>
      <c r="C71" s="144">
        <f t="shared" ref="C71" si="126">0.997*B71</f>
        <v>387.49384716541277</v>
      </c>
      <c r="D71" s="165">
        <f t="shared" ref="D71" si="127">1.003*B71</f>
        <v>389.82580612528483</v>
      </c>
      <c r="E71" s="78">
        <f>9980.86/1800.553*100</f>
        <v>554.32192220945456</v>
      </c>
      <c r="F71" s="76"/>
      <c r="G71" s="137"/>
      <c r="H71" s="78">
        <v>149.849380455264</v>
      </c>
      <c r="I71" s="78">
        <v>157.26721692462201</v>
      </c>
      <c r="J71" s="166">
        <f t="shared" si="72"/>
        <v>314.15951135657588</v>
      </c>
      <c r="K71" s="80">
        <v>198320.11290000001</v>
      </c>
      <c r="L71" s="82">
        <f t="shared" si="105"/>
        <v>77.079060699999999</v>
      </c>
      <c r="M71" s="152"/>
      <c r="N71" s="66"/>
      <c r="O71" s="162"/>
      <c r="P71" s="162"/>
      <c r="Q71" s="162"/>
      <c r="R71" s="162"/>
      <c r="S71" s="162"/>
      <c r="T71" s="162"/>
      <c r="U71" s="162"/>
      <c r="V71" s="162"/>
      <c r="W71" s="162"/>
      <c r="IH71" s="171"/>
      <c r="II71" s="171"/>
      <c r="IJ71" s="171"/>
      <c r="IK71" s="171"/>
      <c r="IL71" s="171"/>
      <c r="IM71" s="171"/>
    </row>
    <row r="72" spans="1:247" s="163" customFormat="1" ht="20.25" customHeight="1" x14ac:dyDescent="0.25">
      <c r="A72" s="75">
        <v>44027</v>
      </c>
      <c r="B72" s="144">
        <v>384.56429080623013</v>
      </c>
      <c r="C72" s="144">
        <f t="shared" ref="C72" si="128">0.997*B72</f>
        <v>383.41059793381146</v>
      </c>
      <c r="D72" s="165">
        <f t="shared" ref="D72" si="129">1.003*B72</f>
        <v>385.71798367864881</v>
      </c>
      <c r="E72" s="78">
        <f>9855.45/1800.553*100</f>
        <v>547.35683981532338</v>
      </c>
      <c r="F72" s="76"/>
      <c r="G72" s="137"/>
      <c r="H72" s="78">
        <v>149.04459650929701</v>
      </c>
      <c r="I72" s="78">
        <v>157.269693771492</v>
      </c>
      <c r="J72" s="166">
        <f t="shared" si="72"/>
        <v>311.33807891633512</v>
      </c>
      <c r="K72" s="80">
        <v>198320.11290000001</v>
      </c>
      <c r="L72" s="82">
        <f t="shared" si="105"/>
        <v>76.266833569999989</v>
      </c>
      <c r="M72" s="152"/>
      <c r="N72" s="66"/>
      <c r="O72" s="162"/>
      <c r="P72" s="162"/>
      <c r="Q72" s="162"/>
      <c r="R72" s="162"/>
      <c r="S72" s="162"/>
      <c r="T72" s="162"/>
      <c r="U72" s="162"/>
      <c r="V72" s="162"/>
      <c r="W72" s="162"/>
      <c r="IH72" s="171"/>
      <c r="II72" s="171"/>
      <c r="IJ72" s="171"/>
      <c r="IK72" s="171"/>
      <c r="IL72" s="171"/>
      <c r="IM72" s="171"/>
    </row>
    <row r="73" spans="1:247" s="163" customFormat="1" ht="20.25" customHeight="1" x14ac:dyDescent="0.25">
      <c r="A73" s="75">
        <v>44020</v>
      </c>
      <c r="B73" s="144">
        <v>387.44117897653058</v>
      </c>
      <c r="C73" s="144">
        <f t="shared" ref="C73" si="130">0.997*B73</f>
        <v>386.27885543960099</v>
      </c>
      <c r="D73" s="165">
        <f t="shared" ref="D73" si="131">1.003*B73</f>
        <v>388.60350251346011</v>
      </c>
      <c r="E73" s="78">
        <f>9653.71/1800.553*100</f>
        <v>536.15250425841384</v>
      </c>
      <c r="F73" s="76"/>
      <c r="G73" s="137"/>
      <c r="H73" s="78">
        <v>148.82326953391501</v>
      </c>
      <c r="I73" s="78">
        <v>157.272157838411</v>
      </c>
      <c r="J73" s="166">
        <f t="shared" si="72"/>
        <v>307.89202130612676</v>
      </c>
      <c r="K73" s="80">
        <v>198326.2414</v>
      </c>
      <c r="L73" s="82">
        <f t="shared" si="105"/>
        <v>76.839752790000006</v>
      </c>
      <c r="M73" s="152"/>
      <c r="N73" s="66"/>
      <c r="O73" s="162"/>
      <c r="P73" s="162"/>
      <c r="Q73" s="162"/>
      <c r="R73" s="162"/>
      <c r="S73" s="162"/>
      <c r="T73" s="162"/>
      <c r="U73" s="162"/>
      <c r="V73" s="162"/>
      <c r="W73" s="162"/>
      <c r="IH73" s="171"/>
      <c r="II73" s="171"/>
      <c r="IJ73" s="171"/>
      <c r="IK73" s="171"/>
      <c r="IL73" s="171"/>
      <c r="IM73" s="171"/>
    </row>
    <row r="74" spans="1:247" s="163" customFormat="1" ht="20.25" customHeight="1" x14ac:dyDescent="0.25">
      <c r="A74" s="75">
        <v>44013</v>
      </c>
      <c r="B74" s="144">
        <v>380.70090738884949</v>
      </c>
      <c r="C74" s="144">
        <f t="shared" ref="C74" si="132">0.997*B74</f>
        <v>379.55880466668293</v>
      </c>
      <c r="D74" s="165">
        <f t="shared" ref="D74" si="133">1.003*B74</f>
        <v>381.84301011101599</v>
      </c>
      <c r="E74" s="78">
        <f>9473.27/1800.553*100</f>
        <v>526.13113860019678</v>
      </c>
      <c r="F74" s="76"/>
      <c r="G74" s="137"/>
      <c r="H74" s="78">
        <v>148.28555320997199</v>
      </c>
      <c r="I74" s="78">
        <v>157.27429121031099</v>
      </c>
      <c r="J74" s="166">
        <f t="shared" si="72"/>
        <v>304.44065385190413</v>
      </c>
      <c r="K74" s="80">
        <v>198326.2414</v>
      </c>
      <c r="L74" s="82">
        <f t="shared" si="105"/>
        <v>75.502980059999999</v>
      </c>
      <c r="M74" s="152"/>
      <c r="N74" s="66"/>
      <c r="O74" s="162"/>
      <c r="P74" s="162"/>
      <c r="Q74" s="162"/>
      <c r="R74" s="162"/>
      <c r="S74" s="162"/>
      <c r="T74" s="162"/>
      <c r="U74" s="162"/>
      <c r="V74" s="162"/>
      <c r="W74" s="162"/>
      <c r="IH74" s="171"/>
      <c r="II74" s="171"/>
      <c r="IJ74" s="171"/>
      <c r="IK74" s="171"/>
      <c r="IL74" s="171"/>
      <c r="IM74" s="171"/>
    </row>
    <row r="75" spans="1:247" s="163" customFormat="1" ht="20.25" customHeight="1" x14ac:dyDescent="0.25">
      <c r="A75" s="75">
        <v>44006</v>
      </c>
      <c r="B75" s="144">
        <v>383.75914031986082</v>
      </c>
      <c r="C75" s="144">
        <f t="shared" ref="C75" si="134">0.997*B75</f>
        <v>382.60786289890126</v>
      </c>
      <c r="D75" s="165">
        <f t="shared" ref="D75" si="135">1.003*B75</f>
        <v>384.91041774082038</v>
      </c>
      <c r="E75" s="78">
        <f>9334.82/1800.553*100</f>
        <v>518.4418342586971</v>
      </c>
      <c r="F75" s="76"/>
      <c r="G75" s="137"/>
      <c r="H75" s="78">
        <v>148.22683403424099</v>
      </c>
      <c r="I75" s="78">
        <v>157.27568996428101</v>
      </c>
      <c r="J75" s="166">
        <f t="shared" si="72"/>
        <v>302.14020214090453</v>
      </c>
      <c r="K75" s="80">
        <v>198408.51060000001</v>
      </c>
      <c r="L75" s="82">
        <f t="shared" si="105"/>
        <v>76.14107946</v>
      </c>
      <c r="M75" s="152"/>
      <c r="N75" s="66"/>
      <c r="O75" s="162"/>
      <c r="P75" s="162"/>
      <c r="Q75" s="162"/>
      <c r="R75" s="162"/>
      <c r="S75" s="162"/>
      <c r="T75" s="162"/>
      <c r="U75" s="162"/>
      <c r="V75" s="162"/>
      <c r="W75" s="162"/>
      <c r="IH75" s="171"/>
      <c r="II75" s="171"/>
      <c r="IJ75" s="171"/>
      <c r="IK75" s="171"/>
      <c r="IL75" s="171"/>
      <c r="IM75" s="171"/>
    </row>
    <row r="76" spans="1:247" s="163" customFormat="1" ht="20.25" customHeight="1" x14ac:dyDescent="0.25">
      <c r="A76" s="75">
        <v>43999</v>
      </c>
      <c r="B76" s="144">
        <v>382.47013734702159</v>
      </c>
      <c r="C76" s="144">
        <f t="shared" ref="C76" si="136">0.997*B76</f>
        <v>381.32272693498055</v>
      </c>
      <c r="D76" s="165">
        <f t="shared" ref="D76" si="137">1.003*B76</f>
        <v>383.61754775906263</v>
      </c>
      <c r="E76" s="78">
        <f>9493.03/1800.553*100</f>
        <v>527.22857921982859</v>
      </c>
      <c r="F76" s="76"/>
      <c r="G76" s="137"/>
      <c r="H76" s="78">
        <v>148.39524844925299</v>
      </c>
      <c r="I76" s="78">
        <v>157.27686890307299</v>
      </c>
      <c r="J76" s="166">
        <f t="shared" si="72"/>
        <v>304.85352288864203</v>
      </c>
      <c r="K76" s="80">
        <v>198408.51060000001</v>
      </c>
      <c r="L76" s="82">
        <f t="shared" si="105"/>
        <v>75.885330299999993</v>
      </c>
      <c r="M76" s="152"/>
      <c r="N76" s="66"/>
      <c r="O76" s="162"/>
      <c r="P76" s="162"/>
      <c r="Q76" s="162"/>
      <c r="R76" s="162"/>
      <c r="S76" s="162"/>
      <c r="T76" s="162"/>
      <c r="U76" s="162"/>
      <c r="V76" s="162"/>
      <c r="W76" s="162"/>
      <c r="IH76" s="171"/>
      <c r="II76" s="171"/>
      <c r="IJ76" s="171"/>
      <c r="IK76" s="171"/>
      <c r="IL76" s="171"/>
      <c r="IM76" s="171"/>
    </row>
    <row r="77" spans="1:247" s="163" customFormat="1" ht="20.25" customHeight="1" x14ac:dyDescent="0.25">
      <c r="A77" s="75">
        <v>43992</v>
      </c>
      <c r="B77" s="144">
        <v>385.894475</v>
      </c>
      <c r="C77" s="144">
        <f t="shared" ref="C77" si="138">0.997*B77</f>
        <v>384.73679157499998</v>
      </c>
      <c r="D77" s="165">
        <f t="shared" ref="D77" si="139">1.003*B77</f>
        <v>387.05215842499996</v>
      </c>
      <c r="E77" s="78">
        <f>9700.808/1800.553*100</f>
        <v>538.76825619684621</v>
      </c>
      <c r="F77" s="76"/>
      <c r="G77" s="137"/>
      <c r="H77" s="78">
        <v>149.19596918009</v>
      </c>
      <c r="I77" s="78">
        <v>157.277787181283</v>
      </c>
      <c r="J77" s="166">
        <f t="shared" si="72"/>
        <v>308.99177779606498</v>
      </c>
      <c r="K77" s="80">
        <v>198904.5576</v>
      </c>
      <c r="L77" s="82">
        <f t="shared" si="105"/>
        <v>76.756169830159266</v>
      </c>
      <c r="M77" s="152"/>
      <c r="N77" s="66"/>
      <c r="O77" s="162"/>
      <c r="P77" s="162"/>
      <c r="Q77" s="162"/>
      <c r="R77" s="162"/>
      <c r="S77" s="162"/>
      <c r="T77" s="162"/>
      <c r="U77" s="162"/>
      <c r="V77" s="162"/>
      <c r="W77" s="162"/>
      <c r="IH77" s="171"/>
      <c r="II77" s="171"/>
      <c r="IJ77" s="171"/>
      <c r="IK77" s="171"/>
      <c r="IL77" s="171"/>
      <c r="IM77" s="171"/>
    </row>
    <row r="78" spans="1:247" s="163" customFormat="1" ht="20.25" customHeight="1" x14ac:dyDescent="0.25">
      <c r="A78" s="75">
        <v>43985</v>
      </c>
      <c r="B78" s="144">
        <v>375.54292898716369</v>
      </c>
      <c r="C78" s="144">
        <f t="shared" ref="C78" si="140">0.997*B78</f>
        <v>374.41630020020222</v>
      </c>
      <c r="D78" s="165">
        <f t="shared" ref="D78" si="141">1.003*B78</f>
        <v>376.66955777412517</v>
      </c>
      <c r="E78" s="78">
        <f>9506.438/1800.553*100</f>
        <v>527.97323933258281</v>
      </c>
      <c r="F78" s="76"/>
      <c r="G78" s="137"/>
      <c r="H78" s="78">
        <v>148.02077456367201</v>
      </c>
      <c r="I78" s="78">
        <v>157.278568976423</v>
      </c>
      <c r="J78" s="166">
        <f t="shared" ref="J78:J118" si="142">(E78/E79)*0.5*J79+(H78/H79)*0.5*J79</f>
        <v>304.66770016178879</v>
      </c>
      <c r="K78" s="80">
        <v>198904.5576</v>
      </c>
      <c r="L78" s="82">
        <f t="shared" si="105"/>
        <v>74.69720015</v>
      </c>
      <c r="M78" s="152"/>
      <c r="N78" s="66"/>
      <c r="O78" s="162"/>
      <c r="P78" s="162"/>
      <c r="Q78" s="162"/>
      <c r="R78" s="162"/>
      <c r="S78" s="162"/>
      <c r="T78" s="162"/>
      <c r="U78" s="162"/>
      <c r="V78" s="162"/>
      <c r="W78" s="162"/>
      <c r="IH78" s="171"/>
      <c r="II78" s="171"/>
      <c r="IJ78" s="171"/>
      <c r="IK78" s="171"/>
      <c r="IL78" s="171"/>
      <c r="IM78" s="171"/>
    </row>
    <row r="79" spans="1:247" s="163" customFormat="1" ht="20.25" customHeight="1" x14ac:dyDescent="0.25">
      <c r="A79" s="75">
        <v>43978</v>
      </c>
      <c r="B79" s="144">
        <v>378.95741761525125</v>
      </c>
      <c r="C79" s="144">
        <f t="shared" ref="C79" si="143">0.997*B79</f>
        <v>377.82054536240548</v>
      </c>
      <c r="D79" s="165">
        <f t="shared" ref="D79" si="144">1.003*B79</f>
        <v>380.09428986809695</v>
      </c>
      <c r="E79" s="78">
        <f>9136.011/1800.553*100</f>
        <v>507.40028202446689</v>
      </c>
      <c r="F79" s="76"/>
      <c r="G79" s="137"/>
      <c r="H79" s="78">
        <v>146.68058797730799</v>
      </c>
      <c r="I79" s="78">
        <v>157.27932121540701</v>
      </c>
      <c r="J79" s="166">
        <f t="shared" si="142"/>
        <v>297.28281129610855</v>
      </c>
      <c r="K79" s="80">
        <v>198904.5576</v>
      </c>
      <c r="L79" s="82">
        <f t="shared" si="105"/>
        <v>75.376357499999997</v>
      </c>
      <c r="M79" s="152"/>
      <c r="N79" s="66"/>
      <c r="O79" s="162"/>
      <c r="P79" s="162"/>
      <c r="Q79" s="162"/>
      <c r="R79" s="162"/>
      <c r="S79" s="162"/>
      <c r="T79" s="162"/>
      <c r="U79" s="162"/>
      <c r="V79" s="162"/>
      <c r="W79" s="162"/>
      <c r="IH79" s="171"/>
      <c r="II79" s="171"/>
      <c r="IJ79" s="171"/>
      <c r="IK79" s="171"/>
      <c r="IL79" s="171"/>
      <c r="IM79" s="171"/>
    </row>
    <row r="80" spans="1:247" s="163" customFormat="1" ht="20.25" customHeight="1" x14ac:dyDescent="0.25">
      <c r="A80" s="75">
        <v>43971</v>
      </c>
      <c r="B80" s="144">
        <v>381.12740826407287</v>
      </c>
      <c r="C80" s="144">
        <f t="shared" ref="C80" si="145">0.997*B80</f>
        <v>379.98402603928065</v>
      </c>
      <c r="D80" s="165">
        <f t="shared" ref="D80" si="146">1.003*B80</f>
        <v>382.27079048886503</v>
      </c>
      <c r="E80" s="78">
        <f>8941.512/1800.553*100</f>
        <v>496.59810069461992</v>
      </c>
      <c r="F80" s="76"/>
      <c r="G80" s="137"/>
      <c r="H80" s="78">
        <v>146.66196879408901</v>
      </c>
      <c r="I80" s="78">
        <v>157.27987694338501</v>
      </c>
      <c r="J80" s="166">
        <f t="shared" si="142"/>
        <v>294.06583190255014</v>
      </c>
      <c r="K80" s="80">
        <v>198904.5576</v>
      </c>
      <c r="L80" s="82">
        <f t="shared" si="105"/>
        <v>75.80797853</v>
      </c>
      <c r="M80" s="152"/>
      <c r="N80" s="66"/>
      <c r="O80" s="162"/>
      <c r="P80" s="162"/>
      <c r="Q80" s="162"/>
      <c r="R80" s="162"/>
      <c r="S80" s="162"/>
      <c r="T80" s="162"/>
      <c r="U80" s="162"/>
      <c r="V80" s="162"/>
      <c r="W80" s="162"/>
      <c r="IH80" s="171"/>
      <c r="II80" s="171"/>
      <c r="IJ80" s="171"/>
      <c r="IK80" s="171"/>
      <c r="IL80" s="171"/>
      <c r="IM80" s="171"/>
    </row>
    <row r="81" spans="1:247" s="163" customFormat="1" ht="20.25" customHeight="1" x14ac:dyDescent="0.25">
      <c r="A81" s="75">
        <v>43964</v>
      </c>
      <c r="B81" s="144">
        <v>381.20006748402432</v>
      </c>
      <c r="C81" s="144">
        <f t="shared" ref="C81" si="147">0.997*B81</f>
        <v>380.05646728157222</v>
      </c>
      <c r="D81" s="165">
        <f t="shared" ref="D81" si="148">1.003*B81</f>
        <v>382.34366768647635</v>
      </c>
      <c r="E81" s="78">
        <f>8534.666/1800.553*100</f>
        <v>474.0024870137118</v>
      </c>
      <c r="F81" s="76"/>
      <c r="G81" s="137"/>
      <c r="H81" s="78">
        <v>146.014697864715</v>
      </c>
      <c r="I81" s="78">
        <v>157.28085420904901</v>
      </c>
      <c r="J81" s="166">
        <f t="shared" si="142"/>
        <v>286.59952211051882</v>
      </c>
      <c r="K81" s="80">
        <v>198904.5576</v>
      </c>
      <c r="L81" s="82">
        <f t="shared" si="105"/>
        <v>75.822430780000005</v>
      </c>
      <c r="M81" s="152"/>
      <c r="N81" s="66"/>
      <c r="O81" s="162"/>
      <c r="P81" s="162"/>
      <c r="Q81" s="162"/>
      <c r="R81" s="162"/>
      <c r="S81" s="162"/>
      <c r="T81" s="162"/>
      <c r="U81" s="162"/>
      <c r="V81" s="162"/>
      <c r="W81" s="162"/>
      <c r="IH81" s="171"/>
      <c r="II81" s="171"/>
      <c r="IJ81" s="171"/>
      <c r="IK81" s="171"/>
      <c r="IL81" s="171"/>
      <c r="IM81" s="171"/>
    </row>
    <row r="82" spans="1:247" s="163" customFormat="1" ht="20.25" customHeight="1" x14ac:dyDescent="0.25">
      <c r="A82" s="75">
        <v>43957</v>
      </c>
      <c r="B82" s="144">
        <f>75614722.51/198904.74</f>
        <v>380.15545788401027</v>
      </c>
      <c r="C82" s="144">
        <f t="shared" ref="C82" si="149">0.997*B82</f>
        <v>379.01499151035824</v>
      </c>
      <c r="D82" s="165">
        <f t="shared" ref="D82" si="150">1.003*B82</f>
        <v>381.29592425766225</v>
      </c>
      <c r="E82" s="78">
        <f>8566.396/1800.553*100</f>
        <v>475.76472339331309</v>
      </c>
      <c r="F82" s="76"/>
      <c r="G82" s="137"/>
      <c r="H82" s="78">
        <v>146.13843464394199</v>
      </c>
      <c r="I82" s="78">
        <v>157.28</v>
      </c>
      <c r="J82" s="166">
        <f t="shared" si="142"/>
        <v>287.25312601441453</v>
      </c>
      <c r="K82" s="80">
        <v>198904.74</v>
      </c>
      <c r="L82" s="82">
        <f t="shared" si="105"/>
        <v>75.614722510000007</v>
      </c>
      <c r="M82" s="152"/>
      <c r="N82" s="66"/>
      <c r="O82" s="162"/>
      <c r="P82" s="162"/>
      <c r="Q82" s="162"/>
      <c r="R82" s="162"/>
      <c r="S82" s="162"/>
      <c r="T82" s="162"/>
      <c r="U82" s="162"/>
      <c r="V82" s="162"/>
      <c r="W82" s="162"/>
      <c r="IH82" s="171"/>
      <c r="II82" s="171"/>
      <c r="IJ82" s="171"/>
      <c r="IK82" s="171"/>
      <c r="IL82" s="171"/>
      <c r="IM82" s="171"/>
    </row>
    <row r="83" spans="1:247" s="163" customFormat="1" ht="20.25" customHeight="1" x14ac:dyDescent="0.25">
      <c r="A83" s="75">
        <v>43950</v>
      </c>
      <c r="B83" s="144">
        <v>380.04227400000002</v>
      </c>
      <c r="C83" s="144">
        <f t="shared" ref="C83" si="151">0.997*B83</f>
        <v>378.90214717800001</v>
      </c>
      <c r="D83" s="165">
        <f t="shared" ref="D83" si="152">1.003*B83</f>
        <v>381.18240082199998</v>
      </c>
      <c r="E83" s="78">
        <f>8831.921/1800.553*100</f>
        <v>490.51158171961606</v>
      </c>
      <c r="F83" s="76"/>
      <c r="G83" s="137"/>
      <c r="H83" s="78">
        <v>146.681519724124</v>
      </c>
      <c r="I83" s="78">
        <v>157.28143874823101</v>
      </c>
      <c r="J83" s="166">
        <f t="shared" si="142"/>
        <v>292.18621080915432</v>
      </c>
      <c r="K83" s="80">
        <v>199102.5576</v>
      </c>
      <c r="L83" s="82">
        <f t="shared" si="105"/>
        <v>75.667388749519986</v>
      </c>
      <c r="M83" s="152"/>
      <c r="N83" s="66"/>
      <c r="O83" s="162"/>
      <c r="P83" s="162"/>
      <c r="Q83" s="162"/>
      <c r="R83" s="162"/>
      <c r="S83" s="162"/>
      <c r="T83" s="162"/>
      <c r="U83" s="162"/>
      <c r="V83" s="162"/>
      <c r="W83" s="162"/>
      <c r="IH83" s="171"/>
      <c r="II83" s="171"/>
      <c r="IJ83" s="171"/>
      <c r="IK83" s="171"/>
      <c r="IL83" s="171"/>
      <c r="IM83" s="171"/>
    </row>
    <row r="84" spans="1:247" s="163" customFormat="1" ht="20.25" customHeight="1" x14ac:dyDescent="0.25">
      <c r="A84" s="75">
        <v>43943</v>
      </c>
      <c r="B84" s="144">
        <v>378.94021065801809</v>
      </c>
      <c r="C84" s="144">
        <f t="shared" ref="C84" si="153">0.997*B84</f>
        <v>377.80339002604404</v>
      </c>
      <c r="D84" s="165">
        <f t="shared" ref="D84" si="154">1.003*B84</f>
        <v>380.07703128999208</v>
      </c>
      <c r="E84" s="78">
        <f>8389.982/1800.553*100</f>
        <v>465.96695570749648</v>
      </c>
      <c r="F84" s="76"/>
      <c r="G84" s="137"/>
      <c r="H84" s="78">
        <v>145.88536979968799</v>
      </c>
      <c r="I84" s="78">
        <v>157.28166693592101</v>
      </c>
      <c r="J84" s="166">
        <f t="shared" si="142"/>
        <v>283.93340626771226</v>
      </c>
      <c r="K84" s="80">
        <v>199759.92550000001</v>
      </c>
      <c r="L84" s="82">
        <f t="shared" si="105"/>
        <v>75.697068250000001</v>
      </c>
      <c r="M84" s="152"/>
      <c r="N84" s="66"/>
      <c r="O84" s="162"/>
      <c r="P84" s="162"/>
      <c r="Q84" s="162"/>
      <c r="R84" s="162"/>
      <c r="S84" s="162"/>
      <c r="T84" s="162"/>
      <c r="U84" s="162"/>
      <c r="V84" s="162"/>
      <c r="W84" s="162"/>
      <c r="IH84" s="171"/>
      <c r="II84" s="171"/>
      <c r="IJ84" s="171"/>
      <c r="IK84" s="171"/>
      <c r="IL84" s="171"/>
      <c r="IM84" s="171"/>
    </row>
    <row r="85" spans="1:247" s="163" customFormat="1" ht="20.25" customHeight="1" x14ac:dyDescent="0.25">
      <c r="A85" s="75">
        <v>43936</v>
      </c>
      <c r="B85" s="144">
        <v>381.31993799400908</v>
      </c>
      <c r="C85" s="144">
        <f t="shared" ref="C85" si="155">0.997*B85</f>
        <v>380.17597818002707</v>
      </c>
      <c r="D85" s="165">
        <f t="shared" ref="D85" si="156">1.003*B85</f>
        <v>382.46389780799109</v>
      </c>
      <c r="E85" s="78">
        <f>8353.582/1800.553*100</f>
        <v>463.9453545660694</v>
      </c>
      <c r="F85" s="76"/>
      <c r="G85" s="137"/>
      <c r="H85" s="78">
        <v>146.47220990391901</v>
      </c>
      <c r="I85" s="78">
        <v>157.281026595307</v>
      </c>
      <c r="J85" s="166">
        <f t="shared" si="142"/>
        <v>283.88359638122677</v>
      </c>
      <c r="K85" s="80">
        <v>203415.24770000001</v>
      </c>
      <c r="L85" s="82">
        <f t="shared" si="105"/>
        <v>77.566289639999994</v>
      </c>
      <c r="M85" s="152"/>
      <c r="N85" s="66"/>
      <c r="O85" s="162"/>
      <c r="P85" s="162"/>
      <c r="Q85" s="162"/>
      <c r="R85" s="162"/>
      <c r="S85" s="162"/>
      <c r="T85" s="162"/>
      <c r="U85" s="162"/>
      <c r="V85" s="162"/>
      <c r="W85" s="162"/>
      <c r="IH85" s="171"/>
      <c r="II85" s="171"/>
      <c r="IJ85" s="171"/>
      <c r="IK85" s="171"/>
      <c r="IL85" s="171"/>
      <c r="IM85" s="171"/>
    </row>
    <row r="86" spans="1:247" s="163" customFormat="1" ht="20.25" customHeight="1" x14ac:dyDescent="0.25">
      <c r="A86" s="75">
        <v>43929</v>
      </c>
      <c r="B86" s="144">
        <v>376.83251200000001</v>
      </c>
      <c r="C86" s="144">
        <f t="shared" ref="C86" si="157">0.997*B86</f>
        <v>375.702014464</v>
      </c>
      <c r="D86" s="165">
        <f t="shared" ref="D86" si="158">1.003*B86</f>
        <v>377.96300953599996</v>
      </c>
      <c r="E86" s="78">
        <f>8266.021/1800.553*100</f>
        <v>459.08234858957223</v>
      </c>
      <c r="F86" s="76"/>
      <c r="G86" s="137"/>
      <c r="H86" s="78">
        <v>145.87974228940701</v>
      </c>
      <c r="I86" s="78">
        <v>157.280009368533</v>
      </c>
      <c r="J86" s="166">
        <f t="shared" si="142"/>
        <v>281.81867901462863</v>
      </c>
      <c r="K86" s="80">
        <v>203453.9737</v>
      </c>
      <c r="L86" s="82">
        <f t="shared" si="105"/>
        <v>76.668071985752945</v>
      </c>
      <c r="M86" s="152"/>
      <c r="N86" s="66"/>
      <c r="O86" s="162"/>
      <c r="P86" s="162"/>
      <c r="Q86" s="162"/>
      <c r="R86" s="162"/>
      <c r="S86" s="162"/>
      <c r="T86" s="162"/>
      <c r="U86" s="162"/>
      <c r="V86" s="162"/>
      <c r="W86" s="162"/>
      <c r="IH86" s="171"/>
      <c r="II86" s="171"/>
      <c r="IJ86" s="171"/>
      <c r="IK86" s="171"/>
      <c r="IL86" s="171"/>
      <c r="IM86" s="171"/>
    </row>
    <row r="87" spans="1:247" s="163" customFormat="1" ht="20.25" customHeight="1" x14ac:dyDescent="0.25">
      <c r="A87" s="75">
        <v>43922</v>
      </c>
      <c r="B87" s="144">
        <v>372.88088699999997</v>
      </c>
      <c r="C87" s="144">
        <f t="shared" ref="C87" si="159">0.997*B87</f>
        <v>371.76224433899995</v>
      </c>
      <c r="D87" s="165">
        <f t="shared" ref="D87" si="160">1.003*B87</f>
        <v>373.99952966099994</v>
      </c>
      <c r="E87" s="78">
        <f>7586.144/1800.553*100</f>
        <v>421.32300465468109</v>
      </c>
      <c r="F87" s="76"/>
      <c r="G87" s="137"/>
      <c r="H87" s="78">
        <v>146.1686</v>
      </c>
      <c r="I87" s="78">
        <v>157.27768182258399</v>
      </c>
      <c r="J87" s="166">
        <f t="shared" si="142"/>
        <v>269.98720551382462</v>
      </c>
      <c r="K87" s="80">
        <v>203454.15659999999</v>
      </c>
      <c r="L87" s="82">
        <f t="shared" si="105"/>
        <v>75.864166376844892</v>
      </c>
      <c r="M87" s="152"/>
      <c r="N87" s="66"/>
      <c r="O87" s="162"/>
      <c r="P87" s="162"/>
      <c r="Q87" s="162"/>
      <c r="R87" s="162"/>
      <c r="S87" s="162"/>
      <c r="T87" s="162"/>
      <c r="U87" s="162"/>
      <c r="V87" s="162"/>
      <c r="W87" s="162"/>
      <c r="IH87" s="171"/>
      <c r="II87" s="171"/>
      <c r="IJ87" s="171"/>
      <c r="IK87" s="171"/>
      <c r="IL87" s="171"/>
      <c r="IM87" s="171"/>
    </row>
    <row r="88" spans="1:247" s="163" customFormat="1" ht="20.25" customHeight="1" x14ac:dyDescent="0.25">
      <c r="A88" s="75">
        <v>43915</v>
      </c>
      <c r="B88" s="144">
        <v>367.83815591333592</v>
      </c>
      <c r="C88" s="144">
        <f t="shared" ref="C88" si="161">0.997*B88</f>
        <v>366.73464144559591</v>
      </c>
      <c r="D88" s="165">
        <f t="shared" ref="D88" si="162">1.003*B88</f>
        <v>368.94167038107588</v>
      </c>
      <c r="E88" s="78">
        <f>7594.07/1800.553*100</f>
        <v>421.76320274937751</v>
      </c>
      <c r="F88" s="76"/>
      <c r="G88" s="137"/>
      <c r="H88" s="78">
        <v>144.54168569501201</v>
      </c>
      <c r="I88" s="78">
        <v>157.27778570456101</v>
      </c>
      <c r="J88" s="166">
        <f t="shared" si="142"/>
        <v>268.61565848002147</v>
      </c>
      <c r="K88" s="80">
        <v>205677.83900000001</v>
      </c>
      <c r="L88" s="82">
        <f t="shared" si="105"/>
        <v>75.656157010000001</v>
      </c>
      <c r="M88" s="152"/>
      <c r="N88" s="66"/>
      <c r="O88" s="162"/>
      <c r="P88" s="162"/>
      <c r="Q88" s="162"/>
      <c r="R88" s="162"/>
      <c r="S88" s="162"/>
      <c r="T88" s="162"/>
      <c r="U88" s="162"/>
      <c r="V88" s="162"/>
      <c r="W88" s="162"/>
      <c r="IH88" s="171"/>
      <c r="II88" s="171"/>
      <c r="IJ88" s="171"/>
      <c r="IK88" s="171"/>
      <c r="IL88" s="171"/>
      <c r="IM88" s="171"/>
    </row>
    <row r="89" spans="1:247" s="163" customFormat="1" ht="20.25" customHeight="1" x14ac:dyDescent="0.25">
      <c r="A89" s="75">
        <v>43908</v>
      </c>
      <c r="B89" s="144">
        <v>368.52179274643299</v>
      </c>
      <c r="C89" s="144">
        <f t="shared" ref="C89" si="163">0.997*B89</f>
        <v>367.41622736819369</v>
      </c>
      <c r="D89" s="165">
        <f t="shared" ref="D89" si="164">1.003*B89</f>
        <v>369.62735812467224</v>
      </c>
      <c r="E89" s="78">
        <f>7149.182/1800.553*100</f>
        <v>397.05479372170657</v>
      </c>
      <c r="F89" s="76"/>
      <c r="G89" s="137"/>
      <c r="H89" s="78">
        <v>144.617751015419</v>
      </c>
      <c r="I89" s="78">
        <v>157.27974248431801</v>
      </c>
      <c r="J89" s="166">
        <f t="shared" si="142"/>
        <v>260.57645248969072</v>
      </c>
      <c r="K89" s="80">
        <v>206761.77800000002</v>
      </c>
      <c r="L89" s="82">
        <f t="shared" si="105"/>
        <v>76.196221099999988</v>
      </c>
      <c r="M89" s="152"/>
      <c r="N89" s="66"/>
      <c r="O89" s="162"/>
      <c r="P89" s="162"/>
      <c r="Q89" s="162"/>
      <c r="R89" s="162"/>
      <c r="S89" s="162"/>
      <c r="T89" s="162"/>
      <c r="U89" s="162"/>
      <c r="V89" s="162"/>
      <c r="W89" s="162"/>
      <c r="IH89" s="171"/>
      <c r="II89" s="171"/>
      <c r="IJ89" s="171"/>
      <c r="IK89" s="171"/>
      <c r="IL89" s="171"/>
      <c r="IM89" s="171"/>
    </row>
    <row r="90" spans="1:247" s="163" customFormat="1" ht="20.25" customHeight="1" x14ac:dyDescent="0.25">
      <c r="A90" s="75">
        <v>43901</v>
      </c>
      <c r="B90" s="144">
        <v>397.27951400000001</v>
      </c>
      <c r="C90" s="144">
        <f t="shared" ref="C90" si="165">0.997*B90</f>
        <v>396.08767545799998</v>
      </c>
      <c r="D90" s="165">
        <f t="shared" ref="D90" si="166">1.003*B90</f>
        <v>398.47135254199998</v>
      </c>
      <c r="E90" s="78">
        <f>8376.687/1800.553*100</f>
        <v>465.22857144443952</v>
      </c>
      <c r="F90" s="76"/>
      <c r="G90" s="137"/>
      <c r="H90" s="78">
        <v>148.770634158749</v>
      </c>
      <c r="I90" s="78">
        <v>157.28213552123799</v>
      </c>
      <c r="J90" s="166">
        <f t="shared" si="142"/>
        <v>285.47765698709816</v>
      </c>
      <c r="K90" s="80">
        <v>206761.77800000002</v>
      </c>
      <c r="L90" s="82">
        <f t="shared" si="105"/>
        <v>82.142218677615901</v>
      </c>
      <c r="M90" s="152"/>
      <c r="N90" s="66"/>
      <c r="O90" s="162"/>
      <c r="P90" s="162"/>
      <c r="Q90" s="162"/>
      <c r="R90" s="162"/>
      <c r="S90" s="162"/>
      <c r="T90" s="162"/>
      <c r="U90" s="162"/>
      <c r="V90" s="162"/>
      <c r="W90" s="162"/>
      <c r="IH90" s="171"/>
      <c r="II90" s="171"/>
      <c r="IJ90" s="171"/>
      <c r="IK90" s="171"/>
      <c r="IL90" s="171"/>
      <c r="IM90" s="171"/>
    </row>
    <row r="91" spans="1:247" s="163" customFormat="1" ht="20.25" customHeight="1" x14ac:dyDescent="0.25">
      <c r="A91" s="75">
        <v>43894</v>
      </c>
      <c r="B91" s="144">
        <v>412.63421399999999</v>
      </c>
      <c r="C91" s="144">
        <f t="shared" ref="C91" si="167">0.997*B91</f>
        <v>411.39631135799999</v>
      </c>
      <c r="D91" s="165">
        <f t="shared" ref="D91" si="168">1.003*B91</f>
        <v>413.87211664199992</v>
      </c>
      <c r="E91" s="78">
        <f>9522.494/1800.553*100</f>
        <v>528.86496537452661</v>
      </c>
      <c r="F91" s="76"/>
      <c r="G91" s="137"/>
      <c r="H91" s="78">
        <v>148.17918663965801</v>
      </c>
      <c r="I91" s="78">
        <v>157.27921340703199</v>
      </c>
      <c r="J91" s="166">
        <f t="shared" si="142"/>
        <v>303.10872160402494</v>
      </c>
      <c r="K91" s="80">
        <v>206761.77800000002</v>
      </c>
      <c r="L91" s="82">
        <f t="shared" si="105"/>
        <v>85.316983750272499</v>
      </c>
      <c r="M91" s="152"/>
      <c r="N91" s="66"/>
      <c r="O91" s="162"/>
      <c r="P91" s="162"/>
      <c r="Q91" s="162"/>
      <c r="R91" s="162"/>
      <c r="S91" s="162"/>
      <c r="T91" s="162"/>
      <c r="U91" s="162"/>
      <c r="V91" s="162"/>
      <c r="W91" s="162"/>
      <c r="IH91" s="171"/>
      <c r="II91" s="171"/>
      <c r="IJ91" s="171"/>
      <c r="IK91" s="171"/>
      <c r="IL91" s="171"/>
      <c r="IM91" s="171"/>
    </row>
    <row r="92" spans="1:247" s="163" customFormat="1" ht="20.25" customHeight="1" x14ac:dyDescent="0.25">
      <c r="A92" s="75">
        <v>43887</v>
      </c>
      <c r="B92" s="144">
        <v>414.43756867867518</v>
      </c>
      <c r="C92" s="144">
        <f t="shared" ref="C92" si="169">0.997*B92</f>
        <v>413.19425597263916</v>
      </c>
      <c r="D92" s="165">
        <f t="shared" ref="D92" si="170">1.003*B92</f>
        <v>415.68088138471114</v>
      </c>
      <c r="E92" s="78">
        <f>9580.501/1800.553*100</f>
        <v>532.0865867319651</v>
      </c>
      <c r="F92" s="76"/>
      <c r="G92" s="137"/>
      <c r="H92" s="78">
        <v>146.79293694900599</v>
      </c>
      <c r="I92" s="78">
        <v>157.26996487744901</v>
      </c>
      <c r="J92" s="166">
        <f t="shared" si="142"/>
        <v>302.59599110296654</v>
      </c>
      <c r="K92" s="80">
        <v>206761.77800000002</v>
      </c>
      <c r="L92" s="82">
        <f t="shared" si="105"/>
        <v>85.689848569999995</v>
      </c>
      <c r="M92" s="152"/>
      <c r="N92" s="66"/>
      <c r="O92" s="162"/>
      <c r="P92" s="162"/>
      <c r="Q92" s="162"/>
      <c r="R92" s="162"/>
      <c r="S92" s="162"/>
      <c r="T92" s="162"/>
      <c r="U92" s="162"/>
      <c r="V92" s="162"/>
      <c r="W92" s="162"/>
      <c r="IH92" s="171"/>
      <c r="II92" s="171"/>
      <c r="IJ92" s="171"/>
      <c r="IK92" s="171"/>
      <c r="IL92" s="171"/>
      <c r="IM92" s="171"/>
    </row>
    <row r="93" spans="1:247" s="163" customFormat="1" ht="20.25" customHeight="1" x14ac:dyDescent="0.25">
      <c r="A93" s="75">
        <v>43880</v>
      </c>
      <c r="B93" s="144">
        <v>423.38895267190048</v>
      </c>
      <c r="C93" s="144">
        <f t="shared" ref="C93" si="171">0.997*B93</f>
        <v>422.11878581388476</v>
      </c>
      <c r="D93" s="165">
        <f t="shared" ref="D93" si="172">1.003*B93</f>
        <v>424.65911952991615</v>
      </c>
      <c r="E93" s="78">
        <f>10309.42/1800.553*100</f>
        <v>572.56964943547894</v>
      </c>
      <c r="F93" s="76"/>
      <c r="G93" s="137"/>
      <c r="H93" s="78">
        <v>146.541026203266</v>
      </c>
      <c r="I93" s="78">
        <v>157.24940656393801</v>
      </c>
      <c r="J93" s="166">
        <f t="shared" si="142"/>
        <v>313.40617322350505</v>
      </c>
      <c r="K93" s="80">
        <v>206761.77800000002</v>
      </c>
      <c r="L93" s="82">
        <f t="shared" si="105"/>
        <v>87.540652640000005</v>
      </c>
      <c r="M93" s="152"/>
      <c r="N93" s="66"/>
      <c r="O93" s="162"/>
      <c r="P93" s="162"/>
      <c r="Q93" s="162"/>
      <c r="R93" s="162"/>
      <c r="S93" s="162"/>
      <c r="T93" s="162"/>
      <c r="U93" s="162"/>
      <c r="V93" s="162"/>
      <c r="W93" s="162"/>
      <c r="IH93" s="171"/>
      <c r="II93" s="171"/>
      <c r="IJ93" s="171"/>
      <c r="IK93" s="171"/>
      <c r="IL93" s="171"/>
      <c r="IM93" s="171"/>
    </row>
    <row r="94" spans="1:247" s="163" customFormat="1" ht="20.25" customHeight="1" x14ac:dyDescent="0.25">
      <c r="A94" s="75">
        <v>43873</v>
      </c>
      <c r="B94" s="144">
        <v>426.49527181953323</v>
      </c>
      <c r="C94" s="144">
        <f t="shared" ref="C94" si="173">0.997*B94</f>
        <v>425.21578600407463</v>
      </c>
      <c r="D94" s="165">
        <f t="shared" ref="D94" si="174">1.003*B94</f>
        <v>427.77475763499177</v>
      </c>
      <c r="E94" s="78">
        <f>10318.2/1800.553*100</f>
        <v>573.05727740310897</v>
      </c>
      <c r="F94" s="76"/>
      <c r="G94" s="137"/>
      <c r="H94" s="78">
        <v>147.07035880882199</v>
      </c>
      <c r="I94" s="78">
        <v>157.226873605316</v>
      </c>
      <c r="J94" s="166">
        <f t="shared" si="142"/>
        <v>314.10507318920975</v>
      </c>
      <c r="K94" s="80">
        <v>206761.77800000002</v>
      </c>
      <c r="L94" s="82">
        <f t="shared" si="105"/>
        <v>88.182920709999991</v>
      </c>
      <c r="M94" s="152"/>
      <c r="N94" s="66"/>
      <c r="O94" s="162"/>
      <c r="P94" s="162"/>
      <c r="Q94" s="162"/>
      <c r="R94" s="162"/>
      <c r="S94" s="162"/>
      <c r="T94" s="162"/>
      <c r="U94" s="162"/>
      <c r="V94" s="162"/>
      <c r="W94" s="162"/>
      <c r="IH94" s="171"/>
      <c r="II94" s="171"/>
      <c r="IJ94" s="171"/>
      <c r="IK94" s="171"/>
      <c r="IL94" s="171"/>
      <c r="IM94" s="171"/>
    </row>
    <row r="95" spans="1:247" s="163" customFormat="1" ht="20.25" customHeight="1" x14ac:dyDescent="0.25">
      <c r="A95" s="75">
        <v>43866</v>
      </c>
      <c r="B95" s="144">
        <v>430.23781400000001</v>
      </c>
      <c r="C95" s="144">
        <f t="shared" ref="C95" si="175">0.997*B95</f>
        <v>428.94710055799999</v>
      </c>
      <c r="D95" s="165">
        <f t="shared" ref="D95" si="176">1.003*B95</f>
        <v>431.52852744199998</v>
      </c>
      <c r="E95" s="78">
        <f>10186.41/1800.553*100</f>
        <v>565.73785942429902</v>
      </c>
      <c r="F95" s="76"/>
      <c r="G95" s="137"/>
      <c r="H95" s="78">
        <v>147.97316257471499</v>
      </c>
      <c r="I95" s="78">
        <v>157.204321176767</v>
      </c>
      <c r="J95" s="166">
        <f t="shared" si="142"/>
        <v>313.03501086788947</v>
      </c>
      <c r="K95" s="80">
        <v>206761.77800000002</v>
      </c>
      <c r="L95" s="82">
        <f t="shared" si="105"/>
        <v>88.956735385473308</v>
      </c>
      <c r="M95" s="152"/>
      <c r="N95" s="66"/>
      <c r="O95" s="162"/>
      <c r="P95" s="162"/>
      <c r="Q95" s="162"/>
      <c r="R95" s="162"/>
      <c r="S95" s="162"/>
      <c r="T95" s="162"/>
      <c r="U95" s="162"/>
      <c r="V95" s="162"/>
      <c r="W95" s="162"/>
      <c r="IH95" s="171"/>
      <c r="II95" s="171"/>
      <c r="IJ95" s="171"/>
      <c r="IK95" s="171"/>
      <c r="IL95" s="171"/>
      <c r="IM95" s="171"/>
    </row>
    <row r="96" spans="1:247" s="163" customFormat="1" ht="20.25" customHeight="1" x14ac:dyDescent="0.25">
      <c r="A96" s="75">
        <v>43859</v>
      </c>
      <c r="B96" s="144">
        <v>440.19515899999999</v>
      </c>
      <c r="C96" s="144">
        <f t="shared" ref="C96" si="177">0.997*B96</f>
        <v>438.87457352299998</v>
      </c>
      <c r="D96" s="165">
        <f t="shared" ref="D96" si="178">1.003*B96</f>
        <v>441.51574447699994</v>
      </c>
      <c r="E96" s="78">
        <f>10050.92/1800.553*100</f>
        <v>558.21294902177272</v>
      </c>
      <c r="F96" s="76"/>
      <c r="G96" s="137"/>
      <c r="H96" s="78">
        <v>147.951963474222</v>
      </c>
      <c r="I96" s="78">
        <v>157.18179959147099</v>
      </c>
      <c r="J96" s="166">
        <f t="shared" si="142"/>
        <v>310.91709929015576</v>
      </c>
      <c r="K96" s="80">
        <v>206761.77800000002</v>
      </c>
      <c r="L96" s="82">
        <f t="shared" si="105"/>
        <v>91.015533741832698</v>
      </c>
      <c r="M96" s="152"/>
      <c r="N96" s="66"/>
      <c r="O96" s="162"/>
      <c r="P96" s="162"/>
      <c r="Q96" s="162"/>
      <c r="R96" s="162"/>
      <c r="S96" s="162"/>
      <c r="T96" s="162"/>
      <c r="U96" s="162"/>
      <c r="V96" s="162"/>
      <c r="W96" s="162"/>
      <c r="IH96" s="171"/>
      <c r="II96" s="171"/>
      <c r="IJ96" s="171"/>
      <c r="IK96" s="171"/>
      <c r="IL96" s="171"/>
      <c r="IM96" s="171"/>
    </row>
    <row r="97" spans="1:247" s="163" customFormat="1" ht="20.25" customHeight="1" x14ac:dyDescent="0.25">
      <c r="A97" s="75">
        <v>43852</v>
      </c>
      <c r="B97" s="144">
        <v>444.35632281126931</v>
      </c>
      <c r="C97" s="144">
        <f t="shared" ref="C97" si="179">0.997*B97</f>
        <v>443.02325384283552</v>
      </c>
      <c r="D97" s="165">
        <f t="shared" ref="D97" si="180">1.003*B97</f>
        <v>445.68939177970304</v>
      </c>
      <c r="E97" s="78">
        <f>10205.19/1800.553*100</f>
        <v>566.78087232089251</v>
      </c>
      <c r="F97" s="76"/>
      <c r="G97" s="137"/>
      <c r="H97" s="78">
        <v>148.41029666453599</v>
      </c>
      <c r="I97" s="78">
        <v>157.15928123268699</v>
      </c>
      <c r="J97" s="166">
        <f t="shared" si="142"/>
        <v>313.77323622539313</v>
      </c>
      <c r="K97" s="80">
        <v>206761.77800000002</v>
      </c>
      <c r="L97" s="82">
        <f t="shared" si="105"/>
        <v>91.875903370000003</v>
      </c>
      <c r="M97" s="152"/>
      <c r="N97" s="66"/>
      <c r="O97" s="162"/>
      <c r="P97" s="162"/>
      <c r="Q97" s="162"/>
      <c r="R97" s="162"/>
      <c r="S97" s="162"/>
      <c r="T97" s="162"/>
      <c r="U97" s="162"/>
      <c r="V97" s="162"/>
      <c r="W97" s="162"/>
      <c r="IH97" s="171"/>
      <c r="II97" s="171"/>
      <c r="IJ97" s="171"/>
      <c r="IK97" s="171"/>
      <c r="IL97" s="171"/>
      <c r="IM97" s="171"/>
    </row>
    <row r="98" spans="1:247" s="163" customFormat="1" ht="20.25" customHeight="1" x14ac:dyDescent="0.25">
      <c r="A98" s="75">
        <v>43845</v>
      </c>
      <c r="B98" s="144">
        <v>451.70769999999999</v>
      </c>
      <c r="C98" s="144">
        <f t="shared" ref="C98" si="181">0.997*B98</f>
        <v>450.35257689999997</v>
      </c>
      <c r="D98" s="165">
        <f t="shared" ref="D98" si="182">1.003*B98</f>
        <v>453.06282309999995</v>
      </c>
      <c r="E98" s="78">
        <f>10126.9/1800.553*100</f>
        <v>562.43276371203729</v>
      </c>
      <c r="F98" s="76"/>
      <c r="G98" s="137"/>
      <c r="H98" s="78">
        <v>148.53110000000001</v>
      </c>
      <c r="I98" s="78">
        <v>157.13669999999999</v>
      </c>
      <c r="J98" s="166">
        <f t="shared" si="142"/>
        <v>312.69170210600817</v>
      </c>
      <c r="K98" s="80">
        <v>209340.6863</v>
      </c>
      <c r="L98" s="82">
        <f t="shared" si="105"/>
        <v>94.560799924994512</v>
      </c>
      <c r="M98" s="152"/>
      <c r="N98" s="66"/>
      <c r="O98" s="162"/>
      <c r="P98" s="162"/>
      <c r="Q98" s="162"/>
      <c r="R98" s="162"/>
      <c r="S98" s="162"/>
      <c r="T98" s="162"/>
      <c r="U98" s="162"/>
      <c r="V98" s="162"/>
      <c r="W98" s="162"/>
      <c r="IH98" s="171"/>
      <c r="II98" s="171"/>
      <c r="IJ98" s="171"/>
      <c r="IK98" s="171"/>
      <c r="IL98" s="171"/>
      <c r="IM98" s="171"/>
    </row>
    <row r="99" spans="1:247" s="163" customFormat="1" ht="20.25" customHeight="1" x14ac:dyDescent="0.25">
      <c r="A99" s="75">
        <v>43838</v>
      </c>
      <c r="B99" s="144">
        <v>456.3876624464005</v>
      </c>
      <c r="C99" s="144">
        <f t="shared" ref="C99" si="183">0.997*B99</f>
        <v>455.01849945906127</v>
      </c>
      <c r="D99" s="165">
        <f t="shared" ref="D99" si="184">1.003*B99</f>
        <v>457.75682543373966</v>
      </c>
      <c r="E99" s="78">
        <f>10017.77/1800.553*100</f>
        <v>556.37184798225871</v>
      </c>
      <c r="F99" s="76"/>
      <c r="G99" s="137"/>
      <c r="H99" s="78">
        <v>148.408024255046</v>
      </c>
      <c r="I99" s="78">
        <v>157.11389455137501</v>
      </c>
      <c r="J99" s="166">
        <f t="shared" si="142"/>
        <v>310.86954824806639</v>
      </c>
      <c r="K99" s="80">
        <v>209343.51200000002</v>
      </c>
      <c r="L99" s="82">
        <f t="shared" si="105"/>
        <v>95.541796090000005</v>
      </c>
      <c r="M99" s="152"/>
      <c r="N99" s="66"/>
      <c r="O99" s="162"/>
      <c r="P99" s="162"/>
      <c r="Q99" s="162"/>
      <c r="R99" s="162"/>
      <c r="S99" s="162"/>
      <c r="T99" s="162"/>
      <c r="U99" s="162"/>
      <c r="V99" s="162"/>
      <c r="W99" s="162"/>
      <c r="IH99" s="171"/>
      <c r="II99" s="171"/>
      <c r="IJ99" s="171"/>
      <c r="IK99" s="171"/>
      <c r="IL99" s="171"/>
      <c r="IM99" s="171"/>
    </row>
    <row r="100" spans="1:247" s="163" customFormat="1" ht="20.25" customHeight="1" x14ac:dyDescent="0.25">
      <c r="A100" s="75">
        <v>43830</v>
      </c>
      <c r="B100" s="144">
        <v>463.03121299999998</v>
      </c>
      <c r="C100" s="144">
        <f t="shared" ref="C100" si="185">0.997*B100</f>
        <v>461.64211936099997</v>
      </c>
      <c r="D100" s="165">
        <f t="shared" ref="D100" si="186">1.003*B100</f>
        <v>464.42030663899993</v>
      </c>
      <c r="E100" s="78">
        <f>9979.034/1800.553*100</f>
        <v>554.22050892142579</v>
      </c>
      <c r="F100" s="76"/>
      <c r="G100" s="137"/>
      <c r="H100" s="78">
        <v>149.12370000000001</v>
      </c>
      <c r="I100" s="78">
        <v>157.08779999999999</v>
      </c>
      <c r="J100" s="166">
        <f t="shared" si="142"/>
        <v>311.01222046341718</v>
      </c>
      <c r="K100" s="80">
        <v>209343.51199999999</v>
      </c>
      <c r="L100" s="82">
        <f t="shared" si="105"/>
        <v>96.93258029504004</v>
      </c>
      <c r="M100" s="152"/>
      <c r="N100" s="66"/>
      <c r="O100" s="162"/>
      <c r="P100" s="162"/>
      <c r="Q100" s="162"/>
      <c r="R100" s="162"/>
      <c r="S100" s="162"/>
      <c r="T100" s="162"/>
      <c r="U100" s="162"/>
      <c r="V100" s="162"/>
      <c r="W100" s="162"/>
      <c r="IH100" s="170"/>
      <c r="II100" s="170"/>
      <c r="IJ100" s="170"/>
      <c r="IK100" s="170"/>
      <c r="IL100" s="170"/>
      <c r="IM100" s="170"/>
    </row>
    <row r="101" spans="1:247" s="163" customFormat="1" ht="20.25" customHeight="1" x14ac:dyDescent="0.25">
      <c r="A101" s="75">
        <v>43824</v>
      </c>
      <c r="B101" s="144">
        <v>457.006665</v>
      </c>
      <c r="C101" s="144">
        <f t="shared" ref="C101" si="187">0.997*B101</f>
        <v>455.63564500500001</v>
      </c>
      <c r="D101" s="165">
        <f t="shared" ref="D101" si="188">1.003*B101</f>
        <v>458.37768499499992</v>
      </c>
      <c r="E101" s="78">
        <f>9946.775/1800.553*100</f>
        <v>552.42889267908242</v>
      </c>
      <c r="F101" s="76"/>
      <c r="G101" s="137"/>
      <c r="H101" s="78">
        <v>148.04047</v>
      </c>
      <c r="I101" s="78">
        <v>157.06809999999999</v>
      </c>
      <c r="J101" s="166">
        <f t="shared" si="142"/>
        <v>309.37865745034753</v>
      </c>
      <c r="K101" s="80">
        <v>209343.51</v>
      </c>
      <c r="L101" s="82">
        <f t="shared" si="105"/>
        <v>95.671379344494156</v>
      </c>
      <c r="M101" s="152"/>
      <c r="N101" s="66"/>
      <c r="O101" s="162"/>
      <c r="P101" s="162"/>
      <c r="Q101" s="162"/>
      <c r="R101" s="162"/>
      <c r="S101" s="162"/>
      <c r="T101" s="162"/>
      <c r="U101" s="162"/>
      <c r="V101" s="162"/>
      <c r="W101" s="162"/>
      <c r="IH101" s="170"/>
      <c r="II101" s="170"/>
      <c r="IJ101" s="170"/>
      <c r="IK101" s="170"/>
      <c r="IL101" s="170"/>
      <c r="IM101" s="170"/>
    </row>
    <row r="102" spans="1:247" s="163" customFormat="1" ht="20.25" customHeight="1" x14ac:dyDescent="0.25">
      <c r="A102" s="75">
        <v>43817</v>
      </c>
      <c r="B102" s="144">
        <v>457.75051719967121</v>
      </c>
      <c r="C102" s="144">
        <f t="shared" ref="C102" si="189">0.997*B102</f>
        <v>456.37726564807218</v>
      </c>
      <c r="D102" s="165">
        <f t="shared" ref="D102" si="190">1.003*B102</f>
        <v>459.12376875127018</v>
      </c>
      <c r="E102" s="78">
        <f xml:space="preserve"> 9866.404/1800.553*100</f>
        <v>547.96520846651003</v>
      </c>
      <c r="F102" s="76"/>
      <c r="G102" s="137"/>
      <c r="H102" s="78">
        <v>148.15515723288601</v>
      </c>
      <c r="I102" s="78">
        <v>157.04509607329601</v>
      </c>
      <c r="J102" s="166">
        <f t="shared" si="142"/>
        <v>308.24250269241611</v>
      </c>
      <c r="K102" s="80">
        <v>209966</v>
      </c>
      <c r="L102" s="82">
        <f t="shared" si="105"/>
        <v>96.112045094346172</v>
      </c>
      <c r="M102" s="152"/>
      <c r="N102" s="66"/>
      <c r="O102" s="162"/>
      <c r="P102" s="162"/>
      <c r="Q102" s="162"/>
      <c r="R102" s="162"/>
      <c r="S102" s="162"/>
      <c r="T102" s="162"/>
      <c r="U102" s="162"/>
      <c r="V102" s="162"/>
      <c r="W102" s="162"/>
      <c r="IH102" s="170"/>
      <c r="II102" s="170"/>
      <c r="IJ102" s="170"/>
      <c r="IK102" s="170"/>
      <c r="IL102" s="170"/>
      <c r="IM102" s="170"/>
    </row>
    <row r="103" spans="1:247" s="163" customFormat="1" ht="20.25" customHeight="1" x14ac:dyDescent="0.25">
      <c r="A103" s="75">
        <v>43810</v>
      </c>
      <c r="B103" s="144">
        <v>454.21553570059274</v>
      </c>
      <c r="C103" s="144">
        <f t="shared" ref="C103" si="191">0.997*B103</f>
        <v>452.85288909349094</v>
      </c>
      <c r="D103" s="165">
        <f t="shared" ref="D103" si="192">1.003*B103</f>
        <v>455.57818230769448</v>
      </c>
      <c r="E103" s="78">
        <f xml:space="preserve"> 9701.467/1800.553*100</f>
        <v>538.80485606366483</v>
      </c>
      <c r="F103" s="76"/>
      <c r="G103" s="137"/>
      <c r="H103" s="78">
        <v>148.40521030960701</v>
      </c>
      <c r="I103" s="78">
        <v>157.02213984513801</v>
      </c>
      <c r="J103" s="166">
        <f t="shared" si="142"/>
        <v>305.89987425600873</v>
      </c>
      <c r="K103" s="80">
        <v>210216.8628</v>
      </c>
      <c r="L103" s="82">
        <f t="shared" si="105"/>
        <v>95.483764950000008</v>
      </c>
      <c r="M103" s="152"/>
      <c r="N103" s="66"/>
      <c r="O103" s="162"/>
      <c r="P103" s="162"/>
      <c r="Q103" s="162"/>
      <c r="R103" s="162"/>
      <c r="S103" s="162"/>
      <c r="T103" s="162"/>
      <c r="U103" s="162"/>
      <c r="V103" s="162"/>
      <c r="W103" s="162"/>
      <c r="IH103" s="170"/>
      <c r="II103" s="170"/>
      <c r="IJ103" s="170"/>
      <c r="IK103" s="170"/>
      <c r="IL103" s="170"/>
      <c r="IM103" s="170"/>
    </row>
    <row r="104" spans="1:247" s="163" customFormat="1" ht="20.25" customHeight="1" x14ac:dyDescent="0.25">
      <c r="A104" s="75">
        <v>43803</v>
      </c>
      <c r="B104" s="144">
        <v>448.76878718229545</v>
      </c>
      <c r="C104" s="144">
        <f t="shared" ref="C104:C110" si="193">0.997*B104</f>
        <v>447.42248082074855</v>
      </c>
      <c r="D104" s="165">
        <f t="shared" ref="D104" si="194">1.003*B104</f>
        <v>450.11509354384231</v>
      </c>
      <c r="E104" s="78">
        <f xml:space="preserve"> 9615.661/1800.553*100</f>
        <v>534.03932014220072</v>
      </c>
      <c r="F104" s="76"/>
      <c r="G104" s="137"/>
      <c r="H104" s="78">
        <v>147.93680000000001</v>
      </c>
      <c r="I104" s="78">
        <v>156.99940000000001</v>
      </c>
      <c r="J104" s="166">
        <f t="shared" si="142"/>
        <v>304.06184259649717</v>
      </c>
      <c r="K104" s="80">
        <v>210704.5478</v>
      </c>
      <c r="L104" s="82">
        <f t="shared" si="105"/>
        <v>94.557624369999999</v>
      </c>
      <c r="M104" s="152"/>
      <c r="N104" s="66"/>
      <c r="O104" s="162"/>
      <c r="P104" s="162"/>
      <c r="Q104" s="162"/>
      <c r="R104" s="162"/>
      <c r="S104" s="162"/>
      <c r="T104" s="162"/>
      <c r="U104" s="162"/>
      <c r="V104" s="162"/>
      <c r="W104" s="162"/>
      <c r="IH104" s="170"/>
      <c r="II104" s="170"/>
      <c r="IJ104" s="170"/>
      <c r="IK104" s="170"/>
      <c r="IL104" s="170"/>
      <c r="IM104" s="170"/>
    </row>
    <row r="105" spans="1:247" s="163" customFormat="1" ht="20.25" customHeight="1" x14ac:dyDescent="0.25">
      <c r="A105" s="75">
        <v>43796</v>
      </c>
      <c r="B105" s="144">
        <v>448.96628500000003</v>
      </c>
      <c r="C105" s="144">
        <f t="shared" si="193"/>
        <v>447.61938614500002</v>
      </c>
      <c r="D105" s="165">
        <f t="shared" ref="D105" si="195">1.003*B105</f>
        <v>450.31318385499998</v>
      </c>
      <c r="E105" s="78">
        <f>9727.102/1800.553*100</f>
        <v>540.22858532906287</v>
      </c>
      <c r="F105" s="76"/>
      <c r="G105" s="137"/>
      <c r="H105" s="78">
        <v>147.26908274274999</v>
      </c>
      <c r="I105" s="78">
        <v>156.97701546949099</v>
      </c>
      <c r="J105" s="166">
        <f t="shared" si="142"/>
        <v>305.11797148533918</v>
      </c>
      <c r="K105" s="80">
        <v>224650.0656</v>
      </c>
      <c r="L105" s="82">
        <f t="shared" si="105"/>
        <v>100.86030537743831</v>
      </c>
      <c r="M105" s="152"/>
      <c r="N105" s="66"/>
      <c r="O105" s="162"/>
      <c r="P105" s="162"/>
      <c r="Q105" s="162"/>
      <c r="R105" s="162"/>
      <c r="S105" s="162"/>
      <c r="T105" s="162"/>
      <c r="U105" s="162"/>
      <c r="V105" s="162"/>
      <c r="W105" s="162"/>
      <c r="IH105" s="170"/>
      <c r="II105" s="170"/>
      <c r="IJ105" s="170"/>
      <c r="IK105" s="170"/>
      <c r="IL105" s="170"/>
      <c r="IM105" s="170"/>
    </row>
    <row r="106" spans="1:247" s="163" customFormat="1" ht="20.25" customHeight="1" x14ac:dyDescent="0.25">
      <c r="A106" s="75">
        <v>43789</v>
      </c>
      <c r="B106" s="144">
        <v>447.834295</v>
      </c>
      <c r="C106" s="144">
        <f t="shared" si="193"/>
        <v>446.49079211499998</v>
      </c>
      <c r="D106" s="165">
        <f t="shared" ref="D106" si="196">1.003*B106</f>
        <v>449.17779788499996</v>
      </c>
      <c r="E106" s="78">
        <f>9607.063/1800.553*100</f>
        <v>533.56180018027794</v>
      </c>
      <c r="F106" s="76"/>
      <c r="G106" s="137"/>
      <c r="H106" s="78">
        <v>147.679825342394</v>
      </c>
      <c r="I106" s="78">
        <v>156.953608990682</v>
      </c>
      <c r="J106" s="166">
        <f t="shared" si="142"/>
        <v>303.64324231343676</v>
      </c>
      <c r="K106" s="80">
        <v>225150.4963</v>
      </c>
      <c r="L106" s="82">
        <f t="shared" si="105"/>
        <v>100.8301137794106</v>
      </c>
      <c r="M106" s="152"/>
      <c r="N106" s="66"/>
      <c r="O106" s="162"/>
      <c r="P106" s="162"/>
      <c r="Q106" s="162"/>
      <c r="R106" s="162"/>
      <c r="S106" s="162"/>
      <c r="T106" s="162"/>
      <c r="U106" s="162"/>
      <c r="V106" s="162"/>
      <c r="W106" s="162"/>
      <c r="IH106" s="170"/>
      <c r="II106" s="170"/>
      <c r="IJ106" s="170"/>
      <c r="IK106" s="170"/>
      <c r="IL106" s="170"/>
      <c r="IM106" s="170"/>
    </row>
    <row r="107" spans="1:247" s="163" customFormat="1" ht="20.25" customHeight="1" x14ac:dyDescent="0.25">
      <c r="A107" s="75">
        <v>43782</v>
      </c>
      <c r="B107" s="144">
        <v>448.07311800000002</v>
      </c>
      <c r="C107" s="144">
        <f t="shared" si="193"/>
        <v>446.728898646</v>
      </c>
      <c r="D107" s="165">
        <f t="shared" ref="D107" si="197">1.003*B107</f>
        <v>449.41733735399998</v>
      </c>
      <c r="E107" s="78">
        <f>9572.744/1800.553*100</f>
        <v>531.65577464256819</v>
      </c>
      <c r="F107" s="76"/>
      <c r="G107" s="137"/>
      <c r="H107" s="78">
        <v>147.40219999999999</v>
      </c>
      <c r="I107" s="78">
        <v>156.9306</v>
      </c>
      <c r="J107" s="166">
        <f t="shared" si="142"/>
        <v>302.81526528434404</v>
      </c>
      <c r="K107" s="80">
        <v>225409.7935</v>
      </c>
      <c r="L107" s="82">
        <f t="shared" si="105"/>
        <v>101.00006900128115</v>
      </c>
      <c r="M107" s="152"/>
      <c r="N107" s="66"/>
      <c r="O107" s="162"/>
      <c r="P107" s="162"/>
      <c r="Q107" s="162"/>
      <c r="R107" s="162"/>
      <c r="S107" s="162"/>
      <c r="T107" s="162"/>
      <c r="U107" s="162"/>
      <c r="V107" s="162"/>
      <c r="W107" s="162"/>
      <c r="IH107" s="170"/>
      <c r="II107" s="170"/>
      <c r="IJ107" s="170"/>
      <c r="IK107" s="170"/>
      <c r="IL107" s="170"/>
      <c r="IM107" s="170"/>
    </row>
    <row r="108" spans="1:247" s="163" customFormat="1" ht="20.25" customHeight="1" x14ac:dyDescent="0.25">
      <c r="A108" s="75">
        <v>43775</v>
      </c>
      <c r="B108" s="144">
        <v>447.87401162684296</v>
      </c>
      <c r="C108" s="144">
        <f t="shared" si="193"/>
        <v>446.53038959196243</v>
      </c>
      <c r="D108" s="165">
        <f t="shared" ref="D108" si="198">1.003*B108</f>
        <v>449.21763366172343</v>
      </c>
      <c r="E108" s="78">
        <f>9537.159/1800.553*100</f>
        <v>529.67943737285145</v>
      </c>
      <c r="F108" s="76"/>
      <c r="G108" s="137"/>
      <c r="H108" s="78">
        <v>147.574204273042</v>
      </c>
      <c r="I108" s="78">
        <v>156.907442548852</v>
      </c>
      <c r="J108" s="166">
        <f t="shared" si="142"/>
        <v>302.42730387244296</v>
      </c>
      <c r="K108" s="80">
        <v>229774.70439999999</v>
      </c>
      <c r="L108" s="82">
        <f t="shared" si="105"/>
        <v>102.91011863</v>
      </c>
      <c r="M108" s="152"/>
      <c r="N108" s="66"/>
      <c r="O108" s="162"/>
      <c r="P108" s="162"/>
      <c r="Q108" s="162"/>
      <c r="R108" s="162"/>
      <c r="S108" s="162"/>
      <c r="T108" s="162"/>
      <c r="U108" s="162"/>
      <c r="V108" s="162"/>
      <c r="W108" s="162"/>
      <c r="IH108" s="170"/>
      <c r="II108" s="170"/>
      <c r="IJ108" s="170"/>
      <c r="IK108" s="170"/>
      <c r="IL108" s="170"/>
      <c r="IM108" s="170"/>
    </row>
    <row r="109" spans="1:247" s="163" customFormat="1" ht="20.25" customHeight="1" x14ac:dyDescent="0.25">
      <c r="A109" s="75">
        <v>43768</v>
      </c>
      <c r="B109" s="144">
        <v>445.879279</v>
      </c>
      <c r="C109" s="144">
        <f t="shared" si="193"/>
        <v>444.54164116300001</v>
      </c>
      <c r="D109" s="165">
        <f t="shared" ref="D109" si="199">1.003*B109</f>
        <v>447.21691683699993</v>
      </c>
      <c r="E109" s="78">
        <f>9433.296/1800.553*100</f>
        <v>523.91104288515805</v>
      </c>
      <c r="F109" s="76"/>
      <c r="G109" s="137"/>
      <c r="H109" s="78">
        <v>147.8672</v>
      </c>
      <c r="I109" s="78">
        <v>156.88460000000001</v>
      </c>
      <c r="J109" s="166">
        <f t="shared" si="142"/>
        <v>301.06816524643961</v>
      </c>
      <c r="K109" s="80">
        <v>229815.8781</v>
      </c>
      <c r="L109" s="82">
        <f t="shared" si="105"/>
        <v>102.47013802997988</v>
      </c>
      <c r="M109" s="152"/>
      <c r="N109" s="66"/>
      <c r="O109" s="162"/>
      <c r="P109" s="162"/>
      <c r="Q109" s="162"/>
      <c r="R109" s="162"/>
      <c r="S109" s="162"/>
      <c r="T109" s="162"/>
      <c r="U109" s="162"/>
      <c r="V109" s="162"/>
      <c r="W109" s="162"/>
      <c r="IH109" s="170"/>
      <c r="II109" s="170"/>
      <c r="IJ109" s="170"/>
      <c r="IK109" s="170"/>
      <c r="IL109" s="170"/>
      <c r="IM109" s="170"/>
    </row>
    <row r="110" spans="1:247" s="163" customFormat="1" ht="20.25" customHeight="1" x14ac:dyDescent="0.25">
      <c r="A110" s="75">
        <v>43761</v>
      </c>
      <c r="B110" s="144">
        <v>446.39777585498348</v>
      </c>
      <c r="C110" s="144">
        <f t="shared" si="193"/>
        <v>445.05858252741854</v>
      </c>
      <c r="D110" s="165">
        <f t="shared" ref="D110" si="200">1.003*B110</f>
        <v>447.73696918254836</v>
      </c>
      <c r="E110" s="78">
        <f>9309.434/1800.553*100</f>
        <v>517.03193407803042</v>
      </c>
      <c r="F110" s="76"/>
      <c r="G110" s="137"/>
      <c r="H110" s="78">
        <v>147.81134931643999</v>
      </c>
      <c r="I110" s="78">
        <v>156.86113324257599</v>
      </c>
      <c r="J110" s="166">
        <f t="shared" si="142"/>
        <v>299.02242589035751</v>
      </c>
      <c r="K110" s="80">
        <v>229815.8781</v>
      </c>
      <c r="L110" s="82">
        <f t="shared" si="105"/>
        <v>102.58929684</v>
      </c>
      <c r="M110" s="152"/>
      <c r="N110" s="66"/>
      <c r="O110" s="162"/>
      <c r="P110" s="162"/>
      <c r="Q110" s="162"/>
      <c r="R110" s="162"/>
      <c r="S110" s="162"/>
      <c r="T110" s="162"/>
      <c r="U110" s="162"/>
      <c r="V110" s="162"/>
      <c r="W110" s="162"/>
      <c r="IH110" s="170"/>
      <c r="II110" s="170"/>
      <c r="IJ110" s="170"/>
      <c r="IK110" s="170"/>
      <c r="IL110" s="170"/>
      <c r="IM110" s="170"/>
    </row>
    <row r="111" spans="1:247" s="163" customFormat="1" ht="20.25" customHeight="1" x14ac:dyDescent="0.25">
      <c r="A111" s="75">
        <v>43754</v>
      </c>
      <c r="B111" s="144">
        <v>440.88682008260247</v>
      </c>
      <c r="C111" s="144">
        <f t="shared" ref="C111" si="201">0.997*B111</f>
        <v>439.56415962235468</v>
      </c>
      <c r="D111" s="165">
        <f t="shared" ref="D111" si="202">1.003*B111</f>
        <v>442.2094805428502</v>
      </c>
      <c r="E111" s="78">
        <f xml:space="preserve"> 9253.354/1800.553*100</f>
        <v>513.91733539640313</v>
      </c>
      <c r="F111" s="76"/>
      <c r="G111" s="137"/>
      <c r="H111" s="78">
        <v>147.32589612831299</v>
      </c>
      <c r="I111" s="78">
        <v>156.83736730677401</v>
      </c>
      <c r="J111" s="166">
        <f t="shared" si="142"/>
        <v>297.6301710787684</v>
      </c>
      <c r="K111" s="80">
        <v>229815.8781</v>
      </c>
      <c r="L111" s="82">
        <f t="shared" si="105"/>
        <v>101.3227917</v>
      </c>
      <c r="M111" s="152"/>
      <c r="N111" s="66"/>
      <c r="O111" s="162"/>
      <c r="P111" s="162"/>
      <c r="Q111" s="162"/>
      <c r="R111" s="162"/>
      <c r="S111" s="162"/>
      <c r="T111" s="162"/>
      <c r="U111" s="162"/>
      <c r="V111" s="162"/>
      <c r="W111" s="162"/>
      <c r="IH111" s="169"/>
      <c r="II111" s="169"/>
      <c r="IJ111" s="169"/>
      <c r="IK111" s="169"/>
      <c r="IL111" s="169"/>
      <c r="IM111" s="169"/>
    </row>
    <row r="112" spans="1:247" s="163" customFormat="1" ht="20.25" customHeight="1" x14ac:dyDescent="0.25">
      <c r="A112" s="75">
        <v>43747</v>
      </c>
      <c r="B112" s="144">
        <v>430.72688668863185</v>
      </c>
      <c r="C112" s="144">
        <f t="shared" ref="C112" si="203">0.997*B112</f>
        <v>429.43470602856593</v>
      </c>
      <c r="D112" s="165">
        <f t="shared" ref="D112" si="204">1.003*B112</f>
        <v>432.01906734869772</v>
      </c>
      <c r="E112" s="78">
        <f xml:space="preserve"> 9007.963/1800.553*100</f>
        <v>500.28868908607518</v>
      </c>
      <c r="F112" s="76"/>
      <c r="G112" s="137"/>
      <c r="H112" s="78">
        <v>146.27850000000001</v>
      </c>
      <c r="I112" s="78">
        <v>156.81829999999999</v>
      </c>
      <c r="J112" s="166">
        <f t="shared" si="142"/>
        <v>292.59722788336921</v>
      </c>
      <c r="K112" s="80">
        <v>231715</v>
      </c>
      <c r="L112" s="82">
        <f t="shared" si="105"/>
        <v>99.80588054905634</v>
      </c>
      <c r="M112" s="152"/>
      <c r="N112" s="66"/>
      <c r="O112" s="162"/>
      <c r="P112" s="162"/>
      <c r="Q112" s="162"/>
      <c r="R112" s="162"/>
      <c r="S112" s="162"/>
      <c r="T112" s="162"/>
      <c r="U112" s="162"/>
      <c r="V112" s="162"/>
      <c r="W112" s="162"/>
      <c r="IH112" s="169"/>
      <c r="II112" s="169"/>
      <c r="IJ112" s="169"/>
      <c r="IK112" s="169"/>
      <c r="IL112" s="169"/>
      <c r="IM112" s="169"/>
    </row>
    <row r="113" spans="1:247" s="163" customFormat="1" ht="20.25" customHeight="1" x14ac:dyDescent="0.25">
      <c r="A113" s="75">
        <v>43740</v>
      </c>
      <c r="B113" s="144">
        <v>436.69528760592561</v>
      </c>
      <c r="C113" s="144">
        <f t="shared" ref="C113" si="205">0.997*B113</f>
        <v>435.38520174310781</v>
      </c>
      <c r="D113" s="165">
        <f t="shared" ref="D113" si="206">1.003*B113</f>
        <v>438.00537346874336</v>
      </c>
      <c r="E113" s="78">
        <f xml:space="preserve"> 8935.837/1800.553*100</f>
        <v>496.28291974743314</v>
      </c>
      <c r="F113" s="76"/>
      <c r="G113" s="137"/>
      <c r="H113" s="78">
        <v>146.331687296203</v>
      </c>
      <c r="I113" s="78">
        <v>156.79015993277201</v>
      </c>
      <c r="J113" s="166">
        <f t="shared" si="142"/>
        <v>291.47387691935921</v>
      </c>
      <c r="K113" s="80">
        <v>254778.31460000001</v>
      </c>
      <c r="L113" s="82">
        <f t="shared" si="105"/>
        <v>111.26048937</v>
      </c>
      <c r="M113" s="152"/>
      <c r="N113" s="66"/>
      <c r="O113" s="162"/>
      <c r="P113" s="162"/>
      <c r="Q113" s="162"/>
      <c r="R113" s="162"/>
      <c r="S113" s="162"/>
      <c r="T113" s="162"/>
      <c r="U113" s="162"/>
      <c r="V113" s="162"/>
      <c r="W113" s="162"/>
      <c r="IH113" s="169"/>
      <c r="II113" s="169"/>
      <c r="IJ113" s="169"/>
      <c r="IK113" s="169"/>
      <c r="IL113" s="169"/>
      <c r="IM113" s="169"/>
    </row>
    <row r="114" spans="1:247" s="163" customFormat="1" ht="20.25" customHeight="1" x14ac:dyDescent="0.25">
      <c r="A114" s="75">
        <v>43733</v>
      </c>
      <c r="B114" s="144">
        <v>436.92342010213201</v>
      </c>
      <c r="C114" s="144">
        <f t="shared" ref="C114:C120" si="207">0.997*B114</f>
        <v>435.6126498418256</v>
      </c>
      <c r="D114" s="165">
        <f t="shared" ref="D114" si="208">1.003*B114</f>
        <v>438.23419036243837</v>
      </c>
      <c r="E114" s="78">
        <f xml:space="preserve"> 9190.969/1800.553*100</f>
        <v>510.45256651706438</v>
      </c>
      <c r="F114" s="76"/>
      <c r="G114" s="137"/>
      <c r="H114" s="78">
        <v>146.371693287998</v>
      </c>
      <c r="I114" s="78">
        <v>156.765674530269</v>
      </c>
      <c r="J114" s="166">
        <f t="shared" si="142"/>
        <v>295.61729414590047</v>
      </c>
      <c r="K114" s="80">
        <v>255542.7605</v>
      </c>
      <c r="L114" s="82">
        <f t="shared" si="105"/>
        <v>111.65261690000001</v>
      </c>
      <c r="M114" s="152"/>
      <c r="N114" s="66"/>
      <c r="O114" s="162"/>
      <c r="P114" s="162"/>
      <c r="Q114" s="162"/>
      <c r="R114" s="162"/>
      <c r="S114" s="162"/>
      <c r="T114" s="162"/>
      <c r="U114" s="162"/>
      <c r="V114" s="162"/>
      <c r="W114" s="162"/>
      <c r="IH114" s="169"/>
      <c r="II114" s="169"/>
      <c r="IJ114" s="169"/>
      <c r="IK114" s="169"/>
      <c r="IL114" s="169"/>
      <c r="IM114" s="169"/>
    </row>
    <row r="115" spans="1:247" s="163" customFormat="1" ht="20.25" customHeight="1" x14ac:dyDescent="0.25">
      <c r="A115" s="75">
        <v>43726</v>
      </c>
      <c r="B115" s="144">
        <v>439.95337499999999</v>
      </c>
      <c r="C115" s="144">
        <f t="shared" si="207"/>
        <v>438.633514875</v>
      </c>
      <c r="D115" s="165">
        <f t="shared" ref="D115" si="209">1.003*B115</f>
        <v>441.27323512499993</v>
      </c>
      <c r="E115" s="78">
        <f xml:space="preserve"> 9258.701/1800.553*100</f>
        <v>514.21429971791997</v>
      </c>
      <c r="F115" s="76"/>
      <c r="G115" s="137"/>
      <c r="H115" s="78">
        <v>146.65314874008399</v>
      </c>
      <c r="I115" s="78">
        <v>156.73945277131099</v>
      </c>
      <c r="J115" s="166">
        <f t="shared" si="142"/>
        <v>296.98859270178991</v>
      </c>
      <c r="K115" s="80">
        <v>256082.92939999999</v>
      </c>
      <c r="L115" s="82">
        <f t="shared" si="105"/>
        <v>112.66454906941672</v>
      </c>
      <c r="M115" s="152"/>
      <c r="N115" s="66"/>
      <c r="O115" s="162"/>
      <c r="P115" s="162"/>
      <c r="Q115" s="162"/>
      <c r="R115" s="162"/>
      <c r="S115" s="162"/>
      <c r="T115" s="162"/>
      <c r="U115" s="162"/>
      <c r="V115" s="162"/>
      <c r="W115" s="162"/>
      <c r="IH115" s="169"/>
      <c r="II115" s="169"/>
      <c r="IJ115" s="169"/>
      <c r="IK115" s="169"/>
      <c r="IL115" s="169"/>
      <c r="IM115" s="169"/>
    </row>
    <row r="116" spans="1:247" s="163" customFormat="1" ht="20.25" customHeight="1" x14ac:dyDescent="0.25">
      <c r="A116" s="75">
        <v>43719</v>
      </c>
      <c r="B116" s="144">
        <v>439.49517400000002</v>
      </c>
      <c r="C116" s="144">
        <f t="shared" si="207"/>
        <v>438.17668847800002</v>
      </c>
      <c r="D116" s="165">
        <f t="shared" ref="D116" si="210">1.003*B116</f>
        <v>440.81365952199997</v>
      </c>
      <c r="E116" s="78">
        <f xml:space="preserve"> 9227.576/1800.553*100</f>
        <v>512.48566412652099</v>
      </c>
      <c r="F116" s="76"/>
      <c r="G116" s="137"/>
      <c r="H116" s="78">
        <v>146.53279149623799</v>
      </c>
      <c r="I116" s="78">
        <v>156.71318903192699</v>
      </c>
      <c r="J116" s="166">
        <f t="shared" si="142"/>
        <v>296.36705036769439</v>
      </c>
      <c r="K116" s="80">
        <v>256304.00089999998</v>
      </c>
      <c r="L116" s="82">
        <f t="shared" si="105"/>
        <v>112.64437147244166</v>
      </c>
      <c r="M116" s="152"/>
      <c r="N116" s="66"/>
      <c r="O116" s="162"/>
      <c r="P116" s="162"/>
      <c r="Q116" s="162"/>
      <c r="R116" s="162"/>
      <c r="S116" s="162"/>
      <c r="T116" s="162"/>
      <c r="U116" s="162"/>
      <c r="V116" s="162"/>
      <c r="W116" s="162"/>
      <c r="IH116" s="169"/>
      <c r="II116" s="169"/>
      <c r="IJ116" s="169"/>
      <c r="IK116" s="169"/>
      <c r="IL116" s="169"/>
      <c r="IM116" s="169"/>
    </row>
    <row r="117" spans="1:247" s="163" customFormat="1" ht="20.25" customHeight="1" x14ac:dyDescent="0.25">
      <c r="A117" s="75">
        <v>43712</v>
      </c>
      <c r="B117" s="144">
        <v>432.01016707187893</v>
      </c>
      <c r="C117" s="144">
        <f t="shared" si="207"/>
        <v>430.7141365706633</v>
      </c>
      <c r="D117" s="165">
        <f t="shared" ref="D117" si="211">1.003*B117</f>
        <v>433.30619757309449</v>
      </c>
      <c r="E117" s="78">
        <f xml:space="preserve"> 9035.518/1800.553*100</f>
        <v>501.81905225783413</v>
      </c>
      <c r="F117" s="76"/>
      <c r="G117" s="137"/>
      <c r="H117" s="78">
        <v>146.6721</v>
      </c>
      <c r="I117" s="78">
        <v>156.6876</v>
      </c>
      <c r="J117" s="166">
        <f t="shared" si="142"/>
        <v>293.38826507473664</v>
      </c>
      <c r="K117" s="80">
        <v>256304</v>
      </c>
      <c r="L117" s="82">
        <f t="shared" si="105"/>
        <v>110.72593386119085</v>
      </c>
      <c r="M117" s="152"/>
      <c r="N117" s="66"/>
      <c r="O117" s="162"/>
      <c r="P117" s="162"/>
      <c r="Q117" s="162"/>
      <c r="R117" s="162"/>
      <c r="S117" s="162"/>
      <c r="T117" s="162"/>
      <c r="U117" s="162"/>
      <c r="V117" s="162"/>
      <c r="W117" s="162"/>
      <c r="IH117" s="169"/>
      <c r="II117" s="169"/>
      <c r="IJ117" s="169"/>
      <c r="IK117" s="169"/>
      <c r="IL117" s="169"/>
      <c r="IM117" s="169"/>
    </row>
    <row r="118" spans="1:247" s="163" customFormat="1" ht="20.25" customHeight="1" x14ac:dyDescent="0.25">
      <c r="A118" s="75">
        <v>43705</v>
      </c>
      <c r="B118" s="144">
        <v>432.64515782102802</v>
      </c>
      <c r="C118" s="144">
        <f t="shared" si="207"/>
        <v>431.34722234756492</v>
      </c>
      <c r="D118" s="165">
        <f t="shared" ref="D118" si="212">1.003*B118</f>
        <v>433.94309329449106</v>
      </c>
      <c r="E118" s="78">
        <f>8872.46/1800.553*100</f>
        <v>492.7630566831412</v>
      </c>
      <c r="F118" s="76"/>
      <c r="G118" s="137"/>
      <c r="H118" s="78">
        <v>146.6404</v>
      </c>
      <c r="I118" s="78">
        <v>156.66239999999999</v>
      </c>
      <c r="J118" s="166">
        <f t="shared" si="142"/>
        <v>290.68573549018322</v>
      </c>
      <c r="K118" s="80">
        <v>256476.7953</v>
      </c>
      <c r="L118" s="82">
        <f t="shared" si="105"/>
        <v>110.96344358</v>
      </c>
      <c r="M118" s="152"/>
      <c r="N118" s="66"/>
      <c r="O118" s="162"/>
      <c r="P118" s="162"/>
      <c r="Q118" s="162"/>
      <c r="R118" s="162"/>
      <c r="S118" s="162"/>
      <c r="T118" s="162"/>
      <c r="U118" s="162"/>
      <c r="V118" s="162"/>
      <c r="W118" s="162"/>
      <c r="IH118" s="169"/>
      <c r="II118" s="169"/>
      <c r="IJ118" s="169"/>
      <c r="IK118" s="169"/>
      <c r="IL118" s="169"/>
      <c r="IM118" s="169"/>
    </row>
    <row r="119" spans="1:247" s="163" customFormat="1" ht="20.25" customHeight="1" x14ac:dyDescent="0.25">
      <c r="A119" s="75">
        <v>43698</v>
      </c>
      <c r="B119" s="144">
        <v>431.49757599999998</v>
      </c>
      <c r="C119" s="144">
        <f t="shared" si="207"/>
        <v>430.20308327199996</v>
      </c>
      <c r="D119" s="165">
        <f t="shared" ref="D119" si="213">1.003*B119</f>
        <v>432.79206872799995</v>
      </c>
      <c r="E119" s="78">
        <f>8969.017/1800.553*100</f>
        <v>498.12568694173399</v>
      </c>
      <c r="F119" s="76"/>
      <c r="G119" s="137"/>
      <c r="H119" s="78">
        <v>146.542780255509</v>
      </c>
      <c r="I119" s="78">
        <v>156.63716399003499</v>
      </c>
      <c r="J119" s="166">
        <f t="shared" ref="J119:J132" si="214">(E119/E120)*0.5*J120+(H119/H120)*0.5*J120</f>
        <v>292.16107073514439</v>
      </c>
      <c r="K119" s="80">
        <v>256476.7953</v>
      </c>
      <c r="L119" s="82">
        <f t="shared" ref="L119:L143" si="215">K119*B119/1000000</f>
        <v>110.66911547219819</v>
      </c>
      <c r="M119" s="152"/>
      <c r="N119" s="66"/>
      <c r="O119" s="162"/>
      <c r="P119" s="162"/>
      <c r="Q119" s="162"/>
      <c r="R119" s="162"/>
      <c r="S119" s="162"/>
      <c r="T119" s="162"/>
      <c r="U119" s="162"/>
      <c r="V119" s="162"/>
      <c r="W119" s="162"/>
      <c r="IH119" s="169"/>
      <c r="II119" s="169"/>
      <c r="IJ119" s="169"/>
      <c r="IK119" s="169"/>
      <c r="IL119" s="169"/>
      <c r="IM119" s="169"/>
    </row>
    <row r="120" spans="1:247" s="163" customFormat="1" ht="20.25" customHeight="1" x14ac:dyDescent="0.25">
      <c r="A120" s="75">
        <v>43691</v>
      </c>
      <c r="B120" s="144">
        <v>432.36297500000001</v>
      </c>
      <c r="C120" s="144">
        <f t="shared" si="207"/>
        <v>431.06588607499998</v>
      </c>
      <c r="D120" s="165">
        <f t="shared" ref="D120" si="216">1.003*B120</f>
        <v>433.66006392499997</v>
      </c>
      <c r="E120" s="78">
        <f>8756.496/1800.553*100</f>
        <v>486.32259089290892</v>
      </c>
      <c r="F120" s="76"/>
      <c r="G120" s="137"/>
      <c r="H120" s="78">
        <v>146.652761934072</v>
      </c>
      <c r="I120" s="78">
        <v>156.61138946251401</v>
      </c>
      <c r="J120" s="166">
        <f t="shared" si="214"/>
        <v>288.76517067258669</v>
      </c>
      <c r="K120" s="80">
        <v>256476.7953</v>
      </c>
      <c r="L120" s="82">
        <f t="shared" si="215"/>
        <v>110.89107023437401</v>
      </c>
      <c r="M120" s="152"/>
      <c r="N120" s="66"/>
      <c r="O120" s="162"/>
      <c r="P120" s="162"/>
      <c r="Q120" s="162"/>
      <c r="R120" s="162"/>
      <c r="S120" s="162"/>
      <c r="T120" s="162"/>
      <c r="U120" s="162"/>
      <c r="V120" s="162"/>
      <c r="W120" s="162"/>
      <c r="IH120" s="164"/>
      <c r="II120" s="164"/>
      <c r="IJ120" s="164"/>
      <c r="IK120" s="164"/>
      <c r="IL120" s="164"/>
      <c r="IM120" s="164"/>
    </row>
    <row r="121" spans="1:247" s="163" customFormat="1" ht="20.25" customHeight="1" x14ac:dyDescent="0.25">
      <c r="A121" s="75">
        <v>43684</v>
      </c>
      <c r="B121" s="144">
        <v>434.51680299999998</v>
      </c>
      <c r="C121" s="144">
        <f t="shared" ref="C121" si="217">0.997*B121</f>
        <v>433.21325259099996</v>
      </c>
      <c r="D121" s="165">
        <f t="shared" ref="D121" si="218">1.003*B121</f>
        <v>435.82035340899995</v>
      </c>
      <c r="E121" s="78">
        <f>8864.011/1800.553*100</f>
        <v>492.29381195665997</v>
      </c>
      <c r="F121" s="76"/>
      <c r="G121" s="137"/>
      <c r="H121" s="78">
        <v>146.906617738215</v>
      </c>
      <c r="I121" s="78">
        <v>156.585440826823</v>
      </c>
      <c r="J121" s="166">
        <f t="shared" si="214"/>
        <v>290.77989628188982</v>
      </c>
      <c r="K121" s="80">
        <v>256476.7953</v>
      </c>
      <c r="L121" s="82">
        <f t="shared" si="215"/>
        <v>111.44347713744142</v>
      </c>
      <c r="M121" s="152"/>
      <c r="N121" s="66"/>
      <c r="O121" s="162"/>
      <c r="P121" s="162"/>
      <c r="Q121" s="162"/>
      <c r="R121" s="162"/>
      <c r="S121" s="162"/>
      <c r="T121" s="162"/>
      <c r="U121" s="162"/>
      <c r="V121" s="162"/>
      <c r="W121" s="162"/>
      <c r="IH121" s="164"/>
      <c r="II121" s="164"/>
      <c r="IJ121" s="164"/>
      <c r="IK121" s="164"/>
      <c r="IL121" s="164"/>
      <c r="IM121" s="164"/>
    </row>
    <row r="122" spans="1:247" s="163" customFormat="1" ht="20.25" customHeight="1" x14ac:dyDescent="0.25">
      <c r="A122" s="75">
        <v>43677</v>
      </c>
      <c r="B122" s="144">
        <v>435.82909999999998</v>
      </c>
      <c r="C122" s="144">
        <f t="shared" ref="C122" si="219">0.997*B122</f>
        <v>434.52161269999999</v>
      </c>
      <c r="D122" s="165">
        <f t="shared" ref="D122" si="220">1.003*B122</f>
        <v>437.13658729999992</v>
      </c>
      <c r="E122" s="78">
        <f>9169.816/1800.553*100</f>
        <v>509.27776077682802</v>
      </c>
      <c r="F122" s="76"/>
      <c r="G122" s="137"/>
      <c r="H122" s="78">
        <v>146.25556127271599</v>
      </c>
      <c r="I122" s="78">
        <v>156.55833186807001</v>
      </c>
      <c r="J122" s="166">
        <f t="shared" si="214"/>
        <v>295.04291067461799</v>
      </c>
      <c r="K122" s="80">
        <v>256476.7953</v>
      </c>
      <c r="L122" s="82">
        <f t="shared" si="215"/>
        <v>111.78005086648322</v>
      </c>
      <c r="M122" s="152"/>
      <c r="N122" s="66"/>
      <c r="O122" s="162"/>
      <c r="P122" s="162"/>
      <c r="Q122" s="162"/>
      <c r="R122" s="162"/>
      <c r="S122" s="162"/>
      <c r="T122" s="162"/>
      <c r="U122" s="162"/>
      <c r="V122" s="162"/>
      <c r="W122" s="162"/>
      <c r="IH122" s="164"/>
      <c r="II122" s="164"/>
      <c r="IJ122" s="164"/>
      <c r="IK122" s="164"/>
      <c r="IL122" s="164"/>
      <c r="IM122" s="164"/>
    </row>
    <row r="123" spans="1:247" s="163" customFormat="1" ht="20.25" customHeight="1" x14ac:dyDescent="0.25">
      <c r="A123" s="75">
        <v>43670</v>
      </c>
      <c r="B123" s="144">
        <v>439.51707717723195</v>
      </c>
      <c r="C123" s="144">
        <f t="shared" ref="C123" si="221">0.997*B123</f>
        <v>438.19852594570028</v>
      </c>
      <c r="D123" s="165">
        <f t="shared" ref="D123" si="222">1.003*B123</f>
        <v>440.83562840876363</v>
      </c>
      <c r="E123" s="78">
        <f>9294.568/1800.553*100</f>
        <v>516.20629884263326</v>
      </c>
      <c r="F123" s="76"/>
      <c r="G123" s="137"/>
      <c r="H123" s="78">
        <v>147.11424797736299</v>
      </c>
      <c r="I123" s="78">
        <v>156.52918619363899</v>
      </c>
      <c r="J123" s="166">
        <f t="shared" si="214"/>
        <v>297.91163631679501</v>
      </c>
      <c r="K123" s="80">
        <v>256974.10879999999</v>
      </c>
      <c r="L123" s="82">
        <f t="shared" si="215"/>
        <v>112.94450920999999</v>
      </c>
      <c r="M123" s="152"/>
      <c r="N123" s="66"/>
      <c r="O123" s="162"/>
      <c r="P123" s="162"/>
      <c r="Q123" s="162"/>
      <c r="R123" s="162"/>
      <c r="S123" s="162"/>
      <c r="T123" s="162"/>
      <c r="U123" s="162"/>
      <c r="V123" s="162"/>
      <c r="W123" s="162"/>
      <c r="IH123" s="164"/>
      <c r="II123" s="164"/>
      <c r="IJ123" s="164"/>
      <c r="IK123" s="164"/>
      <c r="IL123" s="164"/>
      <c r="IM123" s="164"/>
    </row>
    <row r="124" spans="1:247" s="163" customFormat="1" ht="20.25" customHeight="1" x14ac:dyDescent="0.25">
      <c r="A124" s="75">
        <v>43663</v>
      </c>
      <c r="B124" s="144">
        <v>439.0407851504828</v>
      </c>
      <c r="C124" s="144">
        <f t="shared" ref="C124" si="223">0.997*B124</f>
        <v>437.72366279503137</v>
      </c>
      <c r="D124" s="165">
        <f t="shared" ref="D124" si="224">1.003*B124</f>
        <v>440.35790750593418</v>
      </c>
      <c r="E124" s="78">
        <f>9209.759/1800.553*100</f>
        <v>511.49613479858687</v>
      </c>
      <c r="F124" s="76"/>
      <c r="G124" s="137"/>
      <c r="H124" s="78">
        <v>147.39892446129599</v>
      </c>
      <c r="I124" s="78">
        <v>156.49995997189501</v>
      </c>
      <c r="J124" s="166">
        <f t="shared" si="214"/>
        <v>296.83157486822034</v>
      </c>
      <c r="K124" s="80">
        <v>258685.2488</v>
      </c>
      <c r="L124" s="82">
        <f t="shared" si="215"/>
        <v>113.57337473999999</v>
      </c>
      <c r="M124" s="152"/>
      <c r="N124" s="66"/>
      <c r="O124" s="162"/>
      <c r="P124" s="162"/>
      <c r="Q124" s="162"/>
      <c r="R124" s="162"/>
      <c r="S124" s="162"/>
      <c r="T124" s="162"/>
      <c r="U124" s="162"/>
      <c r="V124" s="162"/>
      <c r="W124" s="162"/>
      <c r="IH124" s="164"/>
      <c r="II124" s="164"/>
      <c r="IJ124" s="164"/>
      <c r="IK124" s="164"/>
      <c r="IL124" s="164"/>
      <c r="IM124" s="164"/>
    </row>
    <row r="125" spans="1:247" s="163" customFormat="1" ht="20.25" customHeight="1" x14ac:dyDescent="0.25">
      <c r="A125" s="75">
        <v>43656</v>
      </c>
      <c r="B125" s="144">
        <v>439.24538402220247</v>
      </c>
      <c r="C125" s="144">
        <f t="shared" ref="C125" si="225">0.997*B125</f>
        <v>437.92764787013584</v>
      </c>
      <c r="D125" s="165">
        <f t="shared" ref="D125" si="226">1.003*B125</f>
        <v>440.56312017426905</v>
      </c>
      <c r="E125" s="78">
        <f>9222.277/1800.553*100</f>
        <v>512.19136565266331</v>
      </c>
      <c r="F125" s="76"/>
      <c r="G125" s="137"/>
      <c r="H125" s="78">
        <v>147.37110000000001</v>
      </c>
      <c r="I125" s="78">
        <v>156.47040000000001</v>
      </c>
      <c r="J125" s="166">
        <f t="shared" si="214"/>
        <v>297.00510901617594</v>
      </c>
      <c r="K125" s="80">
        <v>280228</v>
      </c>
      <c r="L125" s="82">
        <f t="shared" si="215"/>
        <v>123.08885547377375</v>
      </c>
      <c r="M125" s="152"/>
      <c r="N125" s="66"/>
      <c r="O125" s="162"/>
      <c r="P125" s="162"/>
      <c r="Q125" s="162"/>
      <c r="R125" s="162"/>
      <c r="S125" s="162"/>
      <c r="T125" s="162"/>
      <c r="U125" s="162"/>
      <c r="V125" s="162"/>
      <c r="W125" s="162"/>
      <c r="IH125" s="164"/>
      <c r="II125" s="164"/>
      <c r="IJ125" s="164"/>
      <c r="IK125" s="164"/>
      <c r="IL125" s="164"/>
      <c r="IM125" s="164"/>
    </row>
    <row r="126" spans="1:247" s="163" customFormat="1" ht="20.25" customHeight="1" x14ac:dyDescent="0.25">
      <c r="A126" s="75">
        <v>43649</v>
      </c>
      <c r="B126" s="144">
        <v>438.36509850146791</v>
      </c>
      <c r="C126" s="144">
        <f t="shared" ref="C126:C129" si="227">0.997*B126</f>
        <v>437.05000320596349</v>
      </c>
      <c r="D126" s="165">
        <f t="shared" ref="D126:D129" si="228">1.003*B126</f>
        <v>439.68019379697228</v>
      </c>
      <c r="E126" s="78">
        <f>9270.543/1800.553*100</f>
        <v>514.87198655079851</v>
      </c>
      <c r="F126" s="76"/>
      <c r="G126" s="137"/>
      <c r="H126" s="78">
        <v>147.678335442395</v>
      </c>
      <c r="I126" s="78">
        <v>156.44089609538401</v>
      </c>
      <c r="J126" s="166">
        <f t="shared" si="214"/>
        <v>298.09117740237264</v>
      </c>
      <c r="K126" s="80">
        <v>280803.26209999999</v>
      </c>
      <c r="L126" s="82">
        <f t="shared" si="215"/>
        <v>123.09434965000001</v>
      </c>
      <c r="M126" s="152"/>
      <c r="N126" s="66"/>
      <c r="O126" s="162"/>
      <c r="P126" s="162"/>
      <c r="Q126" s="162"/>
      <c r="R126" s="162"/>
      <c r="S126" s="162"/>
      <c r="T126" s="162"/>
      <c r="U126" s="162"/>
      <c r="V126" s="162"/>
      <c r="W126" s="162"/>
      <c r="IH126" s="164"/>
      <c r="II126" s="164"/>
      <c r="IJ126" s="164"/>
      <c r="IK126" s="164"/>
      <c r="IL126" s="164"/>
      <c r="IM126" s="164"/>
    </row>
    <row r="127" spans="1:247" s="163" customFormat="1" ht="20.25" customHeight="1" x14ac:dyDescent="0.25">
      <c r="A127" s="75">
        <v>43642</v>
      </c>
      <c r="B127" s="144">
        <v>437.65625461659056</v>
      </c>
      <c r="C127" s="144">
        <f t="shared" si="227"/>
        <v>436.34328585274079</v>
      </c>
      <c r="D127" s="165">
        <f t="shared" si="228"/>
        <v>438.96922338044027</v>
      </c>
      <c r="E127" s="78">
        <f>9035.586/1800.553*100</f>
        <v>501.82282887535098</v>
      </c>
      <c r="F127" s="76"/>
      <c r="G127" s="137"/>
      <c r="H127" s="78">
        <v>148.059811132595</v>
      </c>
      <c r="I127" s="78">
        <v>156.411066608765</v>
      </c>
      <c r="J127" s="166">
        <f t="shared" si="214"/>
        <v>294.63991013030829</v>
      </c>
      <c r="K127" s="80">
        <v>281247.86619999999</v>
      </c>
      <c r="L127" s="82">
        <f t="shared" si="215"/>
        <v>123.08988773999999</v>
      </c>
      <c r="M127" s="152"/>
      <c r="N127" s="66"/>
      <c r="O127" s="162"/>
      <c r="P127" s="162"/>
      <c r="Q127" s="162"/>
      <c r="R127" s="162"/>
      <c r="S127" s="162"/>
      <c r="T127" s="162"/>
      <c r="U127" s="162"/>
      <c r="V127" s="162"/>
      <c r="W127" s="162"/>
      <c r="IH127" s="164"/>
      <c r="II127" s="164"/>
      <c r="IJ127" s="164"/>
      <c r="IK127" s="164"/>
      <c r="IL127" s="164"/>
      <c r="IM127" s="164"/>
    </row>
    <row r="128" spans="1:247" s="163" customFormat="1" ht="20.25" customHeight="1" x14ac:dyDescent="0.25">
      <c r="A128" s="75">
        <v>43635</v>
      </c>
      <c r="B128" s="144">
        <v>437.84109677550487</v>
      </c>
      <c r="C128" s="144">
        <f t="shared" si="227"/>
        <v>436.52757348517832</v>
      </c>
      <c r="D128" s="165">
        <f t="shared" si="228"/>
        <v>439.15462006583135</v>
      </c>
      <c r="E128" s="78">
        <f>9046.264/1800.553*100</f>
        <v>502.41586890249818</v>
      </c>
      <c r="F128" s="76"/>
      <c r="G128" s="137"/>
      <c r="H128" s="78">
        <v>147.246343705219</v>
      </c>
      <c r="I128" s="78">
        <v>156.380783452912</v>
      </c>
      <c r="J128" s="166">
        <f t="shared" si="214"/>
        <v>294.00131616541029</v>
      </c>
      <c r="K128" s="80">
        <v>281253.6482</v>
      </c>
      <c r="L128" s="82">
        <f t="shared" si="215"/>
        <v>123.1444058</v>
      </c>
      <c r="M128" s="152"/>
      <c r="N128" s="66"/>
      <c r="O128" s="162"/>
      <c r="P128" s="162"/>
      <c r="Q128" s="162"/>
      <c r="R128" s="162"/>
      <c r="S128" s="162"/>
      <c r="T128" s="162"/>
      <c r="U128" s="162"/>
      <c r="V128" s="162"/>
      <c r="W128" s="162"/>
      <c r="IH128" s="164"/>
      <c r="II128" s="164"/>
      <c r="IJ128" s="164"/>
      <c r="IK128" s="164"/>
      <c r="IL128" s="164"/>
      <c r="IM128" s="164"/>
    </row>
    <row r="129" spans="1:247" s="163" customFormat="1" ht="20.25" customHeight="1" x14ac:dyDescent="0.25">
      <c r="A129" s="75">
        <v>43628</v>
      </c>
      <c r="B129" s="144">
        <v>442.82222000000002</v>
      </c>
      <c r="C129" s="144">
        <f t="shared" si="227"/>
        <v>441.49375334000001</v>
      </c>
      <c r="D129" s="165">
        <f t="shared" si="228"/>
        <v>444.15068665999996</v>
      </c>
      <c r="E129" s="78">
        <f>8928.545/1800.553*100</f>
        <v>495.87793305723295</v>
      </c>
      <c r="F129" s="76"/>
      <c r="G129" s="137"/>
      <c r="H129" s="78">
        <v>147.3313</v>
      </c>
      <c r="I129" s="78">
        <v>156.35069981129101</v>
      </c>
      <c r="J129" s="166">
        <f t="shared" si="214"/>
        <v>292.15955218935369</v>
      </c>
      <c r="K129" s="80">
        <v>281353.88069999998</v>
      </c>
      <c r="L129" s="82">
        <f t="shared" si="215"/>
        <v>124.58975005718915</v>
      </c>
      <c r="M129" s="152"/>
      <c r="N129" s="66"/>
      <c r="O129" s="162"/>
      <c r="P129" s="162"/>
      <c r="Q129" s="162"/>
      <c r="R129" s="162"/>
      <c r="S129" s="162"/>
      <c r="T129" s="162"/>
      <c r="U129" s="162"/>
      <c r="V129" s="162"/>
      <c r="W129" s="162"/>
      <c r="IH129" s="164"/>
      <c r="II129" s="164"/>
      <c r="IJ129" s="164"/>
      <c r="IK129" s="164"/>
      <c r="IL129" s="164"/>
      <c r="IM129" s="164"/>
    </row>
    <row r="130" spans="1:247" s="163" customFormat="1" ht="20.25" customHeight="1" x14ac:dyDescent="0.25">
      <c r="A130" s="75">
        <v>43621</v>
      </c>
      <c r="B130" s="144">
        <v>443.69709999999998</v>
      </c>
      <c r="C130" s="144">
        <f t="shared" ref="C130:C131" si="229">0.997*B130</f>
        <v>442.36600869999995</v>
      </c>
      <c r="D130" s="165">
        <f t="shared" ref="D130:D131" si="230">1.003*B130</f>
        <v>445.02819129999995</v>
      </c>
      <c r="E130" s="78">
        <f>8763.603/1800.553*100</f>
        <v>486.71730296192328</v>
      </c>
      <c r="F130" s="76"/>
      <c r="G130" s="137"/>
      <c r="H130" s="78">
        <v>147.14359999999999</v>
      </c>
      <c r="I130" s="78">
        <v>156.319043524547</v>
      </c>
      <c r="J130" s="166">
        <f t="shared" si="214"/>
        <v>289.25301083093314</v>
      </c>
      <c r="K130" s="80">
        <v>281353.88069999998</v>
      </c>
      <c r="L130" s="82">
        <f t="shared" si="215"/>
        <v>124.83590094033596</v>
      </c>
      <c r="M130" s="152"/>
      <c r="N130" s="66"/>
      <c r="O130" s="162"/>
      <c r="P130" s="162"/>
      <c r="Q130" s="162"/>
      <c r="R130" s="162"/>
      <c r="S130" s="162"/>
      <c r="T130" s="162"/>
      <c r="U130" s="162"/>
      <c r="V130" s="162"/>
      <c r="W130" s="162"/>
      <c r="IH130" s="164"/>
      <c r="II130" s="164"/>
      <c r="IJ130" s="164"/>
      <c r="IK130" s="164"/>
      <c r="IL130" s="164"/>
      <c r="IM130" s="164"/>
    </row>
    <row r="131" spans="1:247" s="163" customFormat="1" ht="20.25" customHeight="1" x14ac:dyDescent="0.25">
      <c r="A131" s="75">
        <v>43614</v>
      </c>
      <c r="B131" s="144">
        <v>439.93481700000001</v>
      </c>
      <c r="C131" s="144">
        <f t="shared" si="229"/>
        <v>438.61501254900003</v>
      </c>
      <c r="D131" s="165">
        <f t="shared" si="230"/>
        <v>441.25462145099993</v>
      </c>
      <c r="E131" s="78">
        <f>8629.543/1800.553*100</f>
        <v>479.27181260423879</v>
      </c>
      <c r="F131" s="76"/>
      <c r="G131" s="137"/>
      <c r="H131" s="78">
        <v>146.34440431920299</v>
      </c>
      <c r="I131" s="78">
        <v>156.28693898339799</v>
      </c>
      <c r="J131" s="166">
        <f t="shared" si="214"/>
        <v>286.24797012644899</v>
      </c>
      <c r="K131" s="80">
        <v>281353.88069999998</v>
      </c>
      <c r="L131" s="82">
        <f t="shared" si="215"/>
        <v>123.77736801799433</v>
      </c>
      <c r="M131" s="152"/>
      <c r="N131" s="66"/>
      <c r="O131" s="162"/>
      <c r="P131" s="162"/>
      <c r="Q131" s="162"/>
      <c r="R131" s="162"/>
      <c r="S131" s="162"/>
      <c r="T131" s="162"/>
      <c r="U131" s="162"/>
      <c r="V131" s="162"/>
      <c r="W131" s="162"/>
      <c r="IH131" s="164"/>
      <c r="II131" s="164"/>
      <c r="IJ131" s="164"/>
      <c r="IK131" s="164"/>
      <c r="IL131" s="164"/>
      <c r="IM131" s="164"/>
    </row>
    <row r="132" spans="1:247" s="163" customFormat="1" ht="20.25" customHeight="1" x14ac:dyDescent="0.25">
      <c r="A132" s="75">
        <v>43607</v>
      </c>
      <c r="B132" s="144">
        <v>438.238473</v>
      </c>
      <c r="C132" s="144">
        <f t="shared" ref="C132" si="231">0.997*B132</f>
        <v>436.92375758100002</v>
      </c>
      <c r="D132" s="165">
        <f t="shared" ref="D132" si="232">1.003*B132</f>
        <v>439.55318841899992</v>
      </c>
      <c r="E132" s="78">
        <f>8820.865/1800.553*100</f>
        <v>489.89754814215411</v>
      </c>
      <c r="F132" s="76"/>
      <c r="G132" s="137"/>
      <c r="H132" s="78">
        <v>146.31817145072199</v>
      </c>
      <c r="I132" s="78">
        <v>156.25297377362301</v>
      </c>
      <c r="J132" s="166">
        <f t="shared" si="214"/>
        <v>289.36009920742811</v>
      </c>
      <c r="K132" s="80">
        <v>281353.88069999998</v>
      </c>
      <c r="L132" s="82">
        <f t="shared" si="215"/>
        <v>123.30009505059216</v>
      </c>
      <c r="M132" s="152"/>
      <c r="N132" s="66"/>
      <c r="O132" s="162"/>
      <c r="P132" s="162"/>
      <c r="Q132" s="162"/>
      <c r="R132" s="162"/>
      <c r="S132" s="162"/>
      <c r="T132" s="162"/>
      <c r="U132" s="162"/>
      <c r="V132" s="162"/>
      <c r="W132" s="162"/>
      <c r="IH132" s="164"/>
      <c r="II132" s="164"/>
      <c r="IJ132" s="164"/>
      <c r="IK132" s="164"/>
      <c r="IL132" s="164"/>
      <c r="IM132" s="164"/>
    </row>
    <row r="133" spans="1:247" s="163" customFormat="1" ht="20.25" customHeight="1" x14ac:dyDescent="0.25">
      <c r="A133" s="75">
        <v>43600</v>
      </c>
      <c r="B133" s="144">
        <v>441.13990999999999</v>
      </c>
      <c r="C133" s="144">
        <f t="shared" ref="C133" si="233">0.997*B133</f>
        <v>439.81649026999997</v>
      </c>
      <c r="D133" s="165">
        <f t="shared" ref="D133" si="234">1.003*B133</f>
        <v>442.46332972999994</v>
      </c>
      <c r="E133" s="78">
        <f>8804.497/1800.553*100</f>
        <v>488.98849409042657</v>
      </c>
      <c r="F133" s="76"/>
      <c r="G133" s="137"/>
      <c r="H133" s="78">
        <v>146.8724</v>
      </c>
      <c r="I133" s="78">
        <v>156.21850000000001</v>
      </c>
      <c r="J133" s="166">
        <f t="shared" ref="J133:J139" si="235">(E133/E134)*0.5*J134+(H133/H134)*0.5*J134</f>
        <v>289.63735279519108</v>
      </c>
      <c r="K133" s="80">
        <v>281862</v>
      </c>
      <c r="L133" s="82">
        <f t="shared" si="215"/>
        <v>124.34057731242</v>
      </c>
      <c r="M133" s="152"/>
      <c r="N133" s="66"/>
      <c r="O133" s="162"/>
      <c r="P133" s="162"/>
      <c r="Q133" s="162"/>
      <c r="R133" s="162"/>
      <c r="S133" s="162"/>
      <c r="T133" s="162"/>
      <c r="U133" s="162"/>
      <c r="V133" s="162"/>
      <c r="W133" s="162"/>
      <c r="IH133" s="164"/>
      <c r="II133" s="164"/>
      <c r="IJ133" s="164"/>
      <c r="IK133" s="164"/>
      <c r="IL133" s="164"/>
      <c r="IM133" s="164"/>
    </row>
    <row r="134" spans="1:247" s="163" customFormat="1" ht="20.25" customHeight="1" x14ac:dyDescent="0.25">
      <c r="A134" s="75">
        <v>43593</v>
      </c>
      <c r="B134" s="144">
        <v>446.66036800000001</v>
      </c>
      <c r="C134" s="144">
        <f t="shared" ref="C134:C137" si="236">0.997*B134</f>
        <v>445.320386896</v>
      </c>
      <c r="D134" s="165">
        <f t="shared" ref="D134:D137" si="237">1.003*B134</f>
        <v>448.00034910399995</v>
      </c>
      <c r="E134" s="78">
        <f>8882.685/1800.553*100</f>
        <v>493.33093777300638</v>
      </c>
      <c r="F134" s="76"/>
      <c r="G134" s="137"/>
      <c r="H134" s="78">
        <v>146.9298</v>
      </c>
      <c r="I134" s="78">
        <v>156.18382658756499</v>
      </c>
      <c r="J134" s="166">
        <f t="shared" si="235"/>
        <v>290.97481214724962</v>
      </c>
      <c r="K134" s="80">
        <v>281862.14970000001</v>
      </c>
      <c r="L134" s="82">
        <f t="shared" si="215"/>
        <v>125.8966515102731</v>
      </c>
      <c r="M134" s="152"/>
      <c r="N134" s="66"/>
      <c r="O134" s="162"/>
      <c r="P134" s="162"/>
      <c r="Q134" s="162"/>
      <c r="R134" s="162"/>
      <c r="S134" s="162"/>
      <c r="T134" s="162"/>
      <c r="U134" s="162"/>
      <c r="V134" s="162"/>
      <c r="W134" s="162"/>
      <c r="IH134" s="164"/>
      <c r="II134" s="164"/>
      <c r="IJ134" s="164"/>
      <c r="IK134" s="164"/>
      <c r="IL134" s="164"/>
      <c r="IM134" s="164"/>
    </row>
    <row r="135" spans="1:247" s="163" customFormat="1" ht="20.25" customHeight="1" x14ac:dyDescent="0.25">
      <c r="A135" s="75">
        <v>43586</v>
      </c>
      <c r="B135" s="144">
        <v>445.66183996624306</v>
      </c>
      <c r="C135" s="144">
        <f t="shared" si="236"/>
        <v>444.32485444634432</v>
      </c>
      <c r="D135" s="165">
        <f t="shared" si="237"/>
        <v>446.99882548614175</v>
      </c>
      <c r="E135" s="78">
        <f>9034.011/1800.553*100</f>
        <v>501.73535574903934</v>
      </c>
      <c r="F135" s="76"/>
      <c r="G135" s="137"/>
      <c r="H135" s="78">
        <v>146.83191925508501</v>
      </c>
      <c r="I135" s="78">
        <v>156.14905683804099</v>
      </c>
      <c r="J135" s="166">
        <f t="shared" si="235"/>
        <v>293.33381463579326</v>
      </c>
      <c r="K135" s="80">
        <v>283693.59599999996</v>
      </c>
      <c r="L135" s="82">
        <f t="shared" si="215"/>
        <v>126.43140997999998</v>
      </c>
      <c r="M135" s="152"/>
      <c r="N135" s="66"/>
      <c r="O135" s="162"/>
      <c r="P135" s="162"/>
      <c r="Q135" s="162"/>
      <c r="R135" s="162"/>
      <c r="S135" s="162"/>
      <c r="T135" s="162"/>
      <c r="U135" s="162"/>
      <c r="V135" s="162"/>
      <c r="W135" s="162"/>
      <c r="IH135" s="164"/>
      <c r="II135" s="164"/>
      <c r="IJ135" s="164"/>
      <c r="IK135" s="164"/>
      <c r="IL135" s="164"/>
      <c r="IM135" s="164"/>
    </row>
    <row r="136" spans="1:247" s="163" customFormat="1" ht="20.25" customHeight="1" x14ac:dyDescent="0.25">
      <c r="A136" s="75">
        <v>43579</v>
      </c>
      <c r="B136" s="144">
        <v>445.94962136543967</v>
      </c>
      <c r="C136" s="144">
        <f t="shared" si="236"/>
        <v>444.61177250134335</v>
      </c>
      <c r="D136" s="165">
        <f t="shared" si="237"/>
        <v>447.28747022953593</v>
      </c>
      <c r="E136" s="78">
        <f>9023.611/1800.553*100</f>
        <v>501.15775542291726</v>
      </c>
      <c r="F136" s="76"/>
      <c r="G136" s="137"/>
      <c r="H136" s="78">
        <v>146.38205961378301</v>
      </c>
      <c r="I136" s="78">
        <v>156.114450714649</v>
      </c>
      <c r="J136" s="166">
        <f t="shared" si="235"/>
        <v>292.71534804028374</v>
      </c>
      <c r="K136" s="80">
        <v>283693.59599999996</v>
      </c>
      <c r="L136" s="82">
        <f t="shared" si="215"/>
        <v>126.51305171999999</v>
      </c>
      <c r="M136" s="152"/>
      <c r="N136" s="66"/>
      <c r="O136" s="162"/>
      <c r="P136" s="162"/>
      <c r="Q136" s="162"/>
      <c r="R136" s="162"/>
      <c r="S136" s="162"/>
      <c r="T136" s="162"/>
      <c r="U136" s="162"/>
      <c r="V136" s="162"/>
      <c r="W136" s="162"/>
      <c r="IH136" s="164"/>
      <c r="II136" s="164"/>
      <c r="IJ136" s="164"/>
      <c r="IK136" s="164"/>
      <c r="IL136" s="164"/>
      <c r="IM136" s="164"/>
    </row>
    <row r="137" spans="1:247" s="163" customFormat="1" ht="20.25" customHeight="1" x14ac:dyDescent="0.25">
      <c r="A137" s="75">
        <v>43572</v>
      </c>
      <c r="B137" s="144">
        <v>448.71880700000003</v>
      </c>
      <c r="C137" s="144">
        <f t="shared" si="236"/>
        <v>447.37265057900004</v>
      </c>
      <c r="D137" s="165">
        <f t="shared" si="237"/>
        <v>450.06496342099996</v>
      </c>
      <c r="E137" s="78">
        <f>8988.276/1800.553*100</f>
        <v>499.19530277642474</v>
      </c>
      <c r="F137" s="76"/>
      <c r="G137" s="137"/>
      <c r="H137" s="78">
        <v>147.19649999999999</v>
      </c>
      <c r="I137" s="78">
        <v>156.079702374074</v>
      </c>
      <c r="J137" s="166">
        <f t="shared" si="235"/>
        <v>292.94996909575684</v>
      </c>
      <c r="K137" s="80">
        <v>284651.72519999999</v>
      </c>
      <c r="L137" s="82">
        <f t="shared" si="215"/>
        <v>127.72858254223584</v>
      </c>
      <c r="M137" s="152"/>
      <c r="N137" s="66"/>
      <c r="O137" s="162"/>
      <c r="P137" s="162"/>
      <c r="Q137" s="162"/>
      <c r="R137" s="162"/>
      <c r="S137" s="162"/>
      <c r="T137" s="162"/>
      <c r="U137" s="162"/>
      <c r="V137" s="162"/>
      <c r="W137" s="162"/>
      <c r="IH137" s="164"/>
      <c r="II137" s="164"/>
      <c r="IJ137" s="164"/>
      <c r="IK137" s="164"/>
      <c r="IL137" s="164"/>
      <c r="IM137" s="164"/>
    </row>
    <row r="138" spans="1:247" s="163" customFormat="1" ht="20.25" customHeight="1" x14ac:dyDescent="0.25">
      <c r="A138" s="75">
        <v>43565</v>
      </c>
      <c r="B138" s="144">
        <v>446.52811981203547</v>
      </c>
      <c r="C138" s="144">
        <f t="shared" ref="C138" si="238">0.997*B138</f>
        <v>445.18853545259935</v>
      </c>
      <c r="D138" s="165">
        <f t="shared" ref="D138" si="239">1.003*B138</f>
        <v>447.86770417147153</v>
      </c>
      <c r="E138" s="78">
        <f>8929.505/1800.553*100</f>
        <v>495.93125001041341</v>
      </c>
      <c r="F138" s="76"/>
      <c r="G138" s="137"/>
      <c r="H138" s="78">
        <v>147.36500000000001</v>
      </c>
      <c r="I138" s="78">
        <v>156.0446</v>
      </c>
      <c r="J138" s="166">
        <f t="shared" si="235"/>
        <v>292.15556241715154</v>
      </c>
      <c r="K138" s="80">
        <v>284657.15879999998</v>
      </c>
      <c r="L138" s="82">
        <f t="shared" si="215"/>
        <v>127.10742591</v>
      </c>
      <c r="M138" s="152"/>
      <c r="N138" s="66"/>
      <c r="O138" s="162"/>
      <c r="P138" s="162"/>
      <c r="Q138" s="162"/>
      <c r="R138" s="162"/>
      <c r="S138" s="162"/>
      <c r="T138" s="162"/>
      <c r="U138" s="162"/>
      <c r="V138" s="162"/>
      <c r="W138" s="162"/>
      <c r="IH138" s="164"/>
      <c r="II138" s="164"/>
      <c r="IJ138" s="164"/>
      <c r="IK138" s="164"/>
      <c r="IL138" s="164"/>
      <c r="IM138" s="164"/>
    </row>
    <row r="139" spans="1:247" s="163" customFormat="1" ht="20.25" customHeight="1" x14ac:dyDescent="0.25">
      <c r="A139" s="75">
        <v>43558</v>
      </c>
      <c r="B139" s="144">
        <v>443.7928243494087</v>
      </c>
      <c r="C139" s="144">
        <f t="shared" ref="C139:C150" si="240">0.997*B139</f>
        <v>442.46144587636047</v>
      </c>
      <c r="D139" s="165">
        <f t="shared" ref="D139:D144" si="241">1.003*B139</f>
        <v>445.12420282245688</v>
      </c>
      <c r="E139" s="78">
        <f>8901.862/1800.553*100</f>
        <v>494.39599945127964</v>
      </c>
      <c r="F139" s="76"/>
      <c r="G139" s="137"/>
      <c r="H139" s="78">
        <v>147.210085412148</v>
      </c>
      <c r="I139" s="78">
        <v>156.00976817852199</v>
      </c>
      <c r="J139" s="166">
        <f t="shared" si="235"/>
        <v>291.54948320437813</v>
      </c>
      <c r="K139" s="80">
        <v>284857.15879999998</v>
      </c>
      <c r="L139" s="82">
        <f t="shared" si="215"/>
        <v>126.41756304</v>
      </c>
      <c r="M139" s="152"/>
      <c r="N139" s="66"/>
      <c r="O139" s="162"/>
      <c r="P139" s="162"/>
      <c r="Q139" s="162"/>
      <c r="R139" s="162"/>
      <c r="S139" s="162"/>
      <c r="T139" s="162"/>
      <c r="U139" s="162"/>
      <c r="V139" s="162"/>
      <c r="W139" s="162"/>
      <c r="IH139" s="164"/>
      <c r="II139" s="164"/>
      <c r="IJ139" s="164"/>
      <c r="IK139" s="164"/>
      <c r="IL139" s="164"/>
      <c r="IM139" s="164"/>
    </row>
    <row r="140" spans="1:247" s="163" customFormat="1" ht="20.25" customHeight="1" x14ac:dyDescent="0.25">
      <c r="A140" s="75">
        <v>43551</v>
      </c>
      <c r="B140" s="144">
        <v>444.57510000000002</v>
      </c>
      <c r="C140" s="144">
        <f t="shared" si="240"/>
        <v>443.24137469999999</v>
      </c>
      <c r="D140" s="165">
        <f t="shared" si="241"/>
        <v>445.90882529999999</v>
      </c>
      <c r="E140" s="78">
        <f>8693.653/1800.553*100</f>
        <v>482.83238538382375</v>
      </c>
      <c r="F140" s="76"/>
      <c r="G140" s="137"/>
      <c r="H140" s="78">
        <v>147.33410000000001</v>
      </c>
      <c r="I140" s="78">
        <v>155.97488439562699</v>
      </c>
      <c r="J140" s="166">
        <f t="shared" ref="J140:J366" si="242">(E140/E141)*0.5*J141+(H140/H141)*0.5*J141</f>
        <v>288.21942229525041</v>
      </c>
      <c r="K140" s="80">
        <v>286220.21990000003</v>
      </c>
      <c r="L140" s="82">
        <f t="shared" si="215"/>
        <v>127.24638288406452</v>
      </c>
      <c r="M140" s="152"/>
      <c r="N140" s="66"/>
      <c r="O140" s="162"/>
      <c r="P140" s="162"/>
      <c r="Q140" s="162"/>
      <c r="R140" s="162"/>
      <c r="S140" s="162"/>
      <c r="T140" s="162"/>
      <c r="U140" s="162"/>
      <c r="V140" s="162"/>
      <c r="W140" s="162"/>
      <c r="IH140" s="164"/>
      <c r="II140" s="164"/>
      <c r="IJ140" s="164"/>
      <c r="IK140" s="164"/>
      <c r="IL140" s="164"/>
      <c r="IM140" s="164"/>
    </row>
    <row r="141" spans="1:247" s="163" customFormat="1" ht="20.25" customHeight="1" x14ac:dyDescent="0.25">
      <c r="A141" s="75">
        <v>43544</v>
      </c>
      <c r="B141" s="144">
        <v>444.59028899999998</v>
      </c>
      <c r="C141" s="144">
        <f t="shared" si="240"/>
        <v>443.25651813299999</v>
      </c>
      <c r="D141" s="165">
        <f t="shared" si="241"/>
        <v>445.92405986699993</v>
      </c>
      <c r="E141" s="78">
        <f>8757.444/1800.553*100</f>
        <v>486.37524138417467</v>
      </c>
      <c r="F141" s="76"/>
      <c r="G141" s="137"/>
      <c r="H141" s="78">
        <v>147.8827</v>
      </c>
      <c r="I141" s="78">
        <v>155.93996842308701</v>
      </c>
      <c r="J141" s="166">
        <f t="shared" si="242"/>
        <v>289.81250715042495</v>
      </c>
      <c r="K141" s="80">
        <v>316858.30759999994</v>
      </c>
      <c r="L141" s="82">
        <f t="shared" si="215"/>
        <v>140.87212654793487</v>
      </c>
      <c r="M141" s="152"/>
      <c r="N141" s="66"/>
      <c r="O141" s="162"/>
      <c r="P141" s="162"/>
      <c r="Q141" s="162"/>
      <c r="R141" s="162"/>
      <c r="S141" s="162"/>
      <c r="T141" s="162"/>
      <c r="U141" s="162"/>
      <c r="V141" s="162"/>
      <c r="W141" s="162"/>
      <c r="IH141" s="164"/>
      <c r="II141" s="164"/>
      <c r="IJ141" s="164"/>
      <c r="IK141" s="164"/>
      <c r="IL141" s="164"/>
      <c r="IM141" s="164"/>
    </row>
    <row r="142" spans="1:247" s="163" customFormat="1" ht="20.25" customHeight="1" x14ac:dyDescent="0.25">
      <c r="A142" s="75">
        <v>43537</v>
      </c>
      <c r="B142" s="144">
        <v>446.29538500000001</v>
      </c>
      <c r="C142" s="144">
        <f t="shared" si="240"/>
        <v>444.956498845</v>
      </c>
      <c r="D142" s="165">
        <f t="shared" si="241"/>
        <v>447.63427115499996</v>
      </c>
      <c r="E142" s="78">
        <f>8685.39/1800.553*100</f>
        <v>482.37347081702114</v>
      </c>
      <c r="F142" s="76"/>
      <c r="G142" s="137"/>
      <c r="H142" s="78">
        <v>147.57050000000001</v>
      </c>
      <c r="I142" s="78">
        <v>155.90462611721199</v>
      </c>
      <c r="J142" s="166">
        <f t="shared" si="242"/>
        <v>288.31161461769722</v>
      </c>
      <c r="K142" s="80">
        <v>316858.3076</v>
      </c>
      <c r="L142" s="82">
        <f t="shared" si="215"/>
        <v>141.41240038079044</v>
      </c>
      <c r="M142" s="152"/>
      <c r="N142" s="66"/>
      <c r="O142" s="162"/>
      <c r="P142" s="162"/>
      <c r="Q142" s="162"/>
      <c r="R142" s="162"/>
      <c r="S142" s="162"/>
      <c r="T142" s="162"/>
      <c r="U142" s="162"/>
      <c r="V142" s="162"/>
      <c r="W142" s="162"/>
      <c r="IH142" s="164"/>
      <c r="II142" s="164"/>
      <c r="IJ142" s="164"/>
      <c r="IK142" s="164"/>
      <c r="IL142" s="164"/>
      <c r="IM142" s="164"/>
    </row>
    <row r="143" spans="1:247" s="163" customFormat="1" ht="20.25" customHeight="1" x14ac:dyDescent="0.25">
      <c r="A143" s="75">
        <v>43530</v>
      </c>
      <c r="B143" s="144">
        <v>450.11926076010485</v>
      </c>
      <c r="C143" s="144">
        <f t="shared" si="240"/>
        <v>448.76890297782455</v>
      </c>
      <c r="D143" s="144">
        <f t="shared" si="241"/>
        <v>451.46961854238509</v>
      </c>
      <c r="E143" s="78">
        <f>8608.346/1800.553*100</f>
        <v>478.09456317031487</v>
      </c>
      <c r="F143" s="76"/>
      <c r="G143" s="137"/>
      <c r="H143" s="78">
        <v>147.08070000000001</v>
      </c>
      <c r="I143" s="78">
        <v>155.86900354237201</v>
      </c>
      <c r="J143" s="79">
        <f t="shared" si="242"/>
        <v>286.55217513929398</v>
      </c>
      <c r="K143" s="80">
        <v>317480.1164</v>
      </c>
      <c r="L143" s="81">
        <f t="shared" si="215"/>
        <v>142.90391530000005</v>
      </c>
      <c r="M143" s="152"/>
      <c r="N143" s="66"/>
      <c r="O143" s="162"/>
      <c r="P143" s="162"/>
      <c r="Q143" s="162"/>
      <c r="R143" s="162"/>
      <c r="S143" s="162"/>
      <c r="T143" s="162"/>
      <c r="U143" s="162"/>
      <c r="V143" s="162"/>
      <c r="W143" s="162"/>
      <c r="IH143" s="164"/>
      <c r="II143" s="164"/>
      <c r="IJ143" s="164"/>
      <c r="IK143" s="164"/>
      <c r="IL143" s="164"/>
      <c r="IM143" s="164"/>
    </row>
    <row r="144" spans="1:247" s="163" customFormat="1" ht="20.25" customHeight="1" x14ac:dyDescent="0.25">
      <c r="A144" s="75">
        <v>43523</v>
      </c>
      <c r="B144" s="144">
        <v>454.08749999999998</v>
      </c>
      <c r="C144" s="144">
        <f t="shared" si="240"/>
        <v>452.72523749999999</v>
      </c>
      <c r="D144" s="144">
        <f t="shared" si="241"/>
        <v>455.44976249999991</v>
      </c>
      <c r="E144" s="78">
        <f>8658.346/1800.553*100</f>
        <v>480.87148781513235</v>
      </c>
      <c r="F144" s="76"/>
      <c r="G144" s="137"/>
      <c r="H144" s="78">
        <v>147.71860000000001</v>
      </c>
      <c r="I144" s="78">
        <v>155.8331</v>
      </c>
      <c r="J144" s="79">
        <f t="shared" si="242"/>
        <v>288.0056128637865</v>
      </c>
      <c r="K144" s="80">
        <v>318075.94</v>
      </c>
      <c r="L144" s="81">
        <f t="shared" ref="L144:L205" si="243">K144*B144/1000000</f>
        <v>144.43430840475</v>
      </c>
      <c r="M144" s="152"/>
      <c r="N144" s="66"/>
      <c r="O144" s="162"/>
      <c r="P144" s="162"/>
      <c r="Q144" s="162"/>
      <c r="R144" s="162"/>
      <c r="S144" s="162"/>
      <c r="T144" s="162"/>
      <c r="U144" s="162"/>
      <c r="V144" s="162"/>
      <c r="W144" s="162"/>
      <c r="IH144" s="164"/>
      <c r="II144" s="164"/>
      <c r="IJ144" s="164"/>
      <c r="IK144" s="164"/>
      <c r="IL144" s="164"/>
      <c r="IM144" s="164"/>
    </row>
    <row r="145" spans="1:247" s="40" customFormat="1" ht="20.25" customHeight="1" x14ac:dyDescent="0.25">
      <c r="A145" s="75">
        <v>43516</v>
      </c>
      <c r="B145" s="144">
        <v>449.96359999999999</v>
      </c>
      <c r="C145" s="144">
        <f t="shared" si="240"/>
        <v>448.61370919999996</v>
      </c>
      <c r="D145" s="144">
        <f t="shared" ref="D145" si="244">1.003*B145</f>
        <v>451.31349079999995</v>
      </c>
      <c r="E145" s="78">
        <f>8618.134/1800.553*100</f>
        <v>478.63817393878429</v>
      </c>
      <c r="F145" s="76"/>
      <c r="G145" s="137"/>
      <c r="H145" s="78">
        <v>147.30709999999999</v>
      </c>
      <c r="I145" s="78">
        <v>155.79769999999999</v>
      </c>
      <c r="J145" s="79">
        <f t="shared" si="242"/>
        <v>286.93542134764607</v>
      </c>
      <c r="K145" s="80">
        <v>318673.34000000003</v>
      </c>
      <c r="L145" s="81">
        <f t="shared" si="243"/>
        <v>143.39140329042402</v>
      </c>
      <c r="M145" s="151"/>
      <c r="N145" s="64"/>
      <c r="O145" s="39"/>
      <c r="P145" s="39"/>
      <c r="Q145" s="39"/>
      <c r="R145" s="39"/>
      <c r="S145" s="39"/>
      <c r="T145" s="39"/>
      <c r="U145" s="39"/>
      <c r="V145" s="39"/>
      <c r="W145" s="39"/>
      <c r="IH145" s="41"/>
      <c r="II145" s="41"/>
      <c r="IJ145" s="41"/>
      <c r="IK145" s="41"/>
      <c r="IL145" s="41"/>
      <c r="IM145" s="41"/>
    </row>
    <row r="146" spans="1:247" s="40" customFormat="1" ht="20.25" customHeight="1" x14ac:dyDescent="0.25">
      <c r="A146" s="75">
        <v>43509</v>
      </c>
      <c r="B146" s="144">
        <v>445.084</v>
      </c>
      <c r="C146" s="144">
        <f t="shared" si="240"/>
        <v>443.74874799999998</v>
      </c>
      <c r="D146" s="144">
        <f t="shared" ref="D146" si="245">1.003*B146</f>
        <v>446.41925199999997</v>
      </c>
      <c r="E146" s="78">
        <f>8484.801/1800.553*100</f>
        <v>471.23306006543544</v>
      </c>
      <c r="F146" s="76"/>
      <c r="G146" s="137"/>
      <c r="H146" s="78">
        <v>146.61439999999999</v>
      </c>
      <c r="I146" s="78">
        <v>155.76249999999999</v>
      </c>
      <c r="J146" s="79">
        <f t="shared" si="242"/>
        <v>284.03275252342542</v>
      </c>
      <c r="K146" s="80">
        <v>320569.56</v>
      </c>
      <c r="L146" s="81">
        <f t="shared" si="243"/>
        <v>142.68038204304</v>
      </c>
      <c r="M146" s="151"/>
      <c r="N146" s="64"/>
      <c r="O146" s="39"/>
      <c r="P146" s="39"/>
      <c r="Q146" s="39"/>
      <c r="R146" s="39"/>
      <c r="S146" s="39"/>
      <c r="T146" s="39"/>
      <c r="U146" s="39"/>
      <c r="V146" s="39"/>
      <c r="W146" s="39"/>
      <c r="IH146" s="41"/>
      <c r="II146" s="41"/>
      <c r="IJ146" s="41"/>
      <c r="IK146" s="41"/>
      <c r="IL146" s="41"/>
      <c r="IM146" s="41"/>
    </row>
    <row r="147" spans="1:247" s="40" customFormat="1" ht="20.25" customHeight="1" x14ac:dyDescent="0.25">
      <c r="A147" s="75">
        <v>43502</v>
      </c>
      <c r="B147" s="144">
        <v>445.59539999999998</v>
      </c>
      <c r="C147" s="144">
        <f t="shared" si="240"/>
        <v>444.25861379999998</v>
      </c>
      <c r="D147" s="144">
        <f t="shared" ref="D147" si="246">1.003*B147</f>
        <v>446.93218619999993</v>
      </c>
      <c r="E147" s="78">
        <f>8457.333/1800.553*100</f>
        <v>469.70752874255857</v>
      </c>
      <c r="F147" s="76"/>
      <c r="G147" s="137"/>
      <c r="H147" s="78">
        <v>147.1866</v>
      </c>
      <c r="I147" s="78">
        <v>155.7269</v>
      </c>
      <c r="J147" s="79">
        <f t="shared" si="242"/>
        <v>284.12363653949728</v>
      </c>
      <c r="K147" s="80">
        <v>322279.56</v>
      </c>
      <c r="L147" s="81">
        <f t="shared" si="243"/>
        <v>143.60628945002398</v>
      </c>
      <c r="M147" s="151"/>
      <c r="N147" s="64"/>
      <c r="O147" s="39"/>
      <c r="P147" s="39"/>
      <c r="Q147" s="39"/>
      <c r="R147" s="39"/>
      <c r="S147" s="39"/>
      <c r="T147" s="39"/>
      <c r="U147" s="39"/>
      <c r="V147" s="39"/>
      <c r="W147" s="39"/>
      <c r="IH147" s="41"/>
      <c r="II147" s="41"/>
      <c r="IJ147" s="41"/>
      <c r="IK147" s="41"/>
      <c r="IL147" s="41"/>
      <c r="IM147" s="41"/>
    </row>
    <row r="148" spans="1:247" s="40" customFormat="1" ht="20.25" customHeight="1" x14ac:dyDescent="0.25">
      <c r="A148" s="75">
        <v>43495</v>
      </c>
      <c r="B148" s="144">
        <v>453.97092600000002</v>
      </c>
      <c r="C148" s="144">
        <f t="shared" si="240"/>
        <v>452.60901322200004</v>
      </c>
      <c r="D148" s="144">
        <f t="shared" ref="D148" si="247">1.003*B148</f>
        <v>455.332838778</v>
      </c>
      <c r="E148" s="78">
        <f>8304.552/1800.553*100</f>
        <v>461.22230225936141</v>
      </c>
      <c r="F148" s="76"/>
      <c r="G148" s="137"/>
      <c r="H148" s="78">
        <v>148.03809999999999</v>
      </c>
      <c r="I148" s="78">
        <v>155.69139999999999</v>
      </c>
      <c r="J148" s="79">
        <f t="shared" si="242"/>
        <v>282.33850025897402</v>
      </c>
      <c r="K148" s="80">
        <v>322279</v>
      </c>
      <c r="L148" s="81">
        <f t="shared" si="243"/>
        <v>146.30529606035398</v>
      </c>
      <c r="M148" s="151"/>
      <c r="N148" s="64"/>
      <c r="O148" s="39"/>
      <c r="P148" s="39"/>
      <c r="Q148" s="39"/>
      <c r="R148" s="39"/>
      <c r="S148" s="39"/>
      <c r="T148" s="39"/>
      <c r="U148" s="39"/>
      <c r="V148" s="39"/>
      <c r="W148" s="39"/>
      <c r="IH148" s="41"/>
      <c r="II148" s="41"/>
      <c r="IJ148" s="41"/>
      <c r="IK148" s="41"/>
      <c r="IL148" s="41"/>
      <c r="IM148" s="41"/>
    </row>
    <row r="149" spans="1:247" s="163" customFormat="1" ht="20.25" customHeight="1" x14ac:dyDescent="0.25">
      <c r="A149" s="75">
        <v>43488</v>
      </c>
      <c r="B149" s="144">
        <v>451.8408</v>
      </c>
      <c r="C149" s="144">
        <f t="shared" si="240"/>
        <v>450.48527760000002</v>
      </c>
      <c r="D149" s="144">
        <f t="shared" ref="D149" si="248">1.003*B149</f>
        <v>453.19632239999993</v>
      </c>
      <c r="E149" s="78">
        <f>8175.856/1800.553*100</f>
        <v>454.07472037757282</v>
      </c>
      <c r="F149" s="76"/>
      <c r="G149" s="137"/>
      <c r="H149" s="78">
        <v>147.37899999999999</v>
      </c>
      <c r="I149" s="78">
        <v>155.65620000000001</v>
      </c>
      <c r="J149" s="79">
        <f t="shared" si="242"/>
        <v>279.51357880668598</v>
      </c>
      <c r="K149" s="80">
        <v>322179.09000000003</v>
      </c>
      <c r="L149" s="81">
        <f t="shared" si="243"/>
        <v>145.57365776887201</v>
      </c>
      <c r="M149" s="152"/>
      <c r="N149" s="66"/>
      <c r="O149" s="162"/>
      <c r="P149" s="162"/>
      <c r="Q149" s="162"/>
      <c r="R149" s="162"/>
      <c r="S149" s="162"/>
      <c r="T149" s="162"/>
      <c r="U149" s="162"/>
      <c r="V149" s="162"/>
      <c r="W149" s="162"/>
      <c r="IH149" s="164"/>
      <c r="II149" s="164"/>
      <c r="IJ149" s="164"/>
      <c r="IK149" s="164"/>
      <c r="IL149" s="164"/>
      <c r="IM149" s="164"/>
    </row>
    <row r="150" spans="1:247" s="40" customFormat="1" ht="20.25" customHeight="1" x14ac:dyDescent="0.25">
      <c r="A150" s="75">
        <v>43481</v>
      </c>
      <c r="B150" s="144">
        <v>454.70389999999998</v>
      </c>
      <c r="C150" s="144">
        <f t="shared" si="240"/>
        <v>453.33978829999995</v>
      </c>
      <c r="D150" s="144">
        <f t="shared" ref="D150" si="249">1.003*B150</f>
        <v>456.06801169999994</v>
      </c>
      <c r="E150" s="78">
        <f>8117.911/1800.553*100</f>
        <v>450.8565424066939</v>
      </c>
      <c r="F150" s="76"/>
      <c r="G150" s="137"/>
      <c r="H150" s="78">
        <v>147.34389999999999</v>
      </c>
      <c r="I150" s="78">
        <v>155.62119999999999</v>
      </c>
      <c r="J150" s="79">
        <f t="shared" si="242"/>
        <v>278.48650133280512</v>
      </c>
      <c r="K150" s="80">
        <v>322179.09000000003</v>
      </c>
      <c r="L150" s="81">
        <f t="shared" si="243"/>
        <v>146.496088721451</v>
      </c>
      <c r="M150" s="151"/>
      <c r="N150" s="64"/>
      <c r="O150" s="39"/>
      <c r="P150" s="39"/>
      <c r="Q150" s="39"/>
      <c r="R150" s="39"/>
      <c r="S150" s="39"/>
      <c r="T150" s="39"/>
      <c r="U150" s="39"/>
      <c r="V150" s="39"/>
      <c r="W150" s="39"/>
      <c r="IH150" s="41"/>
      <c r="II150" s="41"/>
      <c r="IJ150" s="41"/>
      <c r="IK150" s="41"/>
      <c r="IL150" s="41"/>
      <c r="IM150" s="41"/>
    </row>
    <row r="151" spans="1:247" s="40" customFormat="1" ht="20.25" customHeight="1" x14ac:dyDescent="0.25">
      <c r="A151" s="75">
        <v>43474</v>
      </c>
      <c r="B151" s="144">
        <v>454.70979999999997</v>
      </c>
      <c r="C151" s="144">
        <f t="shared" ref="C151" si="250">0.997*B151</f>
        <v>453.34567059999995</v>
      </c>
      <c r="D151" s="144">
        <f t="shared" ref="D151" si="251">1.003*B151</f>
        <v>456.07392939999994</v>
      </c>
      <c r="E151" s="78">
        <f>8051.661/1800.553*100</f>
        <v>447.17711725231084</v>
      </c>
      <c r="F151" s="76"/>
      <c r="G151" s="137"/>
      <c r="H151" s="78">
        <v>147.86500000000001</v>
      </c>
      <c r="I151" s="78">
        <v>155.58609999999999</v>
      </c>
      <c r="J151" s="79">
        <f t="shared" si="242"/>
        <v>277.83304421389164</v>
      </c>
      <c r="K151" s="80">
        <v>322179.09000000003</v>
      </c>
      <c r="L151" s="81">
        <f t="shared" si="243"/>
        <v>146.49798957808198</v>
      </c>
      <c r="M151" s="151"/>
      <c r="N151" s="64"/>
      <c r="O151" s="39"/>
      <c r="P151" s="39"/>
      <c r="Q151" s="39"/>
      <c r="R151" s="39"/>
      <c r="S151" s="39"/>
      <c r="T151" s="39"/>
      <c r="U151" s="39"/>
      <c r="V151" s="39"/>
      <c r="W151" s="39"/>
      <c r="IH151" s="41"/>
      <c r="II151" s="41"/>
      <c r="IJ151" s="41"/>
      <c r="IK151" s="41"/>
      <c r="IL151" s="41"/>
      <c r="IM151" s="41"/>
    </row>
    <row r="152" spans="1:247" s="40" customFormat="1" ht="20.25" customHeight="1" x14ac:dyDescent="0.25">
      <c r="A152" s="75">
        <v>43467</v>
      </c>
      <c r="B152" s="144">
        <v>441.19290000000001</v>
      </c>
      <c r="C152" s="144">
        <f t="shared" ref="C152" si="252">0.997*B152</f>
        <v>439.86932130000002</v>
      </c>
      <c r="D152" s="144">
        <f t="shared" ref="D152" si="253">1.003*B152</f>
        <v>442.51647869999994</v>
      </c>
      <c r="E152" s="78">
        <f>7760.371/1800.553*100</f>
        <v>430.99930965653328</v>
      </c>
      <c r="F152" s="76"/>
      <c r="G152" s="137"/>
      <c r="H152" s="78">
        <v>146.57380000000001</v>
      </c>
      <c r="I152" s="78">
        <v>155.5532</v>
      </c>
      <c r="J152" s="79">
        <f t="shared" si="242"/>
        <v>271.54079358011916</v>
      </c>
      <c r="K152" s="80">
        <v>322179.09000000003</v>
      </c>
      <c r="L152" s="81">
        <f t="shared" si="243"/>
        <v>142.14312703646104</v>
      </c>
      <c r="M152" s="151"/>
      <c r="N152" s="64"/>
      <c r="O152" s="39"/>
      <c r="P152" s="39"/>
      <c r="Q152" s="39"/>
      <c r="R152" s="39"/>
      <c r="S152" s="39"/>
      <c r="T152" s="39"/>
      <c r="U152" s="39"/>
      <c r="V152" s="39"/>
      <c r="W152" s="39"/>
      <c r="IH152" s="41"/>
      <c r="II152" s="41"/>
      <c r="IJ152" s="41"/>
      <c r="IK152" s="41"/>
      <c r="IL152" s="41"/>
      <c r="IM152" s="41"/>
    </row>
    <row r="153" spans="1:247" s="40" customFormat="1" ht="20.25" customHeight="1" x14ac:dyDescent="0.25">
      <c r="A153" s="75">
        <v>43465</v>
      </c>
      <c r="B153" s="144">
        <v>441.30930000000001</v>
      </c>
      <c r="C153" s="144">
        <f t="shared" ref="C153" si="254">0.997*B153</f>
        <v>439.98537210000001</v>
      </c>
      <c r="D153" s="144">
        <f t="shared" ref="D153" si="255">1.003*B153</f>
        <v>442.63322789999995</v>
      </c>
      <c r="E153" s="78">
        <f>7771.1/1800.553*100</f>
        <v>431.59518214681827</v>
      </c>
      <c r="F153" s="76"/>
      <c r="G153" s="137"/>
      <c r="H153" s="78">
        <v>147.05539999999999</v>
      </c>
      <c r="I153" s="78">
        <v>155.54329999999999</v>
      </c>
      <c r="J153" s="79">
        <f t="shared" si="242"/>
        <v>272.17435893888864</v>
      </c>
      <c r="K153" s="80">
        <v>322179.09000000003</v>
      </c>
      <c r="L153" s="81">
        <f t="shared" si="243"/>
        <v>142.18062868253702</v>
      </c>
      <c r="M153" s="151"/>
      <c r="N153" s="64"/>
      <c r="O153" s="39"/>
      <c r="P153" s="39"/>
      <c r="Q153" s="39"/>
      <c r="R153" s="39"/>
      <c r="S153" s="39"/>
      <c r="T153" s="39"/>
      <c r="U153" s="39"/>
      <c r="V153" s="39"/>
      <c r="W153" s="39"/>
      <c r="IH153" s="41"/>
      <c r="II153" s="41"/>
      <c r="IJ153" s="41"/>
      <c r="IK153" s="41"/>
      <c r="IL153" s="41"/>
      <c r="IM153" s="41"/>
    </row>
    <row r="154" spans="1:247" s="40" customFormat="1" ht="20.25" customHeight="1" x14ac:dyDescent="0.25">
      <c r="A154" s="75">
        <v>43460</v>
      </c>
      <c r="B154" s="144">
        <v>435.61590000000001</v>
      </c>
      <c r="C154" s="144">
        <f t="shared" ref="C154" si="256">0.997*B154</f>
        <v>434.30905230000002</v>
      </c>
      <c r="D154" s="144">
        <f t="shared" ref="D154" si="257">1.003*B154</f>
        <v>436.92274769999995</v>
      </c>
      <c r="E154" s="78">
        <f>7631.357/1800.553*100</f>
        <v>423.83406653400374</v>
      </c>
      <c r="F154" s="76"/>
      <c r="G154" s="137"/>
      <c r="H154" s="78">
        <v>146.18549999999999</v>
      </c>
      <c r="I154" s="78">
        <v>155.51939999999999</v>
      </c>
      <c r="J154" s="79">
        <f t="shared" si="242"/>
        <v>268.91213967297745</v>
      </c>
      <c r="K154" s="80">
        <v>325194.8</v>
      </c>
      <c r="L154" s="81">
        <f t="shared" si="243"/>
        <v>141.66002547731998</v>
      </c>
      <c r="M154" s="151"/>
      <c r="N154" s="64"/>
      <c r="O154" s="39"/>
      <c r="P154" s="39"/>
      <c r="Q154" s="39"/>
      <c r="R154" s="39"/>
      <c r="S154" s="39"/>
      <c r="T154" s="39"/>
      <c r="U154" s="39"/>
      <c r="V154" s="39"/>
      <c r="W154" s="39"/>
      <c r="IH154" s="41"/>
      <c r="II154" s="41"/>
      <c r="IJ154" s="41"/>
      <c r="IK154" s="41"/>
      <c r="IL154" s="41"/>
      <c r="IM154" s="41"/>
    </row>
    <row r="155" spans="1:247" s="40" customFormat="1" ht="20.25" customHeight="1" x14ac:dyDescent="0.25">
      <c r="A155" s="75">
        <v>43453</v>
      </c>
      <c r="B155" s="144">
        <v>439.33019999999999</v>
      </c>
      <c r="C155" s="144">
        <f t="shared" ref="C155" si="258">0.997*B155</f>
        <v>438.01220940000002</v>
      </c>
      <c r="D155" s="144">
        <f t="shared" ref="D155" si="259">1.003*B155</f>
        <v>440.64819059999996</v>
      </c>
      <c r="E155" s="78">
        <f>7802.776/1800.553*100</f>
        <v>433.35441944780291</v>
      </c>
      <c r="F155" s="76"/>
      <c r="G155" s="137"/>
      <c r="H155" s="78">
        <v>146.09280000000001</v>
      </c>
      <c r="I155" s="78">
        <v>155.4905</v>
      </c>
      <c r="J155" s="79">
        <f t="shared" si="242"/>
        <v>271.81161505373132</v>
      </c>
      <c r="K155" s="80">
        <v>347485.31</v>
      </c>
      <c r="L155" s="81">
        <f t="shared" si="243"/>
        <v>152.660790739362</v>
      </c>
      <c r="M155" s="151"/>
      <c r="N155" s="64"/>
      <c r="O155" s="39"/>
      <c r="P155" s="39"/>
      <c r="Q155" s="39"/>
      <c r="R155" s="39"/>
      <c r="S155" s="39"/>
      <c r="T155" s="39"/>
      <c r="U155" s="39"/>
      <c r="V155" s="39"/>
      <c r="W155" s="39"/>
      <c r="IH155" s="41"/>
      <c r="II155" s="41"/>
      <c r="IJ155" s="41"/>
      <c r="IK155" s="41"/>
      <c r="IL155" s="41"/>
      <c r="IM155" s="41"/>
    </row>
    <row r="156" spans="1:247" s="40" customFormat="1" ht="20.25" customHeight="1" x14ac:dyDescent="0.25">
      <c r="A156" s="75">
        <v>43446</v>
      </c>
      <c r="B156" s="144">
        <v>443.30009999999999</v>
      </c>
      <c r="C156" s="144">
        <f t="shared" ref="C156" si="260">0.997*B156</f>
        <v>441.97019969999997</v>
      </c>
      <c r="D156" s="144">
        <f t="shared" ref="D156" si="261">1.003*B156</f>
        <v>444.63000029999995</v>
      </c>
      <c r="E156" s="78">
        <f>8141.97/1800.553*100</f>
        <v>452.19274300728722</v>
      </c>
      <c r="F156" s="76"/>
      <c r="G156" s="137"/>
      <c r="H156" s="78">
        <v>146.05510000000001</v>
      </c>
      <c r="I156" s="78">
        <v>155.45660000000001</v>
      </c>
      <c r="J156" s="79">
        <f t="shared" si="242"/>
        <v>277.55730388885308</v>
      </c>
      <c r="K156" s="80">
        <v>362652.4</v>
      </c>
      <c r="L156" s="81">
        <f t="shared" si="243"/>
        <v>160.76384518524</v>
      </c>
      <c r="M156" s="151"/>
      <c r="N156" s="64"/>
      <c r="O156" s="39"/>
      <c r="P156" s="39"/>
      <c r="Q156" s="39"/>
      <c r="R156" s="39"/>
      <c r="S156" s="39"/>
      <c r="T156" s="39"/>
      <c r="U156" s="39"/>
      <c r="V156" s="39"/>
      <c r="W156" s="39"/>
      <c r="IH156" s="41"/>
      <c r="II156" s="41"/>
      <c r="IJ156" s="41"/>
      <c r="IK156" s="41"/>
      <c r="IL156" s="41"/>
      <c r="IM156" s="41"/>
    </row>
    <row r="157" spans="1:247" s="40" customFormat="1" ht="20.25" customHeight="1" x14ac:dyDescent="0.25">
      <c r="A157" s="75">
        <v>43439</v>
      </c>
      <c r="B157" s="144">
        <v>446.29450000000003</v>
      </c>
      <c r="C157" s="144">
        <f t="shared" ref="C157" si="262">0.997*B157</f>
        <v>444.95561650000002</v>
      </c>
      <c r="D157" s="144">
        <f t="shared" ref="D157" si="263">1.003*B157</f>
        <v>447.63338349999998</v>
      </c>
      <c r="E157" s="78">
        <f>8273.738/1800.553*100</f>
        <v>459.51093913925325</v>
      </c>
      <c r="F157" s="76"/>
      <c r="G157" s="137"/>
      <c r="H157" s="78">
        <v>146.23949999999999</v>
      </c>
      <c r="I157" s="78">
        <v>155.42189999999999</v>
      </c>
      <c r="J157" s="79">
        <f t="shared" si="242"/>
        <v>279.96316729017508</v>
      </c>
      <c r="K157" s="80">
        <v>363652.4</v>
      </c>
      <c r="L157" s="81">
        <f t="shared" si="243"/>
        <v>162.29606603180002</v>
      </c>
      <c r="M157" s="151"/>
      <c r="N157" s="64"/>
      <c r="O157" s="39"/>
      <c r="P157" s="39"/>
      <c r="Q157" s="39"/>
      <c r="R157" s="39"/>
      <c r="S157" s="39"/>
      <c r="T157" s="39"/>
      <c r="U157" s="39"/>
      <c r="V157" s="39"/>
      <c r="W157" s="39"/>
      <c r="IH157" s="41"/>
      <c r="II157" s="41"/>
      <c r="IJ157" s="41"/>
      <c r="IK157" s="41"/>
      <c r="IL157" s="41"/>
      <c r="IM157" s="41"/>
    </row>
    <row r="158" spans="1:247" s="40" customFormat="1" ht="20.25" customHeight="1" x14ac:dyDescent="0.25">
      <c r="A158" s="75">
        <v>43432</v>
      </c>
      <c r="B158" s="144">
        <v>445.7081</v>
      </c>
      <c r="C158" s="144">
        <f t="shared" ref="C158" si="264">0.997*B158</f>
        <v>444.37097569999997</v>
      </c>
      <c r="D158" s="144">
        <f t="shared" ref="D158" si="265">1.003*B158</f>
        <v>447.04522429999997</v>
      </c>
      <c r="E158" s="78">
        <f>8357.623/1800.553*100</f>
        <v>464.16978561586353</v>
      </c>
      <c r="F158" s="76"/>
      <c r="G158" s="137"/>
      <c r="H158" s="78">
        <v>146.2107</v>
      </c>
      <c r="I158" s="78">
        <v>155.38679999999999</v>
      </c>
      <c r="J158" s="79">
        <f t="shared" si="242"/>
        <v>281.34739205700919</v>
      </c>
      <c r="K158" s="80">
        <v>363652.4</v>
      </c>
      <c r="L158" s="81">
        <f t="shared" si="243"/>
        <v>162.08282026443999</v>
      </c>
      <c r="M158" s="151"/>
      <c r="N158" s="64"/>
      <c r="O158" s="39"/>
      <c r="P158" s="39"/>
      <c r="Q158" s="39"/>
      <c r="R158" s="39"/>
      <c r="S158" s="39"/>
      <c r="T158" s="39"/>
      <c r="U158" s="39"/>
      <c r="V158" s="39"/>
      <c r="W158" s="39"/>
      <c r="IH158" s="41"/>
      <c r="II158" s="41"/>
      <c r="IJ158" s="41"/>
      <c r="IK158" s="41"/>
      <c r="IL158" s="41"/>
      <c r="IM158" s="41"/>
    </row>
    <row r="159" spans="1:247" s="40" customFormat="1" ht="20.25" customHeight="1" x14ac:dyDescent="0.25">
      <c r="A159" s="75">
        <v>43425</v>
      </c>
      <c r="B159" s="144">
        <v>449.87</v>
      </c>
      <c r="C159" s="144">
        <f t="shared" ref="C159" si="266">0.997*B159</f>
        <v>448.52039000000002</v>
      </c>
      <c r="D159" s="144">
        <f t="shared" ref="D159" si="267">1.003*B159</f>
        <v>451.21960999999993</v>
      </c>
      <c r="E159" s="78">
        <f>8169.56/1800.553*100</f>
        <v>453.72505002629742</v>
      </c>
      <c r="F159" s="76"/>
      <c r="G159" s="137"/>
      <c r="H159" s="78">
        <v>146.23949999999999</v>
      </c>
      <c r="I159" s="78">
        <v>155.35239999999999</v>
      </c>
      <c r="J159" s="79">
        <f t="shared" si="242"/>
        <v>278.17301656326254</v>
      </c>
      <c r="K159" s="80">
        <v>363652.4</v>
      </c>
      <c r="L159" s="81">
        <f t="shared" si="243"/>
        <v>163.59630518800003</v>
      </c>
      <c r="M159" s="151"/>
      <c r="N159" s="64"/>
      <c r="O159" s="39"/>
      <c r="P159" s="39"/>
      <c r="Q159" s="39"/>
      <c r="R159" s="39"/>
      <c r="S159" s="39"/>
      <c r="T159" s="39"/>
      <c r="U159" s="39"/>
      <c r="V159" s="39"/>
      <c r="W159" s="39"/>
      <c r="IH159" s="41"/>
      <c r="II159" s="41"/>
      <c r="IJ159" s="41"/>
      <c r="IK159" s="41"/>
      <c r="IL159" s="41"/>
      <c r="IM159" s="41"/>
    </row>
    <row r="160" spans="1:247" s="40" customFormat="1" ht="20.25" customHeight="1" x14ac:dyDescent="0.25">
      <c r="A160" s="75">
        <v>43418</v>
      </c>
      <c r="B160" s="144">
        <v>451.06119999999999</v>
      </c>
      <c r="C160" s="144">
        <f t="shared" ref="C160" si="268">0.997*B160</f>
        <v>449.70801639999996</v>
      </c>
      <c r="D160" s="144">
        <f t="shared" ref="D160" si="269">1.003*B160</f>
        <v>452.41438359999995</v>
      </c>
      <c r="E160" s="78">
        <f>8290.175/1800.553*100</f>
        <v>460.4238253469905</v>
      </c>
      <c r="F160" s="76"/>
      <c r="G160" s="137"/>
      <c r="H160" s="78">
        <v>146.00890000000001</v>
      </c>
      <c r="I160" s="78">
        <v>155.31819999999999</v>
      </c>
      <c r="J160" s="79">
        <f t="shared" si="242"/>
        <v>279.98871457612387</v>
      </c>
      <c r="K160" s="80">
        <v>363652.4</v>
      </c>
      <c r="L160" s="81">
        <f t="shared" si="243"/>
        <v>164.02948792687999</v>
      </c>
      <c r="M160" s="151"/>
      <c r="N160" s="64"/>
      <c r="O160" s="39"/>
      <c r="P160" s="39"/>
      <c r="Q160" s="39"/>
      <c r="R160" s="39"/>
      <c r="S160" s="39"/>
      <c r="T160" s="39"/>
      <c r="U160" s="39"/>
      <c r="V160" s="39"/>
      <c r="W160" s="39"/>
      <c r="IH160" s="41"/>
      <c r="II160" s="41"/>
      <c r="IJ160" s="41"/>
      <c r="IK160" s="41"/>
      <c r="IL160" s="41"/>
      <c r="IM160" s="41"/>
    </row>
    <row r="161" spans="1:247" s="40" customFormat="1" ht="20.25" customHeight="1" x14ac:dyDescent="0.25">
      <c r="A161" s="75">
        <v>43411</v>
      </c>
      <c r="B161" s="144">
        <v>462.9332</v>
      </c>
      <c r="C161" s="144">
        <f t="shared" ref="C161" si="270">0.997*B161</f>
        <v>461.54440039999997</v>
      </c>
      <c r="D161" s="144">
        <f t="shared" ref="D161" si="271">1.003*B161</f>
        <v>464.32199959999997</v>
      </c>
      <c r="E161" s="78">
        <f>8567.518/1800.553*100</f>
        <v>475.82703758234271</v>
      </c>
      <c r="F161" s="76"/>
      <c r="G161" s="137"/>
      <c r="H161" s="78">
        <v>146.60419999999999</v>
      </c>
      <c r="I161" s="78">
        <v>155.28389999999999</v>
      </c>
      <c r="J161" s="79">
        <f t="shared" si="242"/>
        <v>285.18362597321641</v>
      </c>
      <c r="K161" s="80">
        <v>363652.4</v>
      </c>
      <c r="L161" s="81">
        <f t="shared" si="243"/>
        <v>168.34676921968</v>
      </c>
      <c r="M161" s="151"/>
      <c r="N161" s="64"/>
      <c r="O161" s="39"/>
      <c r="P161" s="39"/>
      <c r="Q161" s="39"/>
      <c r="R161" s="39"/>
      <c r="S161" s="39"/>
      <c r="T161" s="39"/>
      <c r="U161" s="39"/>
      <c r="V161" s="39"/>
      <c r="W161" s="39"/>
      <c r="IH161" s="41"/>
      <c r="II161" s="41"/>
      <c r="IJ161" s="41"/>
      <c r="IK161" s="41"/>
      <c r="IL161" s="41"/>
      <c r="IM161" s="41"/>
    </row>
    <row r="162" spans="1:247" s="40" customFormat="1" ht="20.25" customHeight="1" x14ac:dyDescent="0.25">
      <c r="A162" s="75">
        <v>43404</v>
      </c>
      <c r="B162" s="144">
        <v>462.45954399999999</v>
      </c>
      <c r="C162" s="144">
        <f t="shared" ref="C162" si="272">0.997*B162</f>
        <v>461.07216536800001</v>
      </c>
      <c r="D162" s="144">
        <f t="shared" ref="D162" si="273">1.003*B162</f>
        <v>463.84692263199992</v>
      </c>
      <c r="E162" s="78">
        <f>8309.11/1800.553*100</f>
        <v>461.47544670998298</v>
      </c>
      <c r="F162" s="76"/>
      <c r="G162" s="137"/>
      <c r="H162" s="78">
        <v>145.63399999999999</v>
      </c>
      <c r="I162" s="78">
        <v>155.2499</v>
      </c>
      <c r="J162" s="79">
        <f t="shared" si="242"/>
        <v>279.89895656823944</v>
      </c>
      <c r="K162" s="80">
        <v>364952.34</v>
      </c>
      <c r="L162" s="81">
        <f t="shared" si="243"/>
        <v>168.77569273813299</v>
      </c>
      <c r="M162" s="151"/>
      <c r="N162" s="64"/>
      <c r="O162" s="39"/>
      <c r="P162" s="39"/>
      <c r="Q162" s="39"/>
      <c r="R162" s="39"/>
      <c r="S162" s="39"/>
      <c r="T162" s="39"/>
      <c r="U162" s="39"/>
      <c r="V162" s="39"/>
      <c r="W162" s="39"/>
      <c r="IH162" s="41"/>
      <c r="II162" s="41"/>
      <c r="IJ162" s="41"/>
      <c r="IK162" s="41"/>
      <c r="IL162" s="41"/>
      <c r="IM162" s="41"/>
    </row>
    <row r="163" spans="1:247" s="163" customFormat="1" ht="20.25" customHeight="1" x14ac:dyDescent="0.25">
      <c r="A163" s="75">
        <v>43397</v>
      </c>
      <c r="B163" s="144">
        <v>458.39710000000002</v>
      </c>
      <c r="C163" s="144">
        <f t="shared" ref="C163" si="274">0.997*B163</f>
        <v>457.02190870000004</v>
      </c>
      <c r="D163" s="144">
        <f t="shared" ref="D163" si="275">1.003*B163</f>
        <v>459.77229129999995</v>
      </c>
      <c r="E163" s="78">
        <f>8170.622/1800.553*100</f>
        <v>453.78403190575341</v>
      </c>
      <c r="F163" s="76"/>
      <c r="G163" s="137"/>
      <c r="H163" s="78">
        <v>146.1788</v>
      </c>
      <c r="I163" s="78">
        <v>155.21680000000001</v>
      </c>
      <c r="J163" s="79">
        <f t="shared" si="242"/>
        <v>278.06061959783636</v>
      </c>
      <c r="K163" s="80">
        <v>365878.64</v>
      </c>
      <c r="L163" s="81">
        <f t="shared" si="243"/>
        <v>167.71770752794401</v>
      </c>
      <c r="M163" s="152"/>
      <c r="N163" s="66"/>
      <c r="O163" s="162"/>
      <c r="P163" s="162"/>
      <c r="Q163" s="162"/>
      <c r="R163" s="162"/>
      <c r="S163" s="162"/>
      <c r="T163" s="162"/>
      <c r="U163" s="162"/>
      <c r="V163" s="162"/>
      <c r="W163" s="162"/>
      <c r="IH163" s="164"/>
      <c r="II163" s="164"/>
      <c r="IJ163" s="164"/>
      <c r="IK163" s="164"/>
      <c r="IL163" s="164"/>
      <c r="IM163" s="164"/>
    </row>
    <row r="164" spans="1:247" s="40" customFormat="1" ht="20.25" customHeight="1" x14ac:dyDescent="0.25">
      <c r="A164" s="75">
        <v>43390</v>
      </c>
      <c r="B164" s="144">
        <v>462.32659999999998</v>
      </c>
      <c r="C164" s="144">
        <f t="shared" ref="C164" si="276">0.997*B164</f>
        <v>460.93962019999998</v>
      </c>
      <c r="D164" s="144">
        <f t="shared" ref="D164" si="277">1.003*B164</f>
        <v>463.71357979999993</v>
      </c>
      <c r="E164" s="78">
        <f>8583.494/1800.553*100</f>
        <v>476.7143205448549</v>
      </c>
      <c r="F164" s="76"/>
      <c r="G164" s="137"/>
      <c r="H164" s="78">
        <v>146.71600000000001</v>
      </c>
      <c r="I164" s="78">
        <v>155.18379999999999</v>
      </c>
      <c r="J164" s="79">
        <f t="shared" si="242"/>
        <v>285.44833471530825</v>
      </c>
      <c r="K164" s="80">
        <v>365878.64</v>
      </c>
      <c r="L164" s="81">
        <f t="shared" si="243"/>
        <v>169.155427643824</v>
      </c>
      <c r="M164" s="151"/>
      <c r="N164" s="64"/>
      <c r="O164" s="39"/>
      <c r="P164" s="39"/>
      <c r="Q164" s="39"/>
      <c r="R164" s="39"/>
      <c r="S164" s="39"/>
      <c r="T164" s="39"/>
      <c r="U164" s="39"/>
      <c r="V164" s="39"/>
      <c r="W164" s="39"/>
      <c r="IH164" s="41"/>
      <c r="II164" s="41"/>
      <c r="IJ164" s="41"/>
      <c r="IK164" s="41"/>
      <c r="IL164" s="41"/>
      <c r="IM164" s="41"/>
    </row>
    <row r="165" spans="1:247" s="40" customFormat="1" ht="20.25" customHeight="1" x14ac:dyDescent="0.25">
      <c r="A165" s="75">
        <v>43383</v>
      </c>
      <c r="B165" s="144">
        <v>463.79410000000001</v>
      </c>
      <c r="C165" s="144">
        <f t="shared" ref="C165" si="278">0.997*B165</f>
        <v>462.40271770000004</v>
      </c>
      <c r="D165" s="144">
        <f t="shared" ref="D165" si="279">1.003*B165</f>
        <v>465.18548229999999</v>
      </c>
      <c r="E165" s="78">
        <f>8580.012/1800.553*100</f>
        <v>476.52093551258974</v>
      </c>
      <c r="F165" s="76"/>
      <c r="G165" s="137"/>
      <c r="H165" s="78">
        <v>146.8126</v>
      </c>
      <c r="I165" s="78">
        <v>155.15049999999999</v>
      </c>
      <c r="J165" s="79">
        <f t="shared" si="242"/>
        <v>285.48432782762848</v>
      </c>
      <c r="K165" s="80">
        <v>365899.34</v>
      </c>
      <c r="L165" s="81">
        <f t="shared" si="243"/>
        <v>169.70195508589401</v>
      </c>
      <c r="M165" s="151"/>
      <c r="N165" s="64"/>
      <c r="O165" s="39"/>
      <c r="P165" s="39"/>
      <c r="Q165" s="39"/>
      <c r="R165" s="39"/>
      <c r="S165" s="39"/>
      <c r="T165" s="39"/>
      <c r="U165" s="39"/>
      <c r="V165" s="39"/>
      <c r="W165" s="39"/>
      <c r="IH165" s="41"/>
      <c r="II165" s="41"/>
      <c r="IJ165" s="41"/>
      <c r="IK165" s="41"/>
      <c r="IL165" s="41"/>
      <c r="IM165" s="41"/>
    </row>
    <row r="166" spans="1:247" s="40" customFormat="1" ht="20.25" customHeight="1" x14ac:dyDescent="0.25">
      <c r="A166" s="75">
        <v>43376</v>
      </c>
      <c r="B166" s="144">
        <v>473.0881</v>
      </c>
      <c r="C166" s="144">
        <f t="shared" ref="C166" si="280">0.997*B166</f>
        <v>471.66883569999999</v>
      </c>
      <c r="D166" s="144">
        <f t="shared" ref="D166" si="281">1.003*B166</f>
        <v>474.50736429999995</v>
      </c>
      <c r="E166" s="78">
        <f>8964.141/1800.553*100</f>
        <v>497.85488125037142</v>
      </c>
      <c r="F166" s="76"/>
      <c r="G166" s="137"/>
      <c r="H166" s="78">
        <v>146.1961</v>
      </c>
      <c r="I166" s="78">
        <v>155.1174</v>
      </c>
      <c r="J166" s="79">
        <f t="shared" si="242"/>
        <v>291.10777265561069</v>
      </c>
      <c r="K166" s="80">
        <v>365899</v>
      </c>
      <c r="L166" s="81">
        <f t="shared" si="243"/>
        <v>173.10246270190001</v>
      </c>
      <c r="M166" s="151"/>
      <c r="N166" s="64"/>
      <c r="O166" s="39"/>
      <c r="P166" s="39"/>
      <c r="Q166" s="39"/>
      <c r="R166" s="39"/>
      <c r="S166" s="39"/>
      <c r="T166" s="39"/>
      <c r="U166" s="39"/>
      <c r="V166" s="39"/>
      <c r="W166" s="39"/>
      <c r="IH166" s="41"/>
      <c r="II166" s="41"/>
      <c r="IJ166" s="41"/>
      <c r="IK166" s="41"/>
      <c r="IL166" s="41"/>
      <c r="IM166" s="41"/>
    </row>
    <row r="167" spans="1:247" s="163" customFormat="1" ht="20.25" customHeight="1" x14ac:dyDescent="0.25">
      <c r="A167" s="75">
        <v>43369</v>
      </c>
      <c r="B167" s="144">
        <v>477.77510000000001</v>
      </c>
      <c r="C167" s="144">
        <f t="shared" ref="C167" si="282">0.997*B167</f>
        <v>476.34177470000003</v>
      </c>
      <c r="D167" s="144">
        <f t="shared" ref="D167" si="283">1.003*B167</f>
        <v>479.20842529999993</v>
      </c>
      <c r="E167" s="78">
        <f>8985/1800.553*100</f>
        <v>499.0133586736963</v>
      </c>
      <c r="F167" s="76"/>
      <c r="G167" s="137"/>
      <c r="H167" s="78">
        <v>147.69220000000001</v>
      </c>
      <c r="I167" s="78">
        <v>155.08439999999999</v>
      </c>
      <c r="J167" s="79">
        <f t="shared" si="242"/>
        <v>292.93147423502256</v>
      </c>
      <c r="K167" s="80">
        <v>366603.34</v>
      </c>
      <c r="L167" s="81">
        <f t="shared" si="243"/>
        <v>175.15394742883402</v>
      </c>
      <c r="M167" s="152"/>
      <c r="N167" s="66"/>
      <c r="O167" s="162"/>
      <c r="P167" s="162"/>
      <c r="Q167" s="162"/>
      <c r="R167" s="162"/>
      <c r="S167" s="162"/>
      <c r="T167" s="162"/>
      <c r="U167" s="162"/>
      <c r="V167" s="162"/>
      <c r="W167" s="162"/>
      <c r="IH167" s="164"/>
      <c r="II167" s="164"/>
      <c r="IJ167" s="164"/>
      <c r="IK167" s="164"/>
      <c r="IL167" s="164"/>
      <c r="IM167" s="164"/>
    </row>
    <row r="168" spans="1:247" s="40" customFormat="1" ht="20.25" customHeight="1" x14ac:dyDescent="0.25">
      <c r="A168" s="75">
        <v>43362</v>
      </c>
      <c r="B168" s="144">
        <v>474.815</v>
      </c>
      <c r="C168" s="144">
        <f t="shared" ref="C168" si="284">0.997*B168</f>
        <v>473.39055500000001</v>
      </c>
      <c r="D168" s="144">
        <f t="shared" ref="D168" si="285">1.003*B168</f>
        <v>476.23944499999993</v>
      </c>
      <c r="E168" s="78">
        <f>8929.819/1800.553*100</f>
        <v>495.94868909718286</v>
      </c>
      <c r="F168" s="76"/>
      <c r="G168" s="137"/>
      <c r="H168" s="78">
        <v>147.51390000000001</v>
      </c>
      <c r="I168" s="78">
        <v>155.05199999999999</v>
      </c>
      <c r="J168" s="79">
        <f t="shared" si="242"/>
        <v>291.85335216019945</v>
      </c>
      <c r="K168" s="80">
        <v>366603.34</v>
      </c>
      <c r="L168" s="81">
        <f t="shared" si="243"/>
        <v>174.06876488210003</v>
      </c>
      <c r="M168" s="151"/>
      <c r="N168" s="64"/>
      <c r="O168" s="39"/>
      <c r="P168" s="39"/>
      <c r="Q168" s="39"/>
      <c r="R168" s="39"/>
      <c r="S168" s="39"/>
      <c r="T168" s="39"/>
      <c r="U168" s="39"/>
      <c r="V168" s="39"/>
      <c r="W168" s="39"/>
      <c r="IH168" s="41"/>
      <c r="II168" s="41"/>
      <c r="IJ168" s="41"/>
      <c r="IK168" s="41"/>
      <c r="IL168" s="41"/>
      <c r="IM168" s="41"/>
    </row>
    <row r="169" spans="1:247" s="40" customFormat="1" ht="20.25" customHeight="1" x14ac:dyDescent="0.25">
      <c r="A169" s="75">
        <v>43355</v>
      </c>
      <c r="B169" s="144">
        <v>471.27780000000001</v>
      </c>
      <c r="C169" s="144">
        <f t="shared" ref="C169" si="286">0.997*B169</f>
        <v>469.86396660000003</v>
      </c>
      <c r="D169" s="144">
        <f t="shared" ref="D169" si="287">1.003*B169</f>
        <v>472.69163339999994</v>
      </c>
      <c r="E169" s="78">
        <f>8823.63/1800.553*100</f>
        <v>490.05111207501244</v>
      </c>
      <c r="F169" s="76"/>
      <c r="G169" s="137"/>
      <c r="H169" s="78">
        <v>147.25479999999999</v>
      </c>
      <c r="I169" s="78">
        <v>155.0197</v>
      </c>
      <c r="J169" s="79">
        <f t="shared" si="242"/>
        <v>289.85420577380302</v>
      </c>
      <c r="K169" s="80">
        <v>366603.39</v>
      </c>
      <c r="L169" s="81">
        <f t="shared" si="243"/>
        <v>172.77203911174203</v>
      </c>
      <c r="M169" s="151"/>
      <c r="N169" s="64"/>
      <c r="O169" s="39"/>
      <c r="P169" s="39"/>
      <c r="Q169" s="39"/>
      <c r="R169" s="39"/>
      <c r="S169" s="39"/>
      <c r="T169" s="39"/>
      <c r="U169" s="39"/>
      <c r="V169" s="39"/>
      <c r="W169" s="39"/>
      <c r="IH169" s="41"/>
      <c r="II169" s="41"/>
      <c r="IJ169" s="41"/>
      <c r="IK169" s="41"/>
      <c r="IL169" s="41"/>
      <c r="IM169" s="41"/>
    </row>
    <row r="170" spans="1:247" s="40" customFormat="1" ht="20.25" customHeight="1" x14ac:dyDescent="0.25">
      <c r="A170" s="75">
        <v>43348</v>
      </c>
      <c r="B170" s="144">
        <v>475.2285</v>
      </c>
      <c r="C170" s="144">
        <f t="shared" ref="C170" si="288">0.997*B170</f>
        <v>473.80281450000001</v>
      </c>
      <c r="D170" s="144">
        <f t="shared" ref="D170" si="289">1.003*B170</f>
        <v>476.65418549999993</v>
      </c>
      <c r="E170" s="78">
        <f>8819.759/1800.553*100</f>
        <v>489.83612256901068</v>
      </c>
      <c r="F170" s="76"/>
      <c r="G170" s="137"/>
      <c r="H170" s="78">
        <v>146.9547</v>
      </c>
      <c r="I170" s="78">
        <v>154.98779999999999</v>
      </c>
      <c r="J170" s="79">
        <f t="shared" si="242"/>
        <v>289.49508324548788</v>
      </c>
      <c r="K170" s="80">
        <v>366911.42</v>
      </c>
      <c r="L170" s="81">
        <f t="shared" si="243"/>
        <v>174.36676375946999</v>
      </c>
      <c r="M170" s="151"/>
      <c r="N170" s="64"/>
      <c r="O170" s="39"/>
      <c r="P170" s="39"/>
      <c r="Q170" s="39"/>
      <c r="R170" s="39"/>
      <c r="S170" s="39"/>
      <c r="T170" s="39"/>
      <c r="U170" s="39"/>
      <c r="V170" s="39"/>
      <c r="W170" s="39"/>
      <c r="IH170" s="41"/>
      <c r="II170" s="41"/>
      <c r="IJ170" s="41"/>
      <c r="IK170" s="41"/>
      <c r="IL170" s="41"/>
      <c r="IM170" s="41"/>
    </row>
    <row r="171" spans="1:247" s="40" customFormat="1" ht="20.25" customHeight="1" x14ac:dyDescent="0.25">
      <c r="A171" s="75">
        <v>43341</v>
      </c>
      <c r="B171" s="144">
        <v>481.80739999999997</v>
      </c>
      <c r="C171" s="144">
        <f t="shared" ref="C171" si="290">0.997*B171</f>
        <v>480.36197779999998</v>
      </c>
      <c r="D171" s="144">
        <f t="shared" ref="D171" si="291">1.003*B171</f>
        <v>483.25282219999991</v>
      </c>
      <c r="E171" s="78">
        <f>8972.524/1800.553*100</f>
        <v>498.32046043632141</v>
      </c>
      <c r="F171" s="76"/>
      <c r="G171" s="137"/>
      <c r="H171" s="78">
        <v>147.49950000000001</v>
      </c>
      <c r="I171" s="78">
        <v>154.9563</v>
      </c>
      <c r="J171" s="79">
        <f t="shared" si="242"/>
        <v>292.52556602856646</v>
      </c>
      <c r="K171" s="80">
        <v>367316.96</v>
      </c>
      <c r="L171" s="81">
        <f t="shared" si="243"/>
        <v>176.97602947350401</v>
      </c>
      <c r="M171" s="151"/>
      <c r="N171" s="64"/>
      <c r="O171" s="39"/>
      <c r="P171" s="39"/>
      <c r="Q171" s="39"/>
      <c r="R171" s="39"/>
      <c r="S171" s="39"/>
      <c r="T171" s="39"/>
      <c r="U171" s="39"/>
      <c r="V171" s="39"/>
      <c r="W171" s="39"/>
      <c r="IH171" s="41"/>
      <c r="II171" s="41"/>
      <c r="IJ171" s="41"/>
      <c r="IK171" s="41"/>
      <c r="IL171" s="41"/>
      <c r="IM171" s="41"/>
    </row>
    <row r="172" spans="1:247" s="40" customFormat="1" ht="20.25" customHeight="1" x14ac:dyDescent="0.25">
      <c r="A172" s="75">
        <v>43334</v>
      </c>
      <c r="B172" s="144">
        <v>480.53160000000003</v>
      </c>
      <c r="C172" s="144">
        <f t="shared" ref="C172" si="292">0.997*B172</f>
        <v>479.09000520000001</v>
      </c>
      <c r="D172" s="144">
        <f t="shared" ref="D172" si="293">1.003*B172</f>
        <v>481.97319479999999</v>
      </c>
      <c r="E172" s="78">
        <f>8827.36/1800.553*100</f>
        <v>490.25827065351592</v>
      </c>
      <c r="F172" s="76"/>
      <c r="G172" s="137"/>
      <c r="H172" s="78">
        <v>147.08330000000001</v>
      </c>
      <c r="I172" s="78">
        <v>154.92519999999999</v>
      </c>
      <c r="J172" s="79">
        <f t="shared" si="242"/>
        <v>289.73333779401986</v>
      </c>
      <c r="K172" s="80">
        <v>367452.64</v>
      </c>
      <c r="L172" s="81">
        <f t="shared" si="243"/>
        <v>176.57260502342402</v>
      </c>
      <c r="M172" s="151"/>
      <c r="N172" s="64"/>
      <c r="O172" s="39"/>
      <c r="P172" s="39"/>
      <c r="Q172" s="39"/>
      <c r="R172" s="39"/>
      <c r="S172" s="39"/>
      <c r="T172" s="39"/>
      <c r="U172" s="39"/>
      <c r="V172" s="39"/>
      <c r="W172" s="39"/>
      <c r="IH172" s="41"/>
      <c r="II172" s="41"/>
      <c r="IJ172" s="41"/>
      <c r="IK172" s="41"/>
      <c r="IL172" s="41"/>
      <c r="IM172" s="41"/>
    </row>
    <row r="173" spans="1:247" s="40" customFormat="1" ht="20.25" customHeight="1" x14ac:dyDescent="0.25">
      <c r="A173" s="75">
        <v>43327</v>
      </c>
      <c r="B173" s="144">
        <v>472.71257100000003</v>
      </c>
      <c r="C173" s="144">
        <f t="shared" ref="C173" si="294">0.997*B173</f>
        <v>471.294433287</v>
      </c>
      <c r="D173" s="144">
        <f t="shared" ref="D173" si="295">1.003*B173</f>
        <v>474.13070871299999</v>
      </c>
      <c r="E173" s="78">
        <f>8657.633/1800.553*100</f>
        <v>480.8318888696972</v>
      </c>
      <c r="F173" s="76"/>
      <c r="G173" s="137"/>
      <c r="H173" s="78">
        <v>145.8201</v>
      </c>
      <c r="I173" s="78">
        <v>154.8946</v>
      </c>
      <c r="J173" s="79">
        <f t="shared" si="242"/>
        <v>285.6954542292774</v>
      </c>
      <c r="K173" s="80">
        <v>369709.21519999998</v>
      </c>
      <c r="L173" s="81">
        <f t="shared" si="243"/>
        <v>174.76619363958429</v>
      </c>
      <c r="M173" s="151"/>
      <c r="N173" s="64"/>
      <c r="O173" s="39"/>
      <c r="P173" s="39"/>
      <c r="Q173" s="39"/>
      <c r="R173" s="39"/>
      <c r="S173" s="39"/>
      <c r="T173" s="39"/>
      <c r="U173" s="39"/>
      <c r="V173" s="39"/>
      <c r="W173" s="39"/>
      <c r="IH173" s="41"/>
      <c r="II173" s="41"/>
      <c r="IJ173" s="41"/>
      <c r="IK173" s="41"/>
      <c r="IL173" s="41"/>
      <c r="IM173" s="41"/>
    </row>
    <row r="174" spans="1:247" s="28" customFormat="1" ht="20.25" customHeight="1" x14ac:dyDescent="0.25">
      <c r="A174" s="75">
        <v>43320</v>
      </c>
      <c r="B174" s="144">
        <v>478.49875300000002</v>
      </c>
      <c r="C174" s="144">
        <f t="shared" ref="C174" si="296">0.997*B174</f>
        <v>477.06325674100003</v>
      </c>
      <c r="D174" s="144">
        <f t="shared" ref="D174" si="297">1.003*B174</f>
        <v>479.93424925899996</v>
      </c>
      <c r="E174" s="78">
        <f>8855.145/1800.553*100</f>
        <v>491.80140767864094</v>
      </c>
      <c r="F174" s="76"/>
      <c r="G174" s="137"/>
      <c r="H174" s="78">
        <v>146.96850000000001</v>
      </c>
      <c r="I174" s="78">
        <v>154.864</v>
      </c>
      <c r="J174" s="79">
        <f t="shared" si="242"/>
        <v>290.06362274569227</v>
      </c>
      <c r="K174" s="80">
        <v>371853.54259999999</v>
      </c>
      <c r="L174" s="81">
        <f t="shared" si="243"/>
        <v>177.93145643273238</v>
      </c>
      <c r="M174" s="152"/>
      <c r="N174" s="66"/>
      <c r="O174" s="27"/>
      <c r="P174" s="27"/>
      <c r="Q174" s="27"/>
      <c r="R174" s="27"/>
      <c r="S174" s="27"/>
      <c r="T174" s="27"/>
      <c r="U174" s="27"/>
      <c r="V174" s="27"/>
      <c r="W174" s="27"/>
      <c r="IH174" s="161"/>
      <c r="II174" s="161"/>
      <c r="IJ174" s="161"/>
      <c r="IK174" s="161"/>
      <c r="IL174" s="161"/>
      <c r="IM174" s="161"/>
    </row>
    <row r="175" spans="1:247" s="28" customFormat="1" ht="20.25" customHeight="1" x14ac:dyDescent="0.25">
      <c r="A175" s="75">
        <v>43313</v>
      </c>
      <c r="B175" s="144">
        <v>479.09057000000001</v>
      </c>
      <c r="C175" s="144">
        <f t="shared" ref="C175" si="298">0.997*B175</f>
        <v>477.65329829000001</v>
      </c>
      <c r="D175" s="144">
        <f t="shared" ref="D175" si="299">1.003*B175</f>
        <v>480.52784170999996</v>
      </c>
      <c r="E175" s="78">
        <f>8783.723/1800.553*100</f>
        <v>487.83473743899782</v>
      </c>
      <c r="F175" s="76"/>
      <c r="G175" s="137"/>
      <c r="H175" s="78">
        <v>147.244</v>
      </c>
      <c r="I175" s="78">
        <v>154.8331</v>
      </c>
      <c r="J175" s="79">
        <f t="shared" si="242"/>
        <v>289.15853739777765</v>
      </c>
      <c r="K175" s="80">
        <v>375186.34269999998</v>
      </c>
      <c r="L175" s="81">
        <f t="shared" si="243"/>
        <v>179.74823878035835</v>
      </c>
      <c r="M175" s="152"/>
      <c r="N175" s="66"/>
      <c r="O175" s="27"/>
      <c r="P175" s="27"/>
      <c r="Q175" s="27"/>
      <c r="R175" s="27"/>
      <c r="S175" s="27"/>
      <c r="T175" s="27"/>
      <c r="U175" s="27"/>
      <c r="V175" s="27"/>
      <c r="W175" s="27"/>
      <c r="IH175" s="32"/>
      <c r="II175" s="32"/>
      <c r="IJ175" s="32"/>
      <c r="IK175" s="32"/>
      <c r="IL175" s="32"/>
      <c r="IM175" s="32"/>
    </row>
    <row r="176" spans="1:247" s="28" customFormat="1" ht="20.25" customHeight="1" x14ac:dyDescent="0.25">
      <c r="A176" s="75">
        <v>43306</v>
      </c>
      <c r="B176" s="144">
        <v>477.91434500000003</v>
      </c>
      <c r="C176" s="144">
        <f t="shared" ref="C176" si="300">0.997*B176</f>
        <v>476.48060196500001</v>
      </c>
      <c r="D176" s="144">
        <f t="shared" ref="D176" si="301">1.003*B176</f>
        <v>479.34808803499999</v>
      </c>
      <c r="E176" s="78">
        <f>8832.601/1800.553*100</f>
        <v>490.54934789478563</v>
      </c>
      <c r="F176" s="76"/>
      <c r="G176" s="137"/>
      <c r="H176" s="78">
        <v>147.60810000000001</v>
      </c>
      <c r="I176" s="78">
        <v>154.80250000000001</v>
      </c>
      <c r="J176" s="79">
        <f t="shared" si="242"/>
        <v>290.31988721530183</v>
      </c>
      <c r="K176" s="80">
        <v>375186.47</v>
      </c>
      <c r="L176" s="81">
        <f t="shared" si="243"/>
        <v>179.30699606291213</v>
      </c>
      <c r="M176" s="152"/>
      <c r="N176" s="66"/>
      <c r="O176" s="27"/>
      <c r="P176" s="27"/>
      <c r="Q176" s="27"/>
      <c r="R176" s="27"/>
      <c r="S176" s="27"/>
      <c r="T176" s="27"/>
      <c r="U176" s="27"/>
      <c r="V176" s="27"/>
      <c r="W176" s="27"/>
      <c r="IH176" s="32"/>
      <c r="II176" s="32"/>
      <c r="IJ176" s="32"/>
      <c r="IK176" s="32"/>
      <c r="IL176" s="32"/>
      <c r="IM176" s="32"/>
    </row>
    <row r="177" spans="1:247" s="40" customFormat="1" ht="20.25" customHeight="1" x14ac:dyDescent="0.25">
      <c r="A177" s="75">
        <v>43299</v>
      </c>
      <c r="B177" s="144">
        <v>478.40230000000003</v>
      </c>
      <c r="C177" s="144">
        <f t="shared" ref="C177" si="302">0.997*B177</f>
        <v>476.9670931</v>
      </c>
      <c r="D177" s="144">
        <f t="shared" ref="D177" si="303">1.003*B177</f>
        <v>479.83750689999999</v>
      </c>
      <c r="E177" s="78">
        <f>8751.299/1800.553*100</f>
        <v>486.03395734532671</v>
      </c>
      <c r="F177" s="76"/>
      <c r="G177" s="137"/>
      <c r="H177" s="78">
        <v>146.78129999999999</v>
      </c>
      <c r="I177" s="78">
        <v>154.7722</v>
      </c>
      <c r="J177" s="79">
        <f t="shared" si="242"/>
        <v>288.16968775662599</v>
      </c>
      <c r="K177" s="80">
        <v>375186.47</v>
      </c>
      <c r="L177" s="81">
        <f t="shared" si="243"/>
        <v>179.49007017688098</v>
      </c>
      <c r="M177" s="151"/>
      <c r="N177" s="64"/>
      <c r="O177" s="39"/>
      <c r="P177" s="39"/>
      <c r="Q177" s="39"/>
      <c r="R177" s="39"/>
      <c r="S177" s="39"/>
      <c r="T177" s="39"/>
      <c r="U177" s="39"/>
      <c r="V177" s="39"/>
      <c r="W177" s="39"/>
      <c r="IH177" s="41"/>
      <c r="II177" s="41"/>
      <c r="IJ177" s="41"/>
      <c r="IK177" s="41"/>
      <c r="IL177" s="41"/>
      <c r="IM177" s="41"/>
    </row>
    <row r="178" spans="1:247" s="40" customFormat="1" ht="20.25" customHeight="1" x14ac:dyDescent="0.25">
      <c r="A178" s="75">
        <v>43292</v>
      </c>
      <c r="B178" s="144">
        <v>477.89280000000002</v>
      </c>
      <c r="C178" s="144">
        <f t="shared" ref="C178" si="304">0.997*B178</f>
        <v>476.4591216</v>
      </c>
      <c r="D178" s="144">
        <f t="shared" ref="D178" si="305">1.003*B178</f>
        <v>479.32647839999998</v>
      </c>
      <c r="E178" s="78">
        <f>8648.493/1800.553*100</f>
        <v>480.32426704462461</v>
      </c>
      <c r="F178" s="76"/>
      <c r="G178" s="137"/>
      <c r="H178" s="78">
        <v>147.10310000000001</v>
      </c>
      <c r="I178" s="78">
        <v>154.7422</v>
      </c>
      <c r="J178" s="79">
        <f t="shared" si="242"/>
        <v>286.77887098377892</v>
      </c>
      <c r="K178" s="80">
        <v>375016.93</v>
      </c>
      <c r="L178" s="81">
        <f t="shared" si="243"/>
        <v>179.21789072510401</v>
      </c>
      <c r="M178" s="151"/>
      <c r="N178" s="64"/>
      <c r="O178" s="39"/>
      <c r="P178" s="39"/>
      <c r="Q178" s="39"/>
      <c r="R178" s="39"/>
      <c r="S178" s="39"/>
      <c r="T178" s="39"/>
      <c r="U178" s="39"/>
      <c r="V178" s="39"/>
      <c r="W178" s="39"/>
      <c r="IH178" s="41"/>
      <c r="II178" s="41"/>
      <c r="IJ178" s="41"/>
      <c r="IK178" s="41"/>
      <c r="IL178" s="41"/>
      <c r="IM178" s="41"/>
    </row>
    <row r="179" spans="1:247" s="40" customFormat="1" ht="20.25" customHeight="1" x14ac:dyDescent="0.25">
      <c r="A179" s="75">
        <v>43285</v>
      </c>
      <c r="B179" s="144">
        <v>476.02760000000001</v>
      </c>
      <c r="C179" s="144">
        <f t="shared" ref="C179" si="306">0.997*B179</f>
        <v>474.59951719999998</v>
      </c>
      <c r="D179" s="144">
        <f t="shared" ref="D179" si="307">1.003*B179</f>
        <v>477.45568279999998</v>
      </c>
      <c r="E179" s="78">
        <f>8501.66/1800.553*100</f>
        <v>472.16938351717499</v>
      </c>
      <c r="F179" s="76"/>
      <c r="G179" s="137"/>
      <c r="H179" s="78">
        <v>147.29660000000001</v>
      </c>
      <c r="I179" s="78">
        <v>154.71260000000001</v>
      </c>
      <c r="J179" s="79">
        <f t="shared" si="242"/>
        <v>284.50885707876682</v>
      </c>
      <c r="K179" s="80">
        <v>376248.51</v>
      </c>
      <c r="L179" s="81">
        <f t="shared" si="243"/>
        <v>179.104675218876</v>
      </c>
      <c r="M179" s="151"/>
      <c r="N179" s="64"/>
      <c r="O179" s="39"/>
      <c r="P179" s="39"/>
      <c r="Q179" s="39"/>
      <c r="R179" s="39"/>
      <c r="S179" s="39"/>
      <c r="T179" s="39"/>
      <c r="U179" s="39"/>
      <c r="V179" s="39"/>
      <c r="W179" s="39"/>
      <c r="IH179" s="41"/>
      <c r="II179" s="41"/>
      <c r="IJ179" s="41"/>
      <c r="IK179" s="41"/>
      <c r="IL179" s="41"/>
      <c r="IM179" s="41"/>
    </row>
    <row r="180" spans="1:247" s="40" customFormat="1" ht="20.25" customHeight="1" x14ac:dyDescent="0.25">
      <c r="A180" s="75">
        <v>43278</v>
      </c>
      <c r="B180" s="144">
        <v>477.46699999999998</v>
      </c>
      <c r="C180" s="144">
        <f t="shared" ref="C180" si="308">0.997*B180</f>
        <v>476.03459899999996</v>
      </c>
      <c r="D180" s="144">
        <f t="shared" ref="D180" si="309">1.003*B180</f>
        <v>478.89940099999995</v>
      </c>
      <c r="E180" s="78">
        <f>8474.665/1800.553*100</f>
        <v>470.67012190143805</v>
      </c>
      <c r="F180" s="76"/>
      <c r="G180" s="137"/>
      <c r="H180" s="78">
        <v>146.7842</v>
      </c>
      <c r="I180" s="78">
        <v>154.68350000000001</v>
      </c>
      <c r="J180" s="79">
        <f t="shared" si="242"/>
        <v>283.56229557077859</v>
      </c>
      <c r="K180" s="80">
        <v>376248.51</v>
      </c>
      <c r="L180" s="81">
        <f t="shared" si="243"/>
        <v>179.64624732416999</v>
      </c>
      <c r="M180" s="151"/>
      <c r="N180" s="64"/>
      <c r="O180" s="39"/>
      <c r="P180" s="39"/>
      <c r="Q180" s="39"/>
      <c r="R180" s="39"/>
      <c r="S180" s="39"/>
      <c r="T180" s="39"/>
      <c r="U180" s="39"/>
      <c r="V180" s="39"/>
      <c r="W180" s="39"/>
      <c r="IH180" s="41"/>
      <c r="II180" s="41"/>
      <c r="IJ180" s="41"/>
      <c r="IK180" s="41"/>
      <c r="IL180" s="41"/>
      <c r="IM180" s="41"/>
    </row>
    <row r="181" spans="1:247" s="40" customFormat="1" ht="20.25" customHeight="1" x14ac:dyDescent="0.25">
      <c r="A181" s="75">
        <v>43271</v>
      </c>
      <c r="B181" s="144">
        <v>488.1429</v>
      </c>
      <c r="C181" s="144">
        <f t="shared" ref="C181" si="310">0.997*B181</f>
        <v>486.67847130000001</v>
      </c>
      <c r="D181" s="144">
        <f t="shared" ref="D181" si="311">1.003*B181</f>
        <v>489.60732869999993</v>
      </c>
      <c r="E181" s="78">
        <f>8641.505/1800.553*100</f>
        <v>479.93616405626483</v>
      </c>
      <c r="F181" s="76"/>
      <c r="G181" s="137"/>
      <c r="H181" s="78">
        <v>146.97559999999999</v>
      </c>
      <c r="I181" s="78">
        <v>154.6551</v>
      </c>
      <c r="J181" s="79">
        <f t="shared" si="242"/>
        <v>286.514697604861</v>
      </c>
      <c r="K181" s="80">
        <v>376248.51</v>
      </c>
      <c r="L181" s="81">
        <f t="shared" si="243"/>
        <v>183.66303879207899</v>
      </c>
      <c r="M181" s="151"/>
      <c r="N181" s="64"/>
      <c r="O181" s="39"/>
      <c r="P181" s="39"/>
      <c r="Q181" s="39"/>
      <c r="R181" s="39"/>
      <c r="S181" s="39"/>
      <c r="T181" s="39"/>
      <c r="U181" s="39"/>
      <c r="V181" s="39"/>
      <c r="W181" s="39"/>
      <c r="IH181" s="41"/>
      <c r="II181" s="41"/>
      <c r="IJ181" s="41"/>
      <c r="IK181" s="41"/>
      <c r="IL181" s="41"/>
      <c r="IM181" s="41"/>
    </row>
    <row r="182" spans="1:247" s="40" customFormat="1" ht="20.25" customHeight="1" x14ac:dyDescent="0.25">
      <c r="A182" s="75">
        <v>43264</v>
      </c>
      <c r="B182" s="144">
        <v>497.072</v>
      </c>
      <c r="C182" s="144">
        <f t="shared" ref="C182" si="312">0.997*B182</f>
        <v>495.58078399999999</v>
      </c>
      <c r="D182" s="144">
        <f t="shared" ref="D182" si="313">1.003*B182</f>
        <v>498.56321599999995</v>
      </c>
      <c r="E182" s="78">
        <f>8729.631/1800.553*100</f>
        <v>484.83054928124847</v>
      </c>
      <c r="F182" s="76"/>
      <c r="G182" s="137"/>
      <c r="H182" s="78">
        <v>148.25460000000001</v>
      </c>
      <c r="I182" s="78">
        <v>154.62649999999999</v>
      </c>
      <c r="J182" s="79">
        <f t="shared" si="242"/>
        <v>289.22211945795704</v>
      </c>
      <c r="K182" s="80">
        <v>377052.21</v>
      </c>
      <c r="L182" s="81">
        <f t="shared" si="243"/>
        <v>187.42209612912004</v>
      </c>
      <c r="M182" s="151"/>
      <c r="N182" s="64"/>
      <c r="O182" s="39"/>
      <c r="P182" s="39"/>
      <c r="Q182" s="39"/>
      <c r="R182" s="39"/>
      <c r="S182" s="39"/>
      <c r="T182" s="39"/>
      <c r="U182" s="39"/>
      <c r="V182" s="39"/>
      <c r="W182" s="39"/>
      <c r="IH182" s="41"/>
      <c r="II182" s="41"/>
      <c r="IJ182" s="41"/>
      <c r="IK182" s="41"/>
      <c r="IL182" s="41"/>
      <c r="IM182" s="41"/>
    </row>
    <row r="183" spans="1:247" s="40" customFormat="1" ht="20.25" customHeight="1" x14ac:dyDescent="0.25">
      <c r="A183" s="75">
        <v>43257</v>
      </c>
      <c r="B183" s="144">
        <v>497.8014</v>
      </c>
      <c r="C183" s="144">
        <f t="shared" ref="C183" si="314">0.997*B183</f>
        <v>496.30799580000001</v>
      </c>
      <c r="D183" s="144">
        <f t="shared" ref="D183" si="315">1.003*B183</f>
        <v>499.29480419999993</v>
      </c>
      <c r="E183" s="78">
        <f>8711.915/1800.553*100</f>
        <v>483.8466293410969</v>
      </c>
      <c r="F183" s="76"/>
      <c r="G183" s="137"/>
      <c r="H183" s="78">
        <v>148.33019999999999</v>
      </c>
      <c r="I183" s="78">
        <v>154.6</v>
      </c>
      <c r="J183" s="79">
        <f t="shared" si="242"/>
        <v>289.00191977133437</v>
      </c>
      <c r="K183" s="80">
        <v>377052.21</v>
      </c>
      <c r="L183" s="81">
        <f t="shared" si="243"/>
        <v>187.69711801109401</v>
      </c>
      <c r="M183" s="151"/>
      <c r="N183" s="64"/>
      <c r="O183" s="39"/>
      <c r="P183" s="39"/>
      <c r="Q183" s="39"/>
      <c r="R183" s="39"/>
      <c r="S183" s="39"/>
      <c r="T183" s="39"/>
      <c r="U183" s="39"/>
      <c r="V183" s="39"/>
      <c r="W183" s="39"/>
      <c r="IH183" s="41"/>
      <c r="II183" s="41"/>
      <c r="IJ183" s="41"/>
      <c r="IK183" s="41"/>
      <c r="IL183" s="41"/>
      <c r="IM183" s="41"/>
    </row>
    <row r="184" spans="1:247" s="40" customFormat="1" ht="20.25" customHeight="1" x14ac:dyDescent="0.25">
      <c r="A184" s="75">
        <v>43250</v>
      </c>
      <c r="B184" s="144">
        <v>488.5915</v>
      </c>
      <c r="C184" s="144">
        <f t="shared" ref="C184" si="316">0.997*B184</f>
        <v>487.12572549999999</v>
      </c>
      <c r="D184" s="144">
        <f t="shared" ref="D184" si="317">1.003*B184</f>
        <v>490.05727449999995</v>
      </c>
      <c r="E184" s="78">
        <f>8559.932/1800.553*100</f>
        <v>475.40572257523104</v>
      </c>
      <c r="F184" s="76"/>
      <c r="G184" s="137"/>
      <c r="H184" s="78">
        <v>147.9358</v>
      </c>
      <c r="I184" s="78">
        <v>154.57149999999999</v>
      </c>
      <c r="J184" s="79">
        <f t="shared" si="242"/>
        <v>286.0808645339817</v>
      </c>
      <c r="K184" s="80">
        <v>377052.21</v>
      </c>
      <c r="L184" s="81">
        <f t="shared" si="243"/>
        <v>184.22450486221501</v>
      </c>
      <c r="M184" s="151"/>
      <c r="N184" s="64"/>
      <c r="O184" s="39"/>
      <c r="P184" s="39"/>
      <c r="Q184" s="39"/>
      <c r="R184" s="39"/>
      <c r="S184" s="39"/>
      <c r="T184" s="39"/>
      <c r="U184" s="39"/>
      <c r="V184" s="39"/>
      <c r="W184" s="39"/>
      <c r="IH184" s="41"/>
      <c r="II184" s="41"/>
      <c r="IJ184" s="41"/>
      <c r="IK184" s="41"/>
      <c r="IL184" s="41"/>
      <c r="IM184" s="41"/>
    </row>
    <row r="185" spans="1:247" s="40" customFormat="1" ht="20.25" customHeight="1" x14ac:dyDescent="0.25">
      <c r="A185" s="75">
        <v>43243</v>
      </c>
      <c r="B185" s="144">
        <v>497.11239999999998</v>
      </c>
      <c r="C185" s="144">
        <f t="shared" ref="C185" si="318">0.997*B185</f>
        <v>495.6210628</v>
      </c>
      <c r="D185" s="144">
        <f t="shared" ref="D185" si="319">1.003*B185</f>
        <v>498.6037371999999</v>
      </c>
      <c r="E185" s="78">
        <f>8645.928/1800.553*100</f>
        <v>480.18181081034538</v>
      </c>
      <c r="F185" s="76"/>
      <c r="G185" s="137"/>
      <c r="H185" s="78">
        <v>147.80699999999999</v>
      </c>
      <c r="I185" s="78">
        <v>154.5438</v>
      </c>
      <c r="J185" s="79">
        <f t="shared" si="242"/>
        <v>287.38487480618573</v>
      </c>
      <c r="K185" s="80">
        <v>377052.21</v>
      </c>
      <c r="L185" s="81">
        <f t="shared" si="243"/>
        <v>187.43732903840399</v>
      </c>
      <c r="M185" s="151"/>
      <c r="N185" s="64"/>
      <c r="O185" s="39"/>
      <c r="P185" s="39"/>
      <c r="Q185" s="39"/>
      <c r="R185" s="39"/>
      <c r="S185" s="39"/>
      <c r="T185" s="39"/>
      <c r="U185" s="39"/>
      <c r="V185" s="39"/>
      <c r="W185" s="39"/>
      <c r="IH185" s="41"/>
      <c r="II185" s="41"/>
      <c r="IJ185" s="41"/>
      <c r="IK185" s="41"/>
      <c r="IL185" s="41"/>
      <c r="IM185" s="41"/>
    </row>
    <row r="186" spans="1:247" s="40" customFormat="1" ht="20.25" customHeight="1" x14ac:dyDescent="0.25">
      <c r="A186" s="75">
        <v>43236</v>
      </c>
      <c r="B186" s="144">
        <v>500.07819999999998</v>
      </c>
      <c r="C186" s="144">
        <f t="shared" ref="C186" si="320">0.997*B186</f>
        <v>498.57796539999998</v>
      </c>
      <c r="D186" s="144">
        <f t="shared" ref="D186" si="321">1.003*B186</f>
        <v>501.57843459999992</v>
      </c>
      <c r="E186" s="78">
        <f>8638.248/1800.553*100</f>
        <v>479.75527518490145</v>
      </c>
      <c r="F186" s="76"/>
      <c r="G186" s="137"/>
      <c r="H186" s="78">
        <v>148.15110000000001</v>
      </c>
      <c r="I186" s="78">
        <v>154.51560000000001</v>
      </c>
      <c r="J186" s="79">
        <f t="shared" si="242"/>
        <v>287.59101422855053</v>
      </c>
      <c r="K186" s="80">
        <v>377592.79</v>
      </c>
      <c r="L186" s="81">
        <f t="shared" si="243"/>
        <v>188.82592275617799</v>
      </c>
      <c r="M186" s="151"/>
      <c r="N186" s="64"/>
      <c r="O186" s="39"/>
      <c r="P186" s="39"/>
      <c r="Q186" s="39"/>
      <c r="R186" s="39"/>
      <c r="S186" s="39"/>
      <c r="T186" s="39"/>
      <c r="U186" s="39"/>
      <c r="V186" s="39"/>
      <c r="W186" s="39"/>
      <c r="IH186" s="41"/>
      <c r="II186" s="41"/>
      <c r="IJ186" s="41"/>
      <c r="IK186" s="41"/>
      <c r="IL186" s="41"/>
      <c r="IM186" s="41"/>
    </row>
    <row r="187" spans="1:247" s="40" customFormat="1" ht="20.25" customHeight="1" x14ac:dyDescent="0.25">
      <c r="A187" s="75">
        <v>43229</v>
      </c>
      <c r="B187" s="144">
        <v>496.8879</v>
      </c>
      <c r="C187" s="144">
        <f t="shared" ref="C187" si="322">0.997*B187</f>
        <v>495.39723629999997</v>
      </c>
      <c r="D187" s="144">
        <f t="shared" ref="D187" si="323">1.003*B187</f>
        <v>498.37856369999997</v>
      </c>
      <c r="E187" s="78">
        <f>8573.202/1800.553*100</f>
        <v>476.14271837596556</v>
      </c>
      <c r="F187" s="76"/>
      <c r="G187" s="137"/>
      <c r="H187" s="78">
        <v>148.2483</v>
      </c>
      <c r="I187" s="78">
        <v>154.48779999999999</v>
      </c>
      <c r="J187" s="79">
        <f t="shared" si="242"/>
        <v>286.59774190724079</v>
      </c>
      <c r="K187" s="80">
        <v>377776.23</v>
      </c>
      <c r="L187" s="81">
        <f t="shared" si="243"/>
        <v>187.71243759461697</v>
      </c>
      <c r="M187" s="151"/>
      <c r="N187" s="64"/>
      <c r="O187" s="39"/>
      <c r="P187" s="39"/>
      <c r="Q187" s="39"/>
      <c r="R187" s="39"/>
      <c r="S187" s="39"/>
      <c r="T187" s="39"/>
      <c r="U187" s="39"/>
      <c r="V187" s="39"/>
      <c r="W187" s="39"/>
      <c r="IH187" s="41"/>
      <c r="II187" s="41"/>
      <c r="IJ187" s="41"/>
      <c r="IK187" s="41"/>
      <c r="IL187" s="41"/>
      <c r="IM187" s="41"/>
    </row>
    <row r="188" spans="1:247" s="40" customFormat="1" ht="20.25" customHeight="1" x14ac:dyDescent="0.25">
      <c r="A188" s="75">
        <v>43222</v>
      </c>
      <c r="B188" s="144">
        <v>499.00810000000001</v>
      </c>
      <c r="C188" s="144">
        <f t="shared" ref="C188" si="324">0.997*B188</f>
        <v>497.51107569999999</v>
      </c>
      <c r="D188" s="144">
        <f t="shared" ref="D188" si="325">1.003*B188</f>
        <v>500.50512429999998</v>
      </c>
      <c r="E188" s="78">
        <f>8431.197/1800.553*100</f>
        <v>468.25597469221958</v>
      </c>
      <c r="F188" s="76"/>
      <c r="G188" s="137"/>
      <c r="H188" s="78">
        <v>148.6482</v>
      </c>
      <c r="I188" s="78">
        <v>154.46029999999999</v>
      </c>
      <c r="J188" s="79">
        <f t="shared" si="242"/>
        <v>284.58394626437291</v>
      </c>
      <c r="K188" s="80">
        <v>378965.12</v>
      </c>
      <c r="L188" s="81">
        <f t="shared" si="243"/>
        <v>189.106664497472</v>
      </c>
      <c r="M188" s="151"/>
      <c r="N188" s="64"/>
      <c r="O188" s="39"/>
      <c r="P188" s="39"/>
      <c r="Q188" s="39"/>
      <c r="R188" s="39"/>
      <c r="S188" s="39"/>
      <c r="T188" s="39"/>
      <c r="U188" s="39"/>
      <c r="V188" s="39"/>
      <c r="W188" s="39"/>
      <c r="IH188" s="41"/>
      <c r="II188" s="41"/>
      <c r="IJ188" s="41"/>
      <c r="IK188" s="41"/>
      <c r="IL188" s="41"/>
      <c r="IM188" s="41"/>
    </row>
    <row r="189" spans="1:247" s="40" customFormat="1" ht="20.25" customHeight="1" x14ac:dyDescent="0.25">
      <c r="A189" s="75">
        <v>43215</v>
      </c>
      <c r="B189" s="144">
        <v>502.81180000000001</v>
      </c>
      <c r="C189" s="144">
        <f t="shared" ref="C189" si="326">0.997*B189</f>
        <v>501.30336460000001</v>
      </c>
      <c r="D189" s="144">
        <f t="shared" ref="D189" si="327">1.003*B189</f>
        <v>504.32023539999994</v>
      </c>
      <c r="E189" s="78">
        <f>8426.223/1800.553*100</f>
        <v>467.97972622855309</v>
      </c>
      <c r="F189" s="76"/>
      <c r="G189" s="137"/>
      <c r="H189" s="78">
        <v>149.30340000000001</v>
      </c>
      <c r="I189" s="78">
        <v>154.43340000000001</v>
      </c>
      <c r="J189" s="79">
        <f t="shared" si="242"/>
        <v>285.12541076286914</v>
      </c>
      <c r="K189" s="80">
        <v>379245.6</v>
      </c>
      <c r="L189" s="81">
        <f t="shared" si="243"/>
        <v>190.68916277807998</v>
      </c>
      <c r="M189" s="151"/>
      <c r="N189" s="64"/>
      <c r="O189" s="39"/>
      <c r="P189" s="39"/>
      <c r="Q189" s="39"/>
      <c r="R189" s="39"/>
      <c r="S189" s="39"/>
      <c r="T189" s="39"/>
      <c r="U189" s="39"/>
      <c r="V189" s="39"/>
      <c r="W189" s="39"/>
      <c r="IH189" s="41"/>
      <c r="II189" s="41"/>
      <c r="IJ189" s="41"/>
      <c r="IK189" s="41"/>
      <c r="IL189" s="41"/>
      <c r="IM189" s="41"/>
    </row>
    <row r="190" spans="1:247" s="40" customFormat="1" ht="20.25" customHeight="1" x14ac:dyDescent="0.25">
      <c r="A190" s="75">
        <v>43208</v>
      </c>
      <c r="B190" s="144">
        <v>510.7998</v>
      </c>
      <c r="C190" s="144">
        <f t="shared" ref="C190:C196" si="328">0.997*B190</f>
        <v>509.26740060000003</v>
      </c>
      <c r="D190" s="144">
        <f t="shared" ref="D190" si="329">1.003*B190</f>
        <v>512.33219939999992</v>
      </c>
      <c r="E190" s="78">
        <f>8611.482/1800.553*100</f>
        <v>478.26873188403783</v>
      </c>
      <c r="F190" s="76"/>
      <c r="G190" s="137"/>
      <c r="H190" s="78">
        <v>151.4143</v>
      </c>
      <c r="I190" s="78">
        <v>154.40629999999999</v>
      </c>
      <c r="J190" s="79">
        <f t="shared" si="242"/>
        <v>290.27108124936336</v>
      </c>
      <c r="K190" s="80">
        <v>379830.9</v>
      </c>
      <c r="L190" s="81">
        <f t="shared" si="243"/>
        <v>194.01754775382</v>
      </c>
      <c r="M190" s="151"/>
      <c r="N190" s="64"/>
      <c r="O190" s="39"/>
      <c r="P190" s="39"/>
      <c r="Q190" s="39"/>
      <c r="R190" s="39"/>
      <c r="S190" s="39"/>
      <c r="T190" s="39"/>
      <c r="U190" s="39"/>
      <c r="V190" s="39"/>
      <c r="W190" s="39"/>
      <c r="IH190" s="41"/>
      <c r="II190" s="41"/>
      <c r="IJ190" s="41"/>
      <c r="IK190" s="41"/>
      <c r="IL190" s="41"/>
      <c r="IM190" s="41"/>
    </row>
    <row r="191" spans="1:247" s="40" customFormat="1" ht="20.25" customHeight="1" x14ac:dyDescent="0.25">
      <c r="A191" s="75">
        <v>43201</v>
      </c>
      <c r="B191" s="144">
        <v>508.3843</v>
      </c>
      <c r="C191" s="144">
        <f t="shared" si="328"/>
        <v>506.85914709999997</v>
      </c>
      <c r="D191" s="144">
        <f t="shared" ref="D191" si="330">1.003*B191</f>
        <v>509.90945289999996</v>
      </c>
      <c r="E191" s="78">
        <f>8440.239/1800.553*100</f>
        <v>468.75815374498825</v>
      </c>
      <c r="F191" s="76"/>
      <c r="G191" s="137"/>
      <c r="H191" s="78">
        <v>151.50409999999999</v>
      </c>
      <c r="I191" s="78">
        <v>154.37979999999999</v>
      </c>
      <c r="J191" s="79">
        <f t="shared" si="242"/>
        <v>287.44034612618009</v>
      </c>
      <c r="K191" s="80">
        <v>380708</v>
      </c>
      <c r="L191" s="81">
        <f t="shared" si="243"/>
        <v>193.54597008440001</v>
      </c>
      <c r="M191" s="151"/>
      <c r="N191" s="64"/>
      <c r="O191" s="39"/>
      <c r="P191" s="39"/>
      <c r="Q191" s="39"/>
      <c r="R191" s="39"/>
      <c r="S191" s="39"/>
      <c r="T191" s="39"/>
      <c r="U191" s="39"/>
      <c r="V191" s="39"/>
      <c r="W191" s="39"/>
      <c r="IH191" s="41"/>
      <c r="II191" s="41"/>
      <c r="IJ191" s="41"/>
      <c r="IK191" s="41"/>
      <c r="IL191" s="41"/>
      <c r="IM191" s="41"/>
    </row>
    <row r="192" spans="1:247" s="40" customFormat="1" ht="20.25" customHeight="1" x14ac:dyDescent="0.25">
      <c r="A192" s="75">
        <v>43194</v>
      </c>
      <c r="B192" s="144">
        <v>497.6891</v>
      </c>
      <c r="C192" s="144">
        <f t="shared" si="328"/>
        <v>496.19603269999999</v>
      </c>
      <c r="D192" s="144">
        <f t="shared" ref="D192" si="331">1.003*B192</f>
        <v>499.18216729999995</v>
      </c>
      <c r="E192" s="78">
        <f>8347.681/1800.553*100</f>
        <v>463.6176219194881</v>
      </c>
      <c r="F192" s="76"/>
      <c r="G192" s="137"/>
      <c r="H192" s="78">
        <v>151.02029999999999</v>
      </c>
      <c r="I192" s="78">
        <v>154.35419999999999</v>
      </c>
      <c r="J192" s="79">
        <f t="shared" si="242"/>
        <v>285.4009547220312</v>
      </c>
      <c r="K192" s="80">
        <v>380708.48</v>
      </c>
      <c r="L192" s="81">
        <f t="shared" si="243"/>
        <v>189.47446077356798</v>
      </c>
      <c r="M192" s="151"/>
      <c r="N192" s="64"/>
      <c r="O192" s="39"/>
      <c r="P192" s="39"/>
      <c r="Q192" s="39"/>
      <c r="R192" s="39"/>
      <c r="S192" s="39"/>
      <c r="T192" s="39"/>
      <c r="U192" s="39"/>
      <c r="V192" s="39"/>
      <c r="W192" s="39"/>
      <c r="IH192" s="41"/>
      <c r="II192" s="41"/>
      <c r="IJ192" s="41"/>
      <c r="IK192" s="41"/>
      <c r="IL192" s="41"/>
      <c r="IM192" s="41"/>
    </row>
    <row r="193" spans="1:247" s="40" customFormat="1" ht="20.25" customHeight="1" x14ac:dyDescent="0.25">
      <c r="A193" s="75">
        <v>43187</v>
      </c>
      <c r="B193" s="144">
        <v>497.62459999999999</v>
      </c>
      <c r="C193" s="144">
        <f t="shared" si="328"/>
        <v>496.1317262</v>
      </c>
      <c r="D193" s="144">
        <f t="shared" ref="D193" si="332">1.003*B193</f>
        <v>499.11747379999991</v>
      </c>
      <c r="E193" s="78">
        <f>8290.633/1800.553*100</f>
        <v>460.44926197673715</v>
      </c>
      <c r="F193" s="76"/>
      <c r="G193" s="137"/>
      <c r="H193" s="78">
        <v>151.01480000000001</v>
      </c>
      <c r="I193" s="78">
        <v>154.32910000000001</v>
      </c>
      <c r="J193" s="79">
        <f t="shared" si="242"/>
        <v>284.41723530037166</v>
      </c>
      <c r="K193" s="80">
        <v>383604.02</v>
      </c>
      <c r="L193" s="81">
        <f t="shared" si="243"/>
        <v>190.89079701089202</v>
      </c>
      <c r="M193" s="151"/>
      <c r="N193" s="64"/>
      <c r="O193" s="39"/>
      <c r="P193" s="39"/>
      <c r="Q193" s="39"/>
      <c r="R193" s="39"/>
      <c r="S193" s="39"/>
      <c r="T193" s="39"/>
      <c r="U193" s="39"/>
      <c r="V193" s="39"/>
      <c r="W193" s="39"/>
      <c r="IH193" s="41"/>
      <c r="II193" s="41"/>
      <c r="IJ193" s="41"/>
      <c r="IK193" s="41"/>
      <c r="IL193" s="41"/>
      <c r="IM193" s="41"/>
    </row>
    <row r="194" spans="1:247" s="40" customFormat="1" ht="20.25" customHeight="1" x14ac:dyDescent="0.25">
      <c r="A194" s="75">
        <v>43180</v>
      </c>
      <c r="B194" s="144">
        <v>504.83569999999997</v>
      </c>
      <c r="C194" s="144">
        <f t="shared" si="328"/>
        <v>503.32119289999997</v>
      </c>
      <c r="D194" s="144">
        <f t="shared" ref="D194" si="333">1.003*B194</f>
        <v>506.35020709999992</v>
      </c>
      <c r="E194" s="78">
        <f>8528.271/1800.553*100</f>
        <v>473.6473183516398</v>
      </c>
      <c r="F194" s="76"/>
      <c r="G194" s="137"/>
      <c r="H194" s="78">
        <v>151.3578</v>
      </c>
      <c r="I194" s="78">
        <v>154.304</v>
      </c>
      <c r="J194" s="79">
        <f t="shared" si="242"/>
        <v>288.76764800130064</v>
      </c>
      <c r="K194" s="80">
        <v>384190.02</v>
      </c>
      <c r="L194" s="81">
        <f t="shared" si="243"/>
        <v>193.95283767971401</v>
      </c>
      <c r="M194" s="151"/>
      <c r="N194" s="64"/>
      <c r="O194" s="39"/>
      <c r="P194" s="39"/>
      <c r="Q194" s="39"/>
      <c r="R194" s="39"/>
      <c r="S194" s="39"/>
      <c r="T194" s="39"/>
      <c r="U194" s="39"/>
      <c r="V194" s="39"/>
      <c r="W194" s="39"/>
      <c r="IH194" s="41"/>
      <c r="II194" s="41"/>
      <c r="IJ194" s="41"/>
      <c r="IK194" s="41"/>
      <c r="IL194" s="41"/>
      <c r="IM194" s="41"/>
    </row>
    <row r="195" spans="1:247" s="40" customFormat="1" ht="20.25" customHeight="1" x14ac:dyDescent="0.25">
      <c r="A195" s="75">
        <v>43173</v>
      </c>
      <c r="B195" s="144">
        <v>505.17489999999998</v>
      </c>
      <c r="C195" s="144">
        <f t="shared" si="328"/>
        <v>503.65937529999997</v>
      </c>
      <c r="D195" s="144">
        <f t="shared" ref="D195:D200" si="334">1.003*B195</f>
        <v>506.69042469999994</v>
      </c>
      <c r="E195" s="78">
        <f>8626.098/1800.553*100</f>
        <v>479.08048249621089</v>
      </c>
      <c r="F195" s="76"/>
      <c r="G195" s="137"/>
      <c r="H195" s="78">
        <v>151.28620000000001</v>
      </c>
      <c r="I195" s="78">
        <v>154.279</v>
      </c>
      <c r="J195" s="79">
        <f t="shared" si="242"/>
        <v>290.34531796680437</v>
      </c>
      <c r="K195" s="80">
        <v>384575.02</v>
      </c>
      <c r="L195" s="81">
        <f t="shared" si="243"/>
        <v>194.27764727099799</v>
      </c>
      <c r="M195" s="151"/>
      <c r="N195" s="64"/>
      <c r="O195" s="39"/>
      <c r="P195" s="39"/>
      <c r="Q195" s="39"/>
      <c r="R195" s="39"/>
      <c r="S195" s="39"/>
      <c r="T195" s="39"/>
      <c r="U195" s="39"/>
      <c r="V195" s="39"/>
      <c r="W195" s="39"/>
      <c r="IH195" s="41"/>
      <c r="II195" s="41"/>
      <c r="IJ195" s="41"/>
      <c r="IK195" s="41"/>
      <c r="IL195" s="41"/>
      <c r="IM195" s="41"/>
    </row>
    <row r="196" spans="1:247" s="40" customFormat="1" ht="20.25" customHeight="1" x14ac:dyDescent="0.25">
      <c r="A196" s="75">
        <v>43166</v>
      </c>
      <c r="B196" s="144">
        <v>506.65600000000001</v>
      </c>
      <c r="C196" s="144">
        <f t="shared" si="328"/>
        <v>505.136032</v>
      </c>
      <c r="D196" s="144">
        <f t="shared" si="334"/>
        <v>508.17596799999995</v>
      </c>
      <c r="E196" s="78">
        <f>8546.296/1800.553*100</f>
        <v>474.64839968609641</v>
      </c>
      <c r="F196" s="76"/>
      <c r="G196" s="137"/>
      <c r="H196" s="78">
        <v>151.27629999999999</v>
      </c>
      <c r="I196" s="78">
        <v>154.2544</v>
      </c>
      <c r="J196" s="79">
        <f t="shared" si="242"/>
        <v>288.98663924509839</v>
      </c>
      <c r="K196" s="80">
        <v>384702.07</v>
      </c>
      <c r="L196" s="81">
        <f t="shared" si="243"/>
        <v>194.91161197791999</v>
      </c>
      <c r="M196" s="151"/>
      <c r="N196" s="64"/>
      <c r="O196" s="39"/>
      <c r="P196" s="39"/>
      <c r="Q196" s="39"/>
      <c r="R196" s="39"/>
      <c r="S196" s="39"/>
      <c r="T196" s="39"/>
      <c r="U196" s="39"/>
      <c r="V196" s="39"/>
      <c r="W196" s="39"/>
      <c r="IH196" s="41"/>
      <c r="II196" s="41"/>
      <c r="IJ196" s="41"/>
      <c r="IK196" s="41"/>
      <c r="IL196" s="41"/>
      <c r="IM196" s="41"/>
    </row>
    <row r="197" spans="1:247" s="40" customFormat="1" ht="20.25" customHeight="1" x14ac:dyDescent="0.25">
      <c r="A197" s="75">
        <v>43159</v>
      </c>
      <c r="B197" s="144">
        <v>508.93380000000002</v>
      </c>
      <c r="C197" s="144">
        <f t="shared" ref="C197:C202" si="335">0.997*B197</f>
        <v>507.40699860000001</v>
      </c>
      <c r="D197" s="144">
        <f t="shared" si="334"/>
        <v>510.46060139999997</v>
      </c>
      <c r="E197" s="78">
        <f>8549.699/1800.553*100</f>
        <v>474.8373971774227</v>
      </c>
      <c r="F197" s="76"/>
      <c r="G197" s="137"/>
      <c r="H197" s="78">
        <v>150.34960000000001</v>
      </c>
      <c r="I197" s="78">
        <v>154.23079999999999</v>
      </c>
      <c r="J197" s="79">
        <f t="shared" si="242"/>
        <v>288.15594201116238</v>
      </c>
      <c r="K197" s="80">
        <v>384702.07</v>
      </c>
      <c r="L197" s="81">
        <f t="shared" si="243"/>
        <v>195.78788635296601</v>
      </c>
      <c r="M197" s="151"/>
      <c r="N197" s="64"/>
      <c r="O197" s="39"/>
      <c r="P197" s="39"/>
      <c r="Q197" s="39"/>
      <c r="R197" s="39"/>
      <c r="S197" s="39"/>
      <c r="T197" s="39"/>
      <c r="U197" s="39"/>
      <c r="V197" s="39"/>
      <c r="W197" s="39"/>
      <c r="IH197" s="41"/>
      <c r="II197" s="41"/>
      <c r="IJ197" s="41"/>
      <c r="IK197" s="41"/>
      <c r="IL197" s="41"/>
      <c r="IM197" s="41"/>
    </row>
    <row r="198" spans="1:247" s="40" customFormat="1" ht="20.25" customHeight="1" x14ac:dyDescent="0.25">
      <c r="A198" s="75">
        <v>43152</v>
      </c>
      <c r="B198" s="144">
        <v>511.10739999999998</v>
      </c>
      <c r="C198" s="144">
        <f t="shared" si="335"/>
        <v>509.5740778</v>
      </c>
      <c r="D198" s="144">
        <f t="shared" si="334"/>
        <v>512.64072219999991</v>
      </c>
      <c r="E198" s="78">
        <f>8545.709/1800.553*100</f>
        <v>474.6157985907663</v>
      </c>
      <c r="F198" s="76"/>
      <c r="G198" s="137"/>
      <c r="H198" s="78">
        <v>150.67330000000001</v>
      </c>
      <c r="I198" s="78">
        <v>154.2072</v>
      </c>
      <c r="J198" s="79">
        <f t="shared" si="242"/>
        <v>288.39840659094943</v>
      </c>
      <c r="K198" s="80">
        <v>384738.29</v>
      </c>
      <c r="L198" s="81">
        <f t="shared" si="243"/>
        <v>196.64258708234598</v>
      </c>
      <c r="M198" s="151"/>
      <c r="N198" s="64"/>
      <c r="O198" s="39"/>
      <c r="P198" s="39"/>
      <c r="Q198" s="39"/>
      <c r="R198" s="39"/>
      <c r="S198" s="39"/>
      <c r="T198" s="39"/>
      <c r="U198" s="39"/>
      <c r="V198" s="39"/>
      <c r="W198" s="39"/>
      <c r="IH198" s="41"/>
      <c r="II198" s="41"/>
      <c r="IJ198" s="41"/>
      <c r="IK198" s="41"/>
      <c r="IL198" s="41"/>
      <c r="IM198" s="41"/>
    </row>
    <row r="199" spans="1:247" s="40" customFormat="1" ht="20.25" customHeight="1" x14ac:dyDescent="0.25">
      <c r="A199" s="75">
        <v>43145</v>
      </c>
      <c r="B199" s="144">
        <v>508.66262899999998</v>
      </c>
      <c r="C199" s="144">
        <f t="shared" si="335"/>
        <v>507.136641113</v>
      </c>
      <c r="D199" s="144">
        <f t="shared" si="334"/>
        <v>510.18861688699991</v>
      </c>
      <c r="E199" s="78">
        <f>8490.763/1800.553*100</f>
        <v>471.56418056008346</v>
      </c>
      <c r="F199" s="76"/>
      <c r="G199" s="137"/>
      <c r="H199" s="78">
        <v>151.56280000000001</v>
      </c>
      <c r="I199" s="78">
        <v>154.1841</v>
      </c>
      <c r="J199" s="79">
        <f t="shared" si="242"/>
        <v>288.31156523079676</v>
      </c>
      <c r="K199" s="80">
        <v>385291.08630000002</v>
      </c>
      <c r="L199" s="81">
        <f t="shared" si="243"/>
        <v>195.98317688762387</v>
      </c>
      <c r="M199" s="151"/>
      <c r="N199" s="64"/>
      <c r="O199" s="39"/>
      <c r="P199" s="39"/>
      <c r="Q199" s="39"/>
      <c r="R199" s="39"/>
      <c r="S199" s="39"/>
      <c r="T199" s="39"/>
      <c r="U199" s="39"/>
      <c r="V199" s="39"/>
      <c r="W199" s="39"/>
      <c r="IH199" s="41"/>
      <c r="II199" s="41"/>
      <c r="IJ199" s="41"/>
      <c r="IK199" s="41"/>
      <c r="IL199" s="41"/>
      <c r="IM199" s="41"/>
    </row>
    <row r="200" spans="1:247" s="28" customFormat="1" ht="20.25" customHeight="1" x14ac:dyDescent="0.25">
      <c r="A200" s="75">
        <v>43138</v>
      </c>
      <c r="B200" s="144">
        <v>507.2962</v>
      </c>
      <c r="C200" s="144">
        <f t="shared" si="335"/>
        <v>505.77431139999999</v>
      </c>
      <c r="D200" s="144">
        <f t="shared" si="334"/>
        <v>508.81808859999995</v>
      </c>
      <c r="E200" s="78">
        <f>8466.233/1800.553*100</f>
        <v>470.20182132933604</v>
      </c>
      <c r="F200" s="76"/>
      <c r="G200" s="137"/>
      <c r="H200" s="78">
        <v>150.31379999999999</v>
      </c>
      <c r="I200" s="78">
        <v>154.1617</v>
      </c>
      <c r="J200" s="79">
        <f t="shared" si="242"/>
        <v>286.70505985325917</v>
      </c>
      <c r="K200" s="80">
        <v>386499.1</v>
      </c>
      <c r="L200" s="81">
        <f t="shared" si="243"/>
        <v>196.06952473342</v>
      </c>
      <c r="M200" s="152"/>
      <c r="N200" s="66"/>
      <c r="O200" s="27"/>
      <c r="P200" s="27"/>
      <c r="Q200" s="27"/>
      <c r="R200" s="27"/>
      <c r="S200" s="27"/>
      <c r="T200" s="27"/>
      <c r="U200" s="27"/>
      <c r="V200" s="27"/>
      <c r="W200" s="27"/>
      <c r="IH200" s="32"/>
      <c r="II200" s="32"/>
      <c r="IJ200" s="32"/>
      <c r="IK200" s="32"/>
      <c r="IL200" s="32"/>
      <c r="IM200" s="32"/>
    </row>
    <row r="201" spans="1:247" s="40" customFormat="1" ht="20.25" customHeight="1" x14ac:dyDescent="0.25">
      <c r="A201" s="75">
        <v>43131</v>
      </c>
      <c r="B201" s="144">
        <v>513.75409999999999</v>
      </c>
      <c r="C201" s="144">
        <f t="shared" si="335"/>
        <v>512.21283770000002</v>
      </c>
      <c r="D201" s="144">
        <f t="shared" ref="D201:D206" si="336">1.003*B201</f>
        <v>515.29536229999997</v>
      </c>
      <c r="E201" s="78">
        <f>8915.278/1800.553*100</f>
        <v>495.14110387197707</v>
      </c>
      <c r="F201" s="76"/>
      <c r="G201" s="137"/>
      <c r="H201" s="78">
        <v>151.44630000000001</v>
      </c>
      <c r="I201" s="78">
        <v>154.1405</v>
      </c>
      <c r="J201" s="79">
        <f t="shared" si="242"/>
        <v>295.24440328593391</v>
      </c>
      <c r="K201" s="80">
        <v>387112.78</v>
      </c>
      <c r="L201" s="81">
        <f t="shared" si="243"/>
        <v>198.88077788739801</v>
      </c>
      <c r="M201" s="151"/>
      <c r="N201" s="64"/>
      <c r="O201" s="39"/>
      <c r="P201" s="39"/>
      <c r="Q201" s="39"/>
      <c r="R201" s="39"/>
      <c r="S201" s="39"/>
      <c r="T201" s="39"/>
      <c r="U201" s="39"/>
      <c r="V201" s="39"/>
      <c r="W201" s="39"/>
      <c r="IH201" s="41"/>
      <c r="II201" s="41"/>
      <c r="IJ201" s="41"/>
      <c r="IK201" s="41"/>
      <c r="IL201" s="41"/>
      <c r="IM201" s="41"/>
    </row>
    <row r="202" spans="1:247" s="40" customFormat="1" ht="20.25" customHeight="1" x14ac:dyDescent="0.25">
      <c r="A202" s="75">
        <v>43124</v>
      </c>
      <c r="B202" s="144">
        <v>522.89290000000005</v>
      </c>
      <c r="C202" s="144">
        <f t="shared" si="335"/>
        <v>521.32422130000009</v>
      </c>
      <c r="D202" s="144">
        <f t="shared" si="336"/>
        <v>524.46157870000002</v>
      </c>
      <c r="E202" s="78">
        <f>8990.535/1800.553*100</f>
        <v>499.3207642318776</v>
      </c>
      <c r="F202" s="76"/>
      <c r="G202" s="137"/>
      <c r="H202" s="78">
        <v>151.3956</v>
      </c>
      <c r="I202" s="78">
        <v>154.12049999999999</v>
      </c>
      <c r="J202" s="79">
        <f t="shared" si="242"/>
        <v>296.43545245082959</v>
      </c>
      <c r="K202" s="80">
        <v>387112.78</v>
      </c>
      <c r="L202" s="81">
        <f t="shared" si="243"/>
        <v>202.41852416126204</v>
      </c>
      <c r="M202" s="151"/>
      <c r="N202" s="64"/>
      <c r="O202" s="39"/>
      <c r="P202" s="39"/>
      <c r="Q202" s="39"/>
      <c r="R202" s="39"/>
      <c r="S202" s="39"/>
      <c r="T202" s="39"/>
      <c r="U202" s="39"/>
      <c r="V202" s="39"/>
      <c r="W202" s="39"/>
      <c r="IH202" s="41"/>
      <c r="II202" s="41"/>
      <c r="IJ202" s="41"/>
      <c r="IK202" s="41"/>
      <c r="IL202" s="41"/>
      <c r="IM202" s="41"/>
    </row>
    <row r="203" spans="1:247" s="40" customFormat="1" ht="20.25" customHeight="1" x14ac:dyDescent="0.25">
      <c r="A203" s="75">
        <v>43117</v>
      </c>
      <c r="B203" s="144">
        <v>518.15819999999997</v>
      </c>
      <c r="C203" s="144">
        <f t="shared" ref="C203:C209" si="337">0.997*B203</f>
        <v>516.60372539999992</v>
      </c>
      <c r="D203" s="144">
        <f t="shared" si="336"/>
        <v>519.7126745999999</v>
      </c>
      <c r="E203" s="78">
        <f>8858.57/1800.553*100</f>
        <v>491.99162701681087</v>
      </c>
      <c r="F203" s="76"/>
      <c r="G203" s="137"/>
      <c r="H203" s="78">
        <v>149.67609999999999</v>
      </c>
      <c r="I203" s="78">
        <v>154.10040000000001</v>
      </c>
      <c r="J203" s="79">
        <f t="shared" si="242"/>
        <v>292.57564620028347</v>
      </c>
      <c r="K203" s="80">
        <v>387070.39</v>
      </c>
      <c r="L203" s="81">
        <f t="shared" si="243"/>
        <v>200.56369655569802</v>
      </c>
      <c r="M203" s="151"/>
      <c r="N203" s="64"/>
      <c r="O203" s="39"/>
      <c r="P203" s="39"/>
      <c r="Q203" s="39"/>
      <c r="R203" s="39"/>
      <c r="S203" s="39"/>
      <c r="T203" s="39"/>
      <c r="U203" s="39"/>
      <c r="V203" s="39"/>
      <c r="W203" s="39"/>
      <c r="IH203" s="41"/>
      <c r="II203" s="41"/>
      <c r="IJ203" s="41"/>
      <c r="IK203" s="41"/>
      <c r="IL203" s="41"/>
      <c r="IM203" s="41"/>
    </row>
    <row r="204" spans="1:247" s="40" customFormat="1" ht="20.25" customHeight="1" x14ac:dyDescent="0.25">
      <c r="A204" s="75">
        <v>43110</v>
      </c>
      <c r="B204" s="144">
        <v>514.5086</v>
      </c>
      <c r="C204" s="144">
        <f t="shared" si="337"/>
        <v>512.9650742</v>
      </c>
      <c r="D204" s="144">
        <f t="shared" si="336"/>
        <v>516.0521258</v>
      </c>
      <c r="E204" s="78">
        <f>8706.333/1800.553*100</f>
        <v>483.53661347374947</v>
      </c>
      <c r="F204" s="76"/>
      <c r="G204" s="137"/>
      <c r="H204" s="78">
        <v>148.3886</v>
      </c>
      <c r="I204" s="78">
        <v>154.08009999999999</v>
      </c>
      <c r="J204" s="79">
        <f t="shared" si="242"/>
        <v>288.79783552849278</v>
      </c>
      <c r="K204" s="80">
        <v>387070.39</v>
      </c>
      <c r="L204" s="81">
        <f t="shared" si="243"/>
        <v>199.151044460354</v>
      </c>
      <c r="M204" s="151"/>
      <c r="N204" s="64"/>
      <c r="O204" s="39"/>
      <c r="P204" s="39"/>
      <c r="Q204" s="39"/>
      <c r="R204" s="39"/>
      <c r="S204" s="39"/>
      <c r="T204" s="39"/>
      <c r="U204" s="39"/>
      <c r="V204" s="39"/>
      <c r="W204" s="39"/>
      <c r="IH204" s="41"/>
      <c r="II204" s="41"/>
      <c r="IJ204" s="41"/>
      <c r="IK204" s="41"/>
      <c r="IL204" s="41"/>
      <c r="IM204" s="41"/>
    </row>
    <row r="205" spans="1:247" s="40" customFormat="1" ht="20.25" customHeight="1" x14ac:dyDescent="0.25">
      <c r="A205" s="75">
        <v>43103</v>
      </c>
      <c r="B205" s="144">
        <v>512.53560000000004</v>
      </c>
      <c r="C205" s="144">
        <f t="shared" si="337"/>
        <v>510.99799320000005</v>
      </c>
      <c r="D205" s="144">
        <f t="shared" si="336"/>
        <v>514.07320679999998</v>
      </c>
      <c r="E205" s="78">
        <f>8555.966/1800.553*100</f>
        <v>475.18545691240411</v>
      </c>
      <c r="F205" s="76"/>
      <c r="G205" s="137"/>
      <c r="H205" s="78">
        <v>148.4743</v>
      </c>
      <c r="I205" s="78">
        <v>154.05969999999999</v>
      </c>
      <c r="J205" s="79">
        <f t="shared" si="242"/>
        <v>286.36412473376123</v>
      </c>
      <c r="K205" s="80">
        <v>387070</v>
      </c>
      <c r="L205" s="81">
        <f t="shared" si="243"/>
        <v>198.38715469200002</v>
      </c>
      <c r="M205" s="151"/>
      <c r="N205" s="64"/>
      <c r="O205" s="39"/>
      <c r="P205" s="39"/>
      <c r="Q205" s="39"/>
      <c r="R205" s="39"/>
      <c r="S205" s="39"/>
      <c r="T205" s="39"/>
      <c r="U205" s="39"/>
      <c r="V205" s="39"/>
      <c r="W205" s="39"/>
      <c r="IH205" s="41"/>
      <c r="II205" s="41"/>
      <c r="IJ205" s="41"/>
      <c r="IK205" s="41"/>
      <c r="IL205" s="41"/>
      <c r="IM205" s="41"/>
    </row>
    <row r="206" spans="1:247" s="28" customFormat="1" ht="20.25" customHeight="1" x14ac:dyDescent="0.25">
      <c r="A206" s="75">
        <v>43100</v>
      </c>
      <c r="B206" s="144">
        <v>507.96370000000002</v>
      </c>
      <c r="C206" s="144">
        <f t="shared" si="337"/>
        <v>506.4398089</v>
      </c>
      <c r="D206" s="144">
        <f t="shared" si="336"/>
        <v>509.48759109999997</v>
      </c>
      <c r="E206" s="78">
        <f>8466.345/1800.553*100</f>
        <v>470.20804164054039</v>
      </c>
      <c r="F206" s="76"/>
      <c r="G206" s="137"/>
      <c r="H206" s="78">
        <v>148.33779999999999</v>
      </c>
      <c r="I206" s="78">
        <v>154.05119999999999</v>
      </c>
      <c r="J206" s="79">
        <f t="shared" si="242"/>
        <v>284.72612995106164</v>
      </c>
      <c r="K206" s="80">
        <v>387070.39</v>
      </c>
      <c r="L206" s="81">
        <f t="shared" ref="L206:L366" si="338">K206*B206/1000000</f>
        <v>196.61770746484299</v>
      </c>
      <c r="M206" s="152"/>
      <c r="N206" s="66"/>
      <c r="O206" s="27"/>
      <c r="P206" s="27"/>
      <c r="Q206" s="27"/>
      <c r="R206" s="27"/>
      <c r="S206" s="27"/>
      <c r="T206" s="27"/>
      <c r="U206" s="27"/>
      <c r="V206" s="27"/>
      <c r="W206" s="27"/>
      <c r="IH206" s="32"/>
      <c r="II206" s="32"/>
      <c r="IJ206" s="32"/>
      <c r="IK206" s="32"/>
      <c r="IL206" s="32"/>
      <c r="IM206" s="32"/>
    </row>
    <row r="207" spans="1:247" s="28" customFormat="1" ht="20.25" customHeight="1" x14ac:dyDescent="0.25">
      <c r="A207" s="75">
        <v>43096</v>
      </c>
      <c r="B207" s="144">
        <v>506.23919999999998</v>
      </c>
      <c r="C207" s="144">
        <f t="shared" si="337"/>
        <v>504.72048239999998</v>
      </c>
      <c r="D207" s="144">
        <f t="shared" ref="D207:D212" si="339">1.003*B207</f>
        <v>507.75791759999993</v>
      </c>
      <c r="E207" s="78">
        <f>8462.647/1800.553*100</f>
        <v>470.00266029380981</v>
      </c>
      <c r="F207" s="76"/>
      <c r="G207" s="137"/>
      <c r="H207" s="78">
        <v>147.64269999999999</v>
      </c>
      <c r="I207" s="78">
        <v>154.04</v>
      </c>
      <c r="J207" s="79">
        <f t="shared" si="242"/>
        <v>283.99555611010646</v>
      </c>
      <c r="K207" s="80">
        <v>387070.39</v>
      </c>
      <c r="L207" s="81">
        <f t="shared" si="338"/>
        <v>195.95020457728799</v>
      </c>
      <c r="M207" s="152"/>
      <c r="N207" s="66"/>
      <c r="O207" s="27"/>
      <c r="P207" s="27"/>
      <c r="Q207" s="27"/>
      <c r="R207" s="27"/>
      <c r="S207" s="27"/>
      <c r="T207" s="27"/>
      <c r="U207" s="27"/>
      <c r="V207" s="27"/>
      <c r="W207" s="27"/>
      <c r="IH207" s="32"/>
      <c r="II207" s="32"/>
      <c r="IJ207" s="32"/>
      <c r="IK207" s="32"/>
      <c r="IL207" s="32"/>
      <c r="IM207" s="32"/>
    </row>
    <row r="208" spans="1:247" s="40" customFormat="1" ht="20.25" customHeight="1" x14ac:dyDescent="0.25">
      <c r="A208" s="75">
        <v>43089</v>
      </c>
      <c r="B208" s="144">
        <v>502.43529999999998</v>
      </c>
      <c r="C208" s="144">
        <f t="shared" si="337"/>
        <v>500.92799409999998</v>
      </c>
      <c r="D208" s="144">
        <f t="shared" si="339"/>
        <v>503.94260589999993</v>
      </c>
      <c r="E208" s="78">
        <f>8429.665/1800.553*100</f>
        <v>468.17088972110241</v>
      </c>
      <c r="F208" s="76"/>
      <c r="G208" s="137"/>
      <c r="H208" s="78">
        <v>147.3997</v>
      </c>
      <c r="I208" s="78">
        <v>154.02160000000001</v>
      </c>
      <c r="J208" s="79">
        <f t="shared" si="242"/>
        <v>283.20806921703053</v>
      </c>
      <c r="K208" s="80">
        <v>387070.39</v>
      </c>
      <c r="L208" s="81">
        <f t="shared" si="338"/>
        <v>194.47782752076699</v>
      </c>
      <c r="M208" s="151"/>
      <c r="N208" s="64"/>
      <c r="O208" s="39"/>
      <c r="P208" s="39"/>
      <c r="Q208" s="39"/>
      <c r="R208" s="39"/>
      <c r="S208" s="39"/>
      <c r="T208" s="39"/>
      <c r="U208" s="39"/>
      <c r="V208" s="39"/>
      <c r="W208" s="39"/>
      <c r="IH208" s="41"/>
      <c r="II208" s="41"/>
      <c r="IJ208" s="41"/>
      <c r="IK208" s="41"/>
      <c r="IL208" s="41"/>
      <c r="IM208" s="41"/>
    </row>
    <row r="209" spans="1:247" s="40" customFormat="1" ht="20.25" customHeight="1" x14ac:dyDescent="0.25">
      <c r="A209" s="75">
        <v>43082</v>
      </c>
      <c r="B209" s="144">
        <v>496.92849999999999</v>
      </c>
      <c r="C209" s="144">
        <f t="shared" si="337"/>
        <v>495.43771449999997</v>
      </c>
      <c r="D209" s="144">
        <f t="shared" si="339"/>
        <v>498.41928549999994</v>
      </c>
      <c r="E209" s="78">
        <f>8382.285/1800.553*100</f>
        <v>465.53947592767332</v>
      </c>
      <c r="F209" s="76"/>
      <c r="G209" s="137"/>
      <c r="H209" s="78">
        <v>147.4051</v>
      </c>
      <c r="I209" s="78">
        <v>154.00380000000001</v>
      </c>
      <c r="J209" s="79">
        <f t="shared" si="242"/>
        <v>282.41508114213593</v>
      </c>
      <c r="K209" s="80">
        <v>387143.03</v>
      </c>
      <c r="L209" s="81">
        <f t="shared" si="338"/>
        <v>192.38240518335499</v>
      </c>
      <c r="M209" s="151"/>
      <c r="N209" s="64"/>
      <c r="O209" s="39"/>
      <c r="P209" s="39"/>
      <c r="Q209" s="39"/>
      <c r="R209" s="39"/>
      <c r="S209" s="39"/>
      <c r="T209" s="39"/>
      <c r="U209" s="39"/>
      <c r="V209" s="39"/>
      <c r="W209" s="39"/>
      <c r="IH209" s="41"/>
      <c r="II209" s="41"/>
      <c r="IJ209" s="41"/>
      <c r="IK209" s="41"/>
      <c r="IL209" s="41"/>
      <c r="IM209" s="41"/>
    </row>
    <row r="210" spans="1:247" s="40" customFormat="1" ht="20.25" customHeight="1" x14ac:dyDescent="0.25">
      <c r="A210" s="75">
        <v>43075</v>
      </c>
      <c r="B210" s="144">
        <v>490.14949999999999</v>
      </c>
      <c r="C210" s="144">
        <f t="shared" ref="C210:C216" si="340">0.997*B210</f>
        <v>488.67905150000001</v>
      </c>
      <c r="D210" s="144">
        <f t="shared" si="339"/>
        <v>491.61994849999996</v>
      </c>
      <c r="E210" s="78">
        <f>8274.893/1800.553*100</f>
        <v>459.57508609854864</v>
      </c>
      <c r="F210" s="76"/>
      <c r="G210" s="137"/>
      <c r="H210" s="78">
        <v>147.22450000000001</v>
      </c>
      <c r="I210" s="78">
        <v>153.98679999999999</v>
      </c>
      <c r="J210" s="79">
        <f t="shared" si="242"/>
        <v>280.42340879231904</v>
      </c>
      <c r="K210" s="80">
        <v>387363.12</v>
      </c>
      <c r="L210" s="81">
        <f t="shared" si="338"/>
        <v>189.86583958643999</v>
      </c>
      <c r="M210" s="151"/>
      <c r="N210" s="64"/>
      <c r="O210" s="39"/>
      <c r="P210" s="39"/>
      <c r="Q210" s="39"/>
      <c r="R210" s="39"/>
      <c r="S210" s="39"/>
      <c r="T210" s="39"/>
      <c r="U210" s="39"/>
      <c r="V210" s="39"/>
      <c r="W210" s="39"/>
      <c r="IH210" s="41"/>
      <c r="II210" s="41"/>
      <c r="IJ210" s="41"/>
      <c r="IK210" s="41"/>
      <c r="IL210" s="41"/>
      <c r="IM210" s="41"/>
    </row>
    <row r="211" spans="1:247" s="40" customFormat="1" ht="20.25" customHeight="1" x14ac:dyDescent="0.25">
      <c r="A211" s="75">
        <v>43068</v>
      </c>
      <c r="B211" s="144">
        <v>497.96289999999999</v>
      </c>
      <c r="C211" s="144">
        <f t="shared" si="340"/>
        <v>496.46901129999998</v>
      </c>
      <c r="D211" s="144">
        <f t="shared" si="339"/>
        <v>499.45678869999995</v>
      </c>
      <c r="E211" s="78">
        <f>8303.959/1800.553*100</f>
        <v>461.18936793307392</v>
      </c>
      <c r="F211" s="76"/>
      <c r="G211" s="137"/>
      <c r="H211" s="78">
        <v>147.44239999999999</v>
      </c>
      <c r="I211" s="78">
        <v>153.96899999999999</v>
      </c>
      <c r="J211" s="79">
        <f t="shared" si="242"/>
        <v>281.12314163495159</v>
      </c>
      <c r="K211" s="80">
        <v>387363.12</v>
      </c>
      <c r="L211" s="81">
        <f t="shared" si="338"/>
        <v>192.89246258824798</v>
      </c>
      <c r="M211" s="151"/>
      <c r="N211" s="64"/>
      <c r="O211" s="39"/>
      <c r="P211" s="39"/>
      <c r="Q211" s="39"/>
      <c r="R211" s="39"/>
      <c r="S211" s="39"/>
      <c r="T211" s="39"/>
      <c r="U211" s="39"/>
      <c r="V211" s="39"/>
      <c r="W211" s="39"/>
      <c r="IH211" s="41"/>
      <c r="II211" s="41"/>
      <c r="IJ211" s="41"/>
      <c r="IK211" s="41"/>
      <c r="IL211" s="41"/>
      <c r="IM211" s="41"/>
    </row>
    <row r="212" spans="1:247" s="40" customFormat="1" ht="20.25" customHeight="1" x14ac:dyDescent="0.25">
      <c r="A212" s="87">
        <v>43061</v>
      </c>
      <c r="B212" s="144">
        <v>497.00910699999997</v>
      </c>
      <c r="C212" s="144">
        <f t="shared" si="340"/>
        <v>495.51807967899998</v>
      </c>
      <c r="D212" s="144">
        <f t="shared" si="339"/>
        <v>498.5001343209999</v>
      </c>
      <c r="E212" s="78">
        <f>8236.615/1800.553*100</f>
        <v>457.44918366746214</v>
      </c>
      <c r="F212" s="76"/>
      <c r="G212" s="137"/>
      <c r="H212" s="78">
        <v>147.4539</v>
      </c>
      <c r="I212" s="78">
        <v>153.95179999999999</v>
      </c>
      <c r="J212" s="79">
        <f t="shared" si="242"/>
        <v>279.98943866155923</v>
      </c>
      <c r="K212" s="80">
        <v>387363.12</v>
      </c>
      <c r="L212" s="81">
        <f t="shared" si="338"/>
        <v>192.52299835593382</v>
      </c>
      <c r="M212" s="151"/>
      <c r="N212" s="64"/>
      <c r="O212" s="39"/>
      <c r="P212" s="39"/>
      <c r="Q212" s="39"/>
      <c r="R212" s="39"/>
      <c r="S212" s="39"/>
      <c r="T212" s="39"/>
      <c r="U212" s="39"/>
      <c r="V212" s="39"/>
      <c r="W212" s="39"/>
      <c r="IH212" s="41"/>
      <c r="II212" s="41"/>
      <c r="IJ212" s="41"/>
      <c r="IK212" s="41"/>
      <c r="IL212" s="41"/>
      <c r="IM212" s="41"/>
    </row>
    <row r="213" spans="1:247" s="28" customFormat="1" ht="20.25" customHeight="1" x14ac:dyDescent="0.25">
      <c r="A213" s="75">
        <v>43054</v>
      </c>
      <c r="B213" s="144">
        <v>487.37169999999998</v>
      </c>
      <c r="C213" s="144">
        <f t="shared" si="340"/>
        <v>485.90958489999997</v>
      </c>
      <c r="D213" s="144">
        <f t="shared" ref="D213:D218" si="341">1.003*B213</f>
        <v>488.83381509999992</v>
      </c>
      <c r="E213" s="78">
        <f>8116.041/1800.553*100</f>
        <v>450.75268542497781</v>
      </c>
      <c r="F213" s="76"/>
      <c r="G213" s="137"/>
      <c r="H213" s="78">
        <v>146.78649999999999</v>
      </c>
      <c r="I213" s="78">
        <v>153.93469999999999</v>
      </c>
      <c r="J213" s="79">
        <f t="shared" si="242"/>
        <v>277.29922058207114</v>
      </c>
      <c r="K213" s="80">
        <v>387363.12</v>
      </c>
      <c r="L213" s="81">
        <f t="shared" si="338"/>
        <v>188.78982231170397</v>
      </c>
      <c r="M213" s="152"/>
      <c r="N213" s="66"/>
      <c r="O213" s="27"/>
      <c r="P213" s="27"/>
      <c r="Q213" s="27"/>
      <c r="R213" s="27"/>
      <c r="S213" s="27"/>
      <c r="T213" s="27"/>
      <c r="U213" s="27"/>
      <c r="V213" s="27"/>
      <c r="W213" s="27"/>
      <c r="IH213" s="32"/>
      <c r="II213" s="32"/>
      <c r="IJ213" s="32"/>
      <c r="IK213" s="32"/>
      <c r="IL213" s="32"/>
      <c r="IM213" s="32"/>
    </row>
    <row r="214" spans="1:247" s="40" customFormat="1" ht="20.25" customHeight="1" x14ac:dyDescent="0.25">
      <c r="A214" s="87">
        <v>43047</v>
      </c>
      <c r="B214" s="153">
        <v>492.19139999999999</v>
      </c>
      <c r="C214" s="153">
        <f t="shared" si="340"/>
        <v>490.71482579999997</v>
      </c>
      <c r="D214" s="153">
        <f t="shared" si="341"/>
        <v>493.66797419999995</v>
      </c>
      <c r="E214" s="154">
        <f>8227.561/1800.553*100</f>
        <v>456.94633815277859</v>
      </c>
      <c r="F214" s="88"/>
      <c r="G214" s="77"/>
      <c r="H214" s="154">
        <v>145.999</v>
      </c>
      <c r="I214" s="154">
        <v>153.91810000000001</v>
      </c>
      <c r="J214" s="155">
        <f t="shared" si="242"/>
        <v>278.43531597472401</v>
      </c>
      <c r="K214" s="156">
        <v>386968.18</v>
      </c>
      <c r="L214" s="81">
        <f t="shared" si="338"/>
        <v>190.46241026965197</v>
      </c>
      <c r="M214" s="151"/>
      <c r="N214" s="64"/>
      <c r="O214" s="39"/>
      <c r="P214" s="39"/>
      <c r="Q214" s="39"/>
      <c r="R214" s="39"/>
      <c r="S214" s="39"/>
      <c r="T214" s="39"/>
      <c r="U214" s="39"/>
      <c r="V214" s="39"/>
      <c r="W214" s="39"/>
      <c r="IH214" s="41"/>
      <c r="II214" s="41"/>
      <c r="IJ214" s="41"/>
      <c r="IK214" s="41"/>
      <c r="IL214" s="41"/>
      <c r="IM214" s="41"/>
    </row>
    <row r="215" spans="1:247" s="40" customFormat="1" ht="20.25" customHeight="1" x14ac:dyDescent="0.25">
      <c r="A215" s="75">
        <v>43040</v>
      </c>
      <c r="B215" s="144">
        <v>491.97609999999997</v>
      </c>
      <c r="C215" s="144">
        <f t="shared" si="340"/>
        <v>490.50017169999995</v>
      </c>
      <c r="D215" s="144">
        <f t="shared" si="341"/>
        <v>493.45202829999994</v>
      </c>
      <c r="E215" s="78">
        <f>8187.198/1800.553*100</f>
        <v>454.70463796400333</v>
      </c>
      <c r="F215" s="76"/>
      <c r="G215" s="137"/>
      <c r="H215" s="78">
        <v>146.09100000000001</v>
      </c>
      <c r="I215" s="78">
        <v>153.90199999999999</v>
      </c>
      <c r="J215" s="79">
        <f t="shared" si="242"/>
        <v>277.83792700235153</v>
      </c>
      <c r="K215" s="80">
        <v>386968.18</v>
      </c>
      <c r="L215" s="81">
        <f t="shared" si="338"/>
        <v>190.37909602049797</v>
      </c>
      <c r="M215" s="151"/>
      <c r="N215" s="64"/>
      <c r="O215" s="39"/>
      <c r="P215" s="39"/>
      <c r="Q215" s="39"/>
      <c r="R215" s="39"/>
      <c r="S215" s="39"/>
      <c r="T215" s="39"/>
      <c r="U215" s="39"/>
      <c r="V215" s="39"/>
      <c r="W215" s="39"/>
      <c r="IH215" s="41"/>
      <c r="II215" s="41"/>
      <c r="IJ215" s="41"/>
      <c r="IK215" s="41"/>
      <c r="IL215" s="41"/>
      <c r="IM215" s="41"/>
    </row>
    <row r="216" spans="1:247" s="40" customFormat="1" ht="20.25" customHeight="1" x14ac:dyDescent="0.25">
      <c r="A216" s="75">
        <v>43033</v>
      </c>
      <c r="B216" s="144">
        <v>492.68869999999998</v>
      </c>
      <c r="C216" s="144">
        <f t="shared" si="340"/>
        <v>491.2106339</v>
      </c>
      <c r="D216" s="144">
        <f t="shared" si="341"/>
        <v>494.1667660999999</v>
      </c>
      <c r="E216" s="78">
        <f>8114.67/1800.553*100</f>
        <v>450.67654215121689</v>
      </c>
      <c r="F216" s="76"/>
      <c r="G216" s="137"/>
      <c r="H216" s="78">
        <v>146.77250000000001</v>
      </c>
      <c r="I216" s="78">
        <v>153.88650000000001</v>
      </c>
      <c r="J216" s="79">
        <f t="shared" si="242"/>
        <v>277.24259757114373</v>
      </c>
      <c r="K216" s="80">
        <v>386969.12</v>
      </c>
      <c r="L216" s="81">
        <f t="shared" si="338"/>
        <v>190.65531267294398</v>
      </c>
      <c r="M216" s="151"/>
      <c r="N216" s="64"/>
      <c r="O216" s="39"/>
      <c r="P216" s="39"/>
      <c r="Q216" s="39"/>
      <c r="R216" s="39"/>
      <c r="S216" s="39"/>
      <c r="T216" s="39"/>
      <c r="U216" s="39"/>
      <c r="V216" s="39"/>
      <c r="W216" s="39"/>
      <c r="IH216" s="41"/>
      <c r="II216" s="41"/>
      <c r="IJ216" s="41"/>
      <c r="IK216" s="41"/>
      <c r="IL216" s="41"/>
      <c r="IM216" s="41"/>
    </row>
    <row r="217" spans="1:247" s="40" customFormat="1" ht="20.25" customHeight="1" x14ac:dyDescent="0.25">
      <c r="A217" s="75">
        <v>43026</v>
      </c>
      <c r="B217" s="144">
        <v>493.16550000000001</v>
      </c>
      <c r="C217" s="144">
        <f t="shared" ref="C217:C223" si="342">0.997*B217</f>
        <v>491.68600350000003</v>
      </c>
      <c r="D217" s="144">
        <f t="shared" si="341"/>
        <v>494.64499649999993</v>
      </c>
      <c r="E217" s="78">
        <f>8141.147/1800.553*100</f>
        <v>452.14703482763349</v>
      </c>
      <c r="F217" s="76"/>
      <c r="G217" s="137"/>
      <c r="H217" s="78">
        <v>146.99549999999999</v>
      </c>
      <c r="I217" s="78">
        <v>153.87110000000001</v>
      </c>
      <c r="J217" s="79">
        <f t="shared" si="242"/>
        <v>277.90530413157933</v>
      </c>
      <c r="K217" s="80">
        <v>386969.12</v>
      </c>
      <c r="L217" s="81">
        <f t="shared" si="338"/>
        <v>190.83981954936002</v>
      </c>
      <c r="M217" s="151"/>
      <c r="N217" s="64"/>
      <c r="O217" s="39"/>
      <c r="P217" s="39"/>
      <c r="Q217" s="39"/>
      <c r="R217" s="39"/>
      <c r="S217" s="39"/>
      <c r="T217" s="39"/>
      <c r="U217" s="39"/>
      <c r="V217" s="39"/>
      <c r="W217" s="39"/>
      <c r="IH217" s="41"/>
      <c r="II217" s="41"/>
      <c r="IJ217" s="41"/>
      <c r="IK217" s="41"/>
      <c r="IL217" s="41"/>
      <c r="IM217" s="41"/>
    </row>
    <row r="218" spans="1:247" s="40" customFormat="1" ht="20.25" customHeight="1" x14ac:dyDescent="0.25">
      <c r="A218" s="75">
        <v>43019</v>
      </c>
      <c r="B218" s="144">
        <v>493.5204</v>
      </c>
      <c r="C218" s="144">
        <f t="shared" si="342"/>
        <v>492.03983879999998</v>
      </c>
      <c r="D218" s="144">
        <f t="shared" si="341"/>
        <v>495.00096119999995</v>
      </c>
      <c r="E218" s="78">
        <f>8116.215/1800.553*100</f>
        <v>450.76234912274174</v>
      </c>
      <c r="F218" s="76"/>
      <c r="G218" s="137"/>
      <c r="H218" s="78">
        <v>147.30090000000001</v>
      </c>
      <c r="I218" s="78">
        <v>153.85599999999999</v>
      </c>
      <c r="J218" s="79">
        <f t="shared" si="242"/>
        <v>277.76661967979851</v>
      </c>
      <c r="K218" s="80">
        <v>389033.41</v>
      </c>
      <c r="L218" s="81">
        <f t="shared" si="338"/>
        <v>191.99592411656397</v>
      </c>
      <c r="M218" s="151"/>
      <c r="N218" s="64"/>
      <c r="O218" s="39"/>
      <c r="P218" s="39"/>
      <c r="Q218" s="39"/>
      <c r="R218" s="39"/>
      <c r="S218" s="39"/>
      <c r="T218" s="39"/>
      <c r="U218" s="39"/>
      <c r="V218" s="39"/>
      <c r="W218" s="39"/>
      <c r="IH218" s="41"/>
      <c r="II218" s="41"/>
      <c r="IJ218" s="41"/>
      <c r="IK218" s="41"/>
      <c r="IL218" s="41"/>
      <c r="IM218" s="41"/>
    </row>
    <row r="219" spans="1:247" s="40" customFormat="1" ht="20.25" customHeight="1" x14ac:dyDescent="0.25">
      <c r="A219" s="75">
        <v>43012</v>
      </c>
      <c r="B219" s="144">
        <v>494.64159999999998</v>
      </c>
      <c r="C219" s="144">
        <f t="shared" si="342"/>
        <v>493.15767519999997</v>
      </c>
      <c r="D219" s="144">
        <f t="shared" ref="D219:D224" si="343">1.003*B219</f>
        <v>496.12552479999994</v>
      </c>
      <c r="E219" s="78">
        <f>8058.461/1800.553*100</f>
        <v>447.55477900400598</v>
      </c>
      <c r="F219" s="76"/>
      <c r="G219" s="137"/>
      <c r="H219" s="78">
        <v>147.7971</v>
      </c>
      <c r="I219" s="78">
        <v>154.90270000000001</v>
      </c>
      <c r="J219" s="79">
        <f t="shared" si="242"/>
        <v>277.23853962379042</v>
      </c>
      <c r="K219" s="80">
        <v>389033.41</v>
      </c>
      <c r="L219" s="81">
        <f t="shared" si="338"/>
        <v>192.43210837585599</v>
      </c>
      <c r="M219" s="151"/>
      <c r="N219" s="64"/>
      <c r="O219" s="39"/>
      <c r="P219" s="39"/>
      <c r="Q219" s="39"/>
      <c r="R219" s="39"/>
      <c r="S219" s="39"/>
      <c r="T219" s="39"/>
      <c r="U219" s="39"/>
      <c r="V219" s="39"/>
      <c r="W219" s="39"/>
      <c r="IH219" s="41"/>
      <c r="II219" s="41"/>
      <c r="IJ219" s="41"/>
      <c r="IK219" s="41"/>
      <c r="IL219" s="41"/>
      <c r="IM219" s="41"/>
    </row>
    <row r="220" spans="1:247" s="40" customFormat="1" ht="20.25" customHeight="1" x14ac:dyDescent="0.25">
      <c r="A220" s="75">
        <v>43005</v>
      </c>
      <c r="B220" s="144">
        <v>490.08969999999999</v>
      </c>
      <c r="C220" s="144">
        <f t="shared" si="342"/>
        <v>488.6194309</v>
      </c>
      <c r="D220" s="144">
        <f t="shared" si="343"/>
        <v>491.55996909999993</v>
      </c>
      <c r="E220" s="78">
        <f>7964.2445/1800.553*100</f>
        <v>442.3221365880371</v>
      </c>
      <c r="F220" s="76"/>
      <c r="G220" s="137"/>
      <c r="H220" s="78">
        <v>147.09819999999999</v>
      </c>
      <c r="I220" s="78">
        <v>154.88820000000001</v>
      </c>
      <c r="J220" s="79">
        <f t="shared" si="242"/>
        <v>274.95896708464738</v>
      </c>
      <c r="K220" s="80">
        <v>389033.41</v>
      </c>
      <c r="L220" s="81">
        <f t="shared" si="338"/>
        <v>190.66126719687696</v>
      </c>
      <c r="M220" s="151"/>
      <c r="N220" s="64"/>
      <c r="O220" s="39"/>
      <c r="P220" s="39"/>
      <c r="Q220" s="39"/>
      <c r="R220" s="39"/>
      <c r="S220" s="39"/>
      <c r="T220" s="39"/>
      <c r="U220" s="39"/>
      <c r="V220" s="39"/>
      <c r="W220" s="39"/>
      <c r="IH220" s="41"/>
      <c r="II220" s="41"/>
      <c r="IJ220" s="41"/>
      <c r="IK220" s="41"/>
      <c r="IL220" s="41"/>
      <c r="IM220" s="41"/>
    </row>
    <row r="221" spans="1:247" s="40" customFormat="1" ht="20.25" customHeight="1" x14ac:dyDescent="0.25">
      <c r="A221" s="75">
        <v>42998</v>
      </c>
      <c r="B221" s="144">
        <v>492.04020000000003</v>
      </c>
      <c r="C221" s="144">
        <f t="shared" si="342"/>
        <v>490.56407940000003</v>
      </c>
      <c r="D221" s="144">
        <f t="shared" si="343"/>
        <v>493.51632059999997</v>
      </c>
      <c r="E221" s="78">
        <f>8000.125/1800.553*100</f>
        <v>444.31488548240452</v>
      </c>
      <c r="F221" s="76"/>
      <c r="G221" s="137"/>
      <c r="H221" s="78">
        <v>147.9177</v>
      </c>
      <c r="I221" s="78">
        <v>154.874</v>
      </c>
      <c r="J221" s="79">
        <f t="shared" si="242"/>
        <v>276.34417478764948</v>
      </c>
      <c r="K221" s="80">
        <v>389238.73</v>
      </c>
      <c r="L221" s="81">
        <f t="shared" si="338"/>
        <v>191.521102556946</v>
      </c>
      <c r="M221" s="151"/>
      <c r="N221" s="64"/>
      <c r="O221" s="39"/>
      <c r="P221" s="39"/>
      <c r="Q221" s="39"/>
      <c r="R221" s="39"/>
      <c r="S221" s="39"/>
      <c r="T221" s="39"/>
      <c r="U221" s="39"/>
      <c r="V221" s="39"/>
      <c r="W221" s="39"/>
      <c r="IH221" s="41"/>
      <c r="II221" s="41"/>
      <c r="IJ221" s="41"/>
      <c r="IK221" s="41"/>
      <c r="IL221" s="41"/>
      <c r="IM221" s="41"/>
    </row>
    <row r="222" spans="1:247" s="40" customFormat="1" ht="20.25" customHeight="1" x14ac:dyDescent="0.25">
      <c r="A222" s="75">
        <v>42991</v>
      </c>
      <c r="B222" s="144">
        <v>490.78949999999998</v>
      </c>
      <c r="C222" s="144">
        <f t="shared" si="342"/>
        <v>489.31713149999996</v>
      </c>
      <c r="D222" s="144">
        <f t="shared" si="343"/>
        <v>492.26186849999993</v>
      </c>
      <c r="E222" s="78">
        <f>7948.991/1800.553*100</f>
        <v>441.4749801866426</v>
      </c>
      <c r="F222" s="76"/>
      <c r="G222" s="137"/>
      <c r="H222" s="78">
        <v>147.84350000000001</v>
      </c>
      <c r="I222" s="78">
        <v>154.85980000000001</v>
      </c>
      <c r="J222" s="79">
        <f t="shared" si="242"/>
        <v>275.38931079638962</v>
      </c>
      <c r="K222" s="80">
        <v>389644.73</v>
      </c>
      <c r="L222" s="81">
        <f t="shared" si="338"/>
        <v>191.23354221433499</v>
      </c>
      <c r="M222" s="151"/>
      <c r="N222" s="64"/>
      <c r="O222" s="39"/>
      <c r="P222" s="39"/>
      <c r="Q222" s="39"/>
      <c r="R222" s="39"/>
      <c r="S222" s="39"/>
      <c r="T222" s="39"/>
      <c r="U222" s="39"/>
      <c r="V222" s="39"/>
      <c r="W222" s="39"/>
      <c r="IH222" s="41"/>
      <c r="II222" s="41"/>
      <c r="IJ222" s="41"/>
      <c r="IK222" s="41"/>
      <c r="IL222" s="41"/>
      <c r="IM222" s="41"/>
    </row>
    <row r="223" spans="1:247" s="40" customFormat="1" ht="20.25" customHeight="1" x14ac:dyDescent="0.25">
      <c r="A223" s="75">
        <v>42984</v>
      </c>
      <c r="B223" s="144">
        <v>488.27519999999998</v>
      </c>
      <c r="C223" s="144">
        <f t="shared" si="342"/>
        <v>486.8103744</v>
      </c>
      <c r="D223" s="144">
        <f t="shared" si="343"/>
        <v>489.74002559999991</v>
      </c>
      <c r="E223" s="78">
        <f>7835.664/1800.553*100</f>
        <v>435.18096940217805</v>
      </c>
      <c r="F223" s="76"/>
      <c r="G223" s="137"/>
      <c r="H223" s="78">
        <v>147.94210000000001</v>
      </c>
      <c r="I223" s="78">
        <v>154.84639999999999</v>
      </c>
      <c r="J223" s="79">
        <f t="shared" si="242"/>
        <v>273.50262182132008</v>
      </c>
      <c r="K223" s="80">
        <v>389644.73</v>
      </c>
      <c r="L223" s="81">
        <f t="shared" si="338"/>
        <v>190.25385846969598</v>
      </c>
      <c r="M223" s="151"/>
      <c r="N223" s="64"/>
      <c r="O223" s="39"/>
      <c r="P223" s="39"/>
      <c r="Q223" s="39"/>
      <c r="R223" s="39"/>
      <c r="S223" s="39"/>
      <c r="T223" s="39"/>
      <c r="U223" s="39"/>
      <c r="V223" s="39"/>
      <c r="W223" s="39"/>
      <c r="IH223" s="41"/>
      <c r="II223" s="41"/>
      <c r="IJ223" s="41"/>
      <c r="IK223" s="41"/>
      <c r="IL223" s="41"/>
      <c r="IM223" s="41"/>
    </row>
    <row r="224" spans="1:247" s="40" customFormat="1" ht="20.25" customHeight="1" x14ac:dyDescent="0.25">
      <c r="A224" s="75">
        <v>42977</v>
      </c>
      <c r="B224" s="144">
        <v>486.19869999999997</v>
      </c>
      <c r="C224" s="144">
        <f t="shared" ref="C224:C230" si="344">0.997*B224</f>
        <v>484.74010389999995</v>
      </c>
      <c r="D224" s="144">
        <f t="shared" si="343"/>
        <v>487.65729609999994</v>
      </c>
      <c r="E224" s="78">
        <f>7787.876/1800.553*100</f>
        <v>432.52689590364736</v>
      </c>
      <c r="F224" s="76"/>
      <c r="G224" s="137"/>
      <c r="H224" s="78">
        <v>147.26499999999999</v>
      </c>
      <c r="I224" s="78">
        <v>154.83279999999999</v>
      </c>
      <c r="J224" s="79">
        <f t="shared" si="242"/>
        <v>272.04256416057729</v>
      </c>
      <c r="K224" s="80">
        <v>389543.59</v>
      </c>
      <c r="L224" s="81">
        <f t="shared" si="338"/>
        <v>189.39558705133302</v>
      </c>
      <c r="M224" s="151"/>
      <c r="N224" s="64"/>
      <c r="O224" s="39"/>
      <c r="P224" s="39"/>
      <c r="Q224" s="39"/>
      <c r="R224" s="39"/>
      <c r="S224" s="39"/>
      <c r="T224" s="39"/>
      <c r="U224" s="39"/>
      <c r="V224" s="39"/>
      <c r="W224" s="39"/>
      <c r="IH224" s="41"/>
      <c r="II224" s="41"/>
      <c r="IJ224" s="41"/>
      <c r="IK224" s="41"/>
      <c r="IL224" s="41"/>
      <c r="IM224" s="41"/>
    </row>
    <row r="225" spans="1:247" s="40" customFormat="1" ht="20.25" customHeight="1" x14ac:dyDescent="0.25">
      <c r="A225" s="75">
        <v>42970</v>
      </c>
      <c r="B225" s="144">
        <v>481.755</v>
      </c>
      <c r="C225" s="144">
        <f t="shared" si="344"/>
        <v>480.30973499999999</v>
      </c>
      <c r="D225" s="144">
        <f t="shared" ref="D225:D230" si="345">1.003*B225</f>
        <v>483.20026499999994</v>
      </c>
      <c r="E225" s="78">
        <f>7762.718/1800.553*100</f>
        <v>431.12965849936097</v>
      </c>
      <c r="F225" s="76"/>
      <c r="G225" s="137"/>
      <c r="H225" s="78">
        <v>147.05930000000001</v>
      </c>
      <c r="I225" s="78">
        <v>154.8201</v>
      </c>
      <c r="J225" s="79">
        <f t="shared" si="242"/>
        <v>271.41293627354389</v>
      </c>
      <c r="K225" s="80">
        <v>389807.35</v>
      </c>
      <c r="L225" s="81">
        <f t="shared" si="338"/>
        <v>187.79163989925001</v>
      </c>
      <c r="M225" s="151"/>
      <c r="N225" s="64"/>
      <c r="O225" s="39"/>
      <c r="P225" s="39"/>
      <c r="Q225" s="39"/>
      <c r="R225" s="39"/>
      <c r="S225" s="39"/>
      <c r="T225" s="39"/>
      <c r="U225" s="39"/>
      <c r="V225" s="39"/>
      <c r="W225" s="39"/>
      <c r="IH225" s="41"/>
      <c r="II225" s="41"/>
      <c r="IJ225" s="41"/>
      <c r="IK225" s="41"/>
      <c r="IL225" s="41"/>
      <c r="IM225" s="41"/>
    </row>
    <row r="226" spans="1:247" s="40" customFormat="1" ht="20.25" customHeight="1" x14ac:dyDescent="0.25">
      <c r="A226" s="75">
        <v>42963</v>
      </c>
      <c r="B226" s="144">
        <v>479.11540000000002</v>
      </c>
      <c r="C226" s="144">
        <f t="shared" si="344"/>
        <v>477.67805380000004</v>
      </c>
      <c r="D226" s="144">
        <f t="shared" si="345"/>
        <v>480.55274619999994</v>
      </c>
      <c r="E226" s="78">
        <f>7807.529/1800.553*100</f>
        <v>433.61839390453935</v>
      </c>
      <c r="F226" s="76"/>
      <c r="G226" s="137"/>
      <c r="H226" s="78">
        <v>146.8689</v>
      </c>
      <c r="I226" s="78">
        <v>154.80690000000001</v>
      </c>
      <c r="J226" s="79">
        <f t="shared" si="242"/>
        <v>272.01723148663984</v>
      </c>
      <c r="K226" s="80">
        <v>389287.12</v>
      </c>
      <c r="L226" s="81">
        <f t="shared" si="338"/>
        <v>186.51345421364803</v>
      </c>
      <c r="M226" s="151"/>
      <c r="N226" s="64"/>
      <c r="O226" s="39"/>
      <c r="P226" s="39"/>
      <c r="Q226" s="39"/>
      <c r="R226" s="39"/>
      <c r="S226" s="39"/>
      <c r="T226" s="39"/>
      <c r="U226" s="39"/>
      <c r="V226" s="39"/>
      <c r="W226" s="39"/>
      <c r="IH226" s="41"/>
      <c r="II226" s="41"/>
      <c r="IJ226" s="41"/>
      <c r="IK226" s="41"/>
      <c r="IL226" s="41"/>
      <c r="IM226" s="41"/>
    </row>
    <row r="227" spans="1:247" s="40" customFormat="1" ht="20.25" customHeight="1" x14ac:dyDescent="0.25">
      <c r="A227" s="75">
        <v>42956</v>
      </c>
      <c r="B227" s="144">
        <v>483.70619077248858</v>
      </c>
      <c r="C227" s="144">
        <f t="shared" si="344"/>
        <v>482.25507220017113</v>
      </c>
      <c r="D227" s="144">
        <f t="shared" si="345"/>
        <v>485.15730934480598</v>
      </c>
      <c r="E227" s="78">
        <f>7829.879/1800.553*100</f>
        <v>434.85967922077265</v>
      </c>
      <c r="F227" s="76"/>
      <c r="G227" s="137"/>
      <c r="H227" s="78">
        <v>146.93719999999999</v>
      </c>
      <c r="I227" s="78">
        <v>154.79349999999999</v>
      </c>
      <c r="J227" s="79">
        <f t="shared" si="242"/>
        <v>272.46943192845737</v>
      </c>
      <c r="K227" s="80">
        <v>390485.44</v>
      </c>
      <c r="L227" s="81">
        <f t="shared" si="338"/>
        <v>188.88022473451915</v>
      </c>
      <c r="M227" s="151"/>
      <c r="N227" s="64"/>
      <c r="O227" s="39"/>
      <c r="P227" s="39"/>
      <c r="Q227" s="39"/>
      <c r="R227" s="39"/>
      <c r="S227" s="39"/>
      <c r="T227" s="39"/>
      <c r="U227" s="39"/>
      <c r="V227" s="39"/>
      <c r="W227" s="39"/>
      <c r="IH227" s="41"/>
      <c r="II227" s="41"/>
      <c r="IJ227" s="41"/>
      <c r="IK227" s="41"/>
      <c r="IL227" s="41"/>
      <c r="IM227" s="41"/>
    </row>
    <row r="228" spans="1:247" s="28" customFormat="1" ht="20.25" customHeight="1" x14ac:dyDescent="0.25">
      <c r="A228" s="75">
        <v>42949</v>
      </c>
      <c r="B228" s="144">
        <v>481.78989999999999</v>
      </c>
      <c r="C228" s="144">
        <f t="shared" si="344"/>
        <v>480.34453029999997</v>
      </c>
      <c r="D228" s="144">
        <f t="shared" si="345"/>
        <v>483.23526969999995</v>
      </c>
      <c r="E228" s="78">
        <f>7860.153/1800.553*100</f>
        <v>436.54105155471683</v>
      </c>
      <c r="F228" s="76"/>
      <c r="G228" s="137"/>
      <c r="H228" s="78">
        <v>147.3869</v>
      </c>
      <c r="I228" s="78">
        <v>154.78</v>
      </c>
      <c r="J228" s="79">
        <f t="shared" si="242"/>
        <v>273.41308055120612</v>
      </c>
      <c r="K228" s="80">
        <v>368128.44</v>
      </c>
      <c r="L228" s="81">
        <f t="shared" si="338"/>
        <v>177.36056429475599</v>
      </c>
      <c r="M228" s="152"/>
      <c r="N228" s="66"/>
      <c r="O228" s="27"/>
      <c r="P228" s="27"/>
      <c r="Q228" s="27"/>
      <c r="R228" s="27"/>
      <c r="S228" s="27"/>
      <c r="T228" s="27"/>
      <c r="U228" s="27"/>
      <c r="V228" s="27"/>
      <c r="W228" s="27"/>
      <c r="IH228" s="32"/>
      <c r="II228" s="32"/>
      <c r="IJ228" s="32"/>
      <c r="IK228" s="32"/>
      <c r="IL228" s="32"/>
      <c r="IM228" s="32"/>
    </row>
    <row r="229" spans="1:247" s="40" customFormat="1" ht="20.25" customHeight="1" x14ac:dyDescent="0.25">
      <c r="A229" s="75">
        <v>42942</v>
      </c>
      <c r="B229" s="144">
        <v>477.77480000000003</v>
      </c>
      <c r="C229" s="144">
        <f t="shared" si="344"/>
        <v>476.34147560000002</v>
      </c>
      <c r="D229" s="144">
        <f t="shared" si="345"/>
        <v>479.20812439999997</v>
      </c>
      <c r="E229" s="78">
        <f>7824.147/1800.553*100</f>
        <v>434.54133257949081</v>
      </c>
      <c r="F229" s="76"/>
      <c r="G229" s="137"/>
      <c r="H229" s="78">
        <v>147.143</v>
      </c>
      <c r="I229" s="78">
        <v>154.7664</v>
      </c>
      <c r="J229" s="79">
        <f t="shared" si="242"/>
        <v>272.56003868528921</v>
      </c>
      <c r="K229" s="80">
        <v>368328.81</v>
      </c>
      <c r="L229" s="81">
        <f t="shared" si="338"/>
        <v>175.97822353198799</v>
      </c>
      <c r="M229" s="151"/>
      <c r="N229" s="64"/>
      <c r="O229" s="39"/>
      <c r="P229" s="39"/>
      <c r="Q229" s="39"/>
      <c r="R229" s="39"/>
      <c r="S229" s="39"/>
      <c r="T229" s="39"/>
      <c r="U229" s="39"/>
      <c r="V229" s="39"/>
      <c r="W229" s="39"/>
      <c r="IH229" s="41"/>
      <c r="II229" s="41"/>
      <c r="IJ229" s="41"/>
      <c r="IK229" s="41"/>
      <c r="IL229" s="41"/>
      <c r="IM229" s="41"/>
    </row>
    <row r="230" spans="1:247" s="40" customFormat="1" ht="20.25" customHeight="1" x14ac:dyDescent="0.25">
      <c r="A230" s="87">
        <v>42935</v>
      </c>
      <c r="B230" s="153">
        <v>477.15570000000002</v>
      </c>
      <c r="C230" s="153">
        <f t="shared" si="344"/>
        <v>475.7242329</v>
      </c>
      <c r="D230" s="153">
        <f t="shared" si="345"/>
        <v>478.58716709999999</v>
      </c>
      <c r="E230" s="154">
        <f>7809.1557/1800.553*100</f>
        <v>433.70873837093382</v>
      </c>
      <c r="F230" s="88"/>
      <c r="G230" s="77"/>
      <c r="H230" s="154">
        <v>146.1173</v>
      </c>
      <c r="I230" s="154">
        <v>154.75290000000001</v>
      </c>
      <c r="J230" s="155">
        <f t="shared" si="242"/>
        <v>271.34719665056105</v>
      </c>
      <c r="K230" s="156">
        <v>391769.33</v>
      </c>
      <c r="L230" s="81">
        <f t="shared" si="338"/>
        <v>186.93496889468102</v>
      </c>
      <c r="M230" s="151"/>
      <c r="N230" s="64"/>
      <c r="O230" s="39"/>
      <c r="P230" s="39"/>
      <c r="Q230" s="39"/>
      <c r="R230" s="39"/>
      <c r="S230" s="39"/>
      <c r="T230" s="39"/>
      <c r="U230" s="39"/>
      <c r="V230" s="39"/>
      <c r="W230" s="39"/>
      <c r="IH230" s="41"/>
      <c r="II230" s="41"/>
      <c r="IJ230" s="41"/>
      <c r="IK230" s="41"/>
      <c r="IL230" s="41"/>
      <c r="IM230" s="41"/>
    </row>
    <row r="231" spans="1:247" s="40" customFormat="1" ht="20.25" customHeight="1" x14ac:dyDescent="0.25">
      <c r="A231" s="75">
        <v>42928</v>
      </c>
      <c r="B231" s="144">
        <v>472.02870000000001</v>
      </c>
      <c r="C231" s="144">
        <f t="shared" ref="C231:C237" si="346">0.997*B231</f>
        <v>470.61261389999999</v>
      </c>
      <c r="D231" s="144">
        <f t="shared" ref="D231:D236" si="347">1.003*B231</f>
        <v>473.44478609999999</v>
      </c>
      <c r="E231" s="78">
        <f>7706.539/1800.553*100</f>
        <v>428.00956150693696</v>
      </c>
      <c r="F231" s="76"/>
      <c r="G231" s="137"/>
      <c r="H231" s="78">
        <v>145.18559999999999</v>
      </c>
      <c r="I231" s="78">
        <v>154.7396</v>
      </c>
      <c r="J231" s="79">
        <f t="shared" si="242"/>
        <v>268.69612787857614</v>
      </c>
      <c r="K231" s="80">
        <v>391558.12</v>
      </c>
      <c r="L231" s="81">
        <f t="shared" si="338"/>
        <v>184.826670358044</v>
      </c>
      <c r="M231" s="151"/>
      <c r="N231" s="64"/>
      <c r="O231" s="39"/>
      <c r="P231" s="39"/>
      <c r="Q231" s="39"/>
      <c r="R231" s="39"/>
      <c r="S231" s="39"/>
      <c r="T231" s="39"/>
      <c r="U231" s="39"/>
      <c r="V231" s="39"/>
      <c r="W231" s="39"/>
      <c r="IH231" s="41"/>
      <c r="II231" s="41"/>
      <c r="IJ231" s="41"/>
      <c r="IK231" s="41"/>
      <c r="IL231" s="41"/>
      <c r="IM231" s="41"/>
    </row>
    <row r="232" spans="1:247" s="40" customFormat="1" ht="20.25" customHeight="1" x14ac:dyDescent="0.25">
      <c r="A232" s="75">
        <v>42921</v>
      </c>
      <c r="B232" s="144">
        <v>472.83580000000001</v>
      </c>
      <c r="C232" s="144">
        <f t="shared" si="346"/>
        <v>471.4172926</v>
      </c>
      <c r="D232" s="144">
        <f t="shared" si="347"/>
        <v>474.25430739999996</v>
      </c>
      <c r="E232" s="78">
        <f>7654.122/1800.553*100</f>
        <v>425.09840032478905</v>
      </c>
      <c r="F232" s="76"/>
      <c r="G232" s="137"/>
      <c r="H232" s="78">
        <v>144.9451</v>
      </c>
      <c r="I232" s="78">
        <v>154.726</v>
      </c>
      <c r="J232" s="79">
        <f t="shared" si="242"/>
        <v>267.55800910219807</v>
      </c>
      <c r="K232" s="80">
        <v>370464.21</v>
      </c>
      <c r="L232" s="81">
        <f t="shared" si="338"/>
        <v>175.16874110671802</v>
      </c>
      <c r="M232" s="151"/>
      <c r="N232" s="64"/>
      <c r="O232" s="39"/>
      <c r="P232" s="39"/>
      <c r="Q232" s="39"/>
      <c r="R232" s="39"/>
      <c r="S232" s="39"/>
      <c r="T232" s="39"/>
      <c r="U232" s="39"/>
      <c r="V232" s="39"/>
      <c r="W232" s="39"/>
      <c r="IH232" s="41"/>
      <c r="II232" s="41"/>
      <c r="IJ232" s="41"/>
      <c r="IK232" s="41"/>
      <c r="IL232" s="41"/>
      <c r="IM232" s="41"/>
    </row>
    <row r="233" spans="1:247" s="40" customFormat="1" ht="20.25" customHeight="1" x14ac:dyDescent="0.25">
      <c r="A233" s="75">
        <v>42914</v>
      </c>
      <c r="B233" s="144">
        <v>468.58749999999998</v>
      </c>
      <c r="C233" s="144">
        <f t="shared" si="346"/>
        <v>467.1817375</v>
      </c>
      <c r="D233" s="144">
        <f t="shared" si="347"/>
        <v>469.9932624999999</v>
      </c>
      <c r="E233" s="78">
        <f>7696.738/1800.553*100</f>
        <v>427.46522873805992</v>
      </c>
      <c r="F233" s="76"/>
      <c r="G233" s="137"/>
      <c r="H233" s="78">
        <v>145.11930000000001</v>
      </c>
      <c r="I233" s="78">
        <v>154.7124</v>
      </c>
      <c r="J233" s="79">
        <f t="shared" si="242"/>
        <v>268.46236252566769</v>
      </c>
      <c r="K233" s="80">
        <v>370464.21</v>
      </c>
      <c r="L233" s="81">
        <f t="shared" si="338"/>
        <v>173.59489800337499</v>
      </c>
      <c r="M233" s="151"/>
      <c r="N233" s="64"/>
      <c r="O233" s="39"/>
      <c r="P233" s="39"/>
      <c r="Q233" s="39"/>
      <c r="R233" s="39"/>
      <c r="S233" s="39"/>
      <c r="T233" s="39"/>
      <c r="U233" s="39"/>
      <c r="V233" s="39"/>
      <c r="W233" s="39"/>
      <c r="IH233" s="41"/>
      <c r="II233" s="41"/>
      <c r="IJ233" s="41"/>
      <c r="IK233" s="41"/>
      <c r="IL233" s="41"/>
      <c r="IM233" s="41"/>
    </row>
    <row r="234" spans="1:247" s="40" customFormat="1" ht="20.25" customHeight="1" x14ac:dyDescent="0.25">
      <c r="A234" s="75">
        <v>42907</v>
      </c>
      <c r="B234" s="144">
        <v>463.31279999999998</v>
      </c>
      <c r="C234" s="144">
        <f t="shared" si="346"/>
        <v>461.92286159999998</v>
      </c>
      <c r="D234" s="144">
        <f t="shared" si="347"/>
        <v>464.70273839999993</v>
      </c>
      <c r="E234" s="78">
        <f>7647.172/1800.553*100</f>
        <v>424.71240779915939</v>
      </c>
      <c r="F234" s="76"/>
      <c r="G234" s="137"/>
      <c r="H234" s="78">
        <v>144.10720000000001</v>
      </c>
      <c r="I234" s="78">
        <v>154.7022</v>
      </c>
      <c r="J234" s="79">
        <f t="shared" si="242"/>
        <v>266.66174832682344</v>
      </c>
      <c r="K234" s="80">
        <v>370464.21</v>
      </c>
      <c r="L234" s="81">
        <f t="shared" si="338"/>
        <v>171.64081043488801</v>
      </c>
      <c r="M234" s="151"/>
      <c r="N234" s="64"/>
      <c r="O234" s="39"/>
      <c r="P234" s="39"/>
      <c r="Q234" s="39"/>
      <c r="R234" s="39"/>
      <c r="S234" s="39"/>
      <c r="T234" s="39"/>
      <c r="U234" s="39"/>
      <c r="V234" s="39"/>
      <c r="W234" s="39"/>
      <c r="IH234" s="41"/>
      <c r="II234" s="41"/>
      <c r="IJ234" s="41"/>
      <c r="IK234" s="41"/>
      <c r="IL234" s="41"/>
      <c r="IM234" s="41"/>
    </row>
    <row r="235" spans="1:247" s="40" customFormat="1" ht="20.25" customHeight="1" x14ac:dyDescent="0.25">
      <c r="A235" s="87">
        <v>42900</v>
      </c>
      <c r="B235" s="153">
        <v>469.858</v>
      </c>
      <c r="C235" s="153">
        <f t="shared" si="346"/>
        <v>468.44842599999998</v>
      </c>
      <c r="D235" s="153">
        <f t="shared" si="347"/>
        <v>471.26757399999997</v>
      </c>
      <c r="E235" s="154">
        <f>7686.968/1800.553*100</f>
        <v>426.92261766246259</v>
      </c>
      <c r="F235" s="88"/>
      <c r="G235" s="77"/>
      <c r="H235" s="154">
        <v>144.74199999999999</v>
      </c>
      <c r="I235" s="154">
        <v>154.68950000000001</v>
      </c>
      <c r="J235" s="155">
        <f t="shared" si="242"/>
        <v>267.94289158529455</v>
      </c>
      <c r="K235" s="156">
        <v>370672.88</v>
      </c>
      <c r="L235" s="81">
        <f t="shared" si="338"/>
        <v>174.16361805104</v>
      </c>
      <c r="M235" s="151"/>
      <c r="N235" s="64"/>
      <c r="O235" s="39"/>
      <c r="P235" s="39"/>
      <c r="Q235" s="39"/>
      <c r="R235" s="39"/>
      <c r="S235" s="39"/>
      <c r="T235" s="39"/>
      <c r="U235" s="39"/>
      <c r="V235" s="39"/>
      <c r="W235" s="39"/>
      <c r="IH235" s="41"/>
      <c r="II235" s="41"/>
      <c r="IJ235" s="41"/>
      <c r="IK235" s="41"/>
      <c r="IL235" s="41"/>
      <c r="IM235" s="41"/>
    </row>
    <row r="236" spans="1:247" s="40" customFormat="1" ht="20.25" customHeight="1" x14ac:dyDescent="0.25">
      <c r="A236" s="87">
        <v>42893</v>
      </c>
      <c r="B236" s="153">
        <v>472.53570000000002</v>
      </c>
      <c r="C236" s="153">
        <f t="shared" si="346"/>
        <v>471.11809290000002</v>
      </c>
      <c r="D236" s="153">
        <f t="shared" si="347"/>
        <v>473.95330709999996</v>
      </c>
      <c r="E236" s="154">
        <f>7669.544/1800.553*100</f>
        <v>425.95491496223656</v>
      </c>
      <c r="F236" s="88"/>
      <c r="G236" s="77"/>
      <c r="H236" s="154">
        <v>144.91669999999999</v>
      </c>
      <c r="I236" s="154">
        <v>154.67689999999999</v>
      </c>
      <c r="J236" s="155">
        <f t="shared" si="242"/>
        <v>267.80011089215475</v>
      </c>
      <c r="K236" s="156">
        <v>370672.88</v>
      </c>
      <c r="L236" s="81">
        <f t="shared" si="338"/>
        <v>175.15616882181601</v>
      </c>
      <c r="M236" s="151"/>
      <c r="N236" s="64"/>
      <c r="O236" s="39"/>
      <c r="P236" s="39"/>
      <c r="Q236" s="39"/>
      <c r="R236" s="39"/>
      <c r="S236" s="39"/>
      <c r="T236" s="39"/>
      <c r="U236" s="39"/>
      <c r="V236" s="39"/>
      <c r="W236" s="39"/>
      <c r="IH236" s="41"/>
      <c r="II236" s="41"/>
      <c r="IJ236" s="41"/>
      <c r="IK236" s="41"/>
      <c r="IL236" s="41"/>
      <c r="IM236" s="41"/>
    </row>
    <row r="237" spans="1:247" s="40" customFormat="1" ht="20.25" customHeight="1" x14ac:dyDescent="0.25">
      <c r="A237" s="75">
        <v>42886</v>
      </c>
      <c r="B237" s="144">
        <v>469.26190000000003</v>
      </c>
      <c r="C237" s="144">
        <f t="shared" si="346"/>
        <v>467.85411430000005</v>
      </c>
      <c r="D237" s="144">
        <f t="shared" ref="D237:D242" si="348">1.003*B237</f>
        <v>470.6696857</v>
      </c>
      <c r="E237" s="78">
        <f>7604.861/1800.553*100</f>
        <v>422.36251862622203</v>
      </c>
      <c r="F237" s="76"/>
      <c r="G237" s="137"/>
      <c r="H237" s="78">
        <v>144.58529999999999</v>
      </c>
      <c r="I237" s="78">
        <v>154.66480000000001</v>
      </c>
      <c r="J237" s="79">
        <f t="shared" si="242"/>
        <v>266.36208148339523</v>
      </c>
      <c r="K237" s="80">
        <v>370672.88</v>
      </c>
      <c r="L237" s="81">
        <f t="shared" si="338"/>
        <v>173.94265994727201</v>
      </c>
      <c r="M237" s="151"/>
      <c r="N237" s="64"/>
      <c r="O237" s="39"/>
      <c r="P237" s="39"/>
      <c r="Q237" s="39"/>
      <c r="R237" s="39"/>
      <c r="S237" s="39"/>
      <c r="T237" s="39"/>
      <c r="U237" s="39"/>
      <c r="V237" s="39"/>
      <c r="W237" s="39"/>
      <c r="IH237" s="41"/>
      <c r="II237" s="41"/>
      <c r="IJ237" s="41"/>
      <c r="IK237" s="41"/>
      <c r="IL237" s="41"/>
      <c r="IM237" s="41"/>
    </row>
    <row r="238" spans="1:247" s="40" customFormat="1" ht="20.25" customHeight="1" x14ac:dyDescent="0.25">
      <c r="A238" s="75">
        <v>42879</v>
      </c>
      <c r="B238" s="144">
        <v>472.4821</v>
      </c>
      <c r="C238" s="144">
        <f t="shared" ref="C238:C244" si="349">0.997*B238</f>
        <v>471.06465370000001</v>
      </c>
      <c r="D238" s="144">
        <f t="shared" si="348"/>
        <v>473.89954629999994</v>
      </c>
      <c r="E238" s="78">
        <f>7584.429/1800.553*100</f>
        <v>421.22775613936386</v>
      </c>
      <c r="F238" s="76"/>
      <c r="G238" s="137"/>
      <c r="H238" s="78">
        <v>144.51310000000001</v>
      </c>
      <c r="I238" s="78">
        <v>154.65299999999999</v>
      </c>
      <c r="J238" s="79">
        <f t="shared" si="242"/>
        <v>265.93743934485531</v>
      </c>
      <c r="K238" s="80">
        <v>370279.58</v>
      </c>
      <c r="L238" s="81">
        <f t="shared" si="338"/>
        <v>174.95047354551801</v>
      </c>
      <c r="M238" s="151"/>
      <c r="N238" s="64"/>
      <c r="O238" s="39"/>
      <c r="P238" s="39"/>
      <c r="Q238" s="39"/>
      <c r="R238" s="39"/>
      <c r="S238" s="39"/>
      <c r="T238" s="39"/>
      <c r="U238" s="39"/>
      <c r="V238" s="39"/>
      <c r="W238" s="39"/>
      <c r="IH238" s="41"/>
      <c r="II238" s="41"/>
      <c r="IJ238" s="41"/>
      <c r="IK238" s="41"/>
      <c r="IL238" s="41"/>
      <c r="IM238" s="41"/>
    </row>
    <row r="239" spans="1:247" s="40" customFormat="1" ht="20.25" customHeight="1" x14ac:dyDescent="0.25">
      <c r="A239" s="75">
        <v>42872</v>
      </c>
      <c r="B239" s="144">
        <v>468.9085</v>
      </c>
      <c r="C239" s="144">
        <f t="shared" si="349"/>
        <v>467.50177450000001</v>
      </c>
      <c r="D239" s="144">
        <f t="shared" si="348"/>
        <v>470.31522549999994</v>
      </c>
      <c r="E239" s="78">
        <f>7479.489/1800.553*100</f>
        <v>415.39954669482091</v>
      </c>
      <c r="F239" s="76"/>
      <c r="G239" s="137"/>
      <c r="H239" s="78">
        <v>144.24600000000001</v>
      </c>
      <c r="I239" s="78">
        <v>154.64109999999999</v>
      </c>
      <c r="J239" s="79">
        <f t="shared" si="242"/>
        <v>263.84225898890918</v>
      </c>
      <c r="K239" s="80">
        <v>370279.58</v>
      </c>
      <c r="L239" s="81">
        <f t="shared" si="338"/>
        <v>173.62724243843002</v>
      </c>
      <c r="M239" s="151"/>
      <c r="N239" s="64"/>
      <c r="O239" s="39"/>
      <c r="P239" s="39"/>
      <c r="Q239" s="39"/>
      <c r="R239" s="39"/>
      <c r="S239" s="39"/>
      <c r="T239" s="39"/>
      <c r="U239" s="39"/>
      <c r="V239" s="39"/>
      <c r="W239" s="39"/>
      <c r="IH239" s="41"/>
      <c r="II239" s="41"/>
      <c r="IJ239" s="41"/>
      <c r="IK239" s="41"/>
      <c r="IL239" s="41"/>
      <c r="IM239" s="41"/>
    </row>
    <row r="240" spans="1:247" s="40" customFormat="1" ht="20.25" customHeight="1" x14ac:dyDescent="0.25">
      <c r="A240" s="75">
        <v>42865</v>
      </c>
      <c r="B240" s="144">
        <v>470.00830000000002</v>
      </c>
      <c r="C240" s="144">
        <f t="shared" si="349"/>
        <v>468.59827510000002</v>
      </c>
      <c r="D240" s="144">
        <f t="shared" si="348"/>
        <v>471.41832489999996</v>
      </c>
      <c r="E240" s="78">
        <f>7521.0584/1800.553*100</f>
        <v>417.70824852142647</v>
      </c>
      <c r="F240" s="76"/>
      <c r="G240" s="137"/>
      <c r="H240" s="78">
        <v>142.51429999999999</v>
      </c>
      <c r="I240" s="78">
        <v>154.6302</v>
      </c>
      <c r="J240" s="79">
        <f t="shared" si="242"/>
        <v>262.97129890254621</v>
      </c>
      <c r="K240" s="80">
        <v>370279.58</v>
      </c>
      <c r="L240" s="81">
        <f t="shared" si="338"/>
        <v>174.03447592051401</v>
      </c>
      <c r="M240" s="151"/>
      <c r="N240" s="64"/>
      <c r="O240" s="39"/>
      <c r="P240" s="39"/>
      <c r="Q240" s="39"/>
      <c r="R240" s="39"/>
      <c r="S240" s="39"/>
      <c r="T240" s="39"/>
      <c r="U240" s="39"/>
      <c r="V240" s="39"/>
      <c r="W240" s="39"/>
      <c r="IH240" s="41"/>
      <c r="II240" s="41"/>
      <c r="IJ240" s="41"/>
      <c r="IK240" s="41"/>
      <c r="IL240" s="41"/>
      <c r="IM240" s="41"/>
    </row>
    <row r="241" spans="1:247" s="40" customFormat="1" ht="20.25" customHeight="1" x14ac:dyDescent="0.25">
      <c r="A241" s="75">
        <v>42858</v>
      </c>
      <c r="B241" s="144">
        <v>468.35359999999997</v>
      </c>
      <c r="C241" s="144">
        <f t="shared" si="349"/>
        <v>466.94853919999997</v>
      </c>
      <c r="D241" s="144">
        <f t="shared" si="348"/>
        <v>469.75866079999992</v>
      </c>
      <c r="E241" s="78">
        <f>7462.394/1800.553*100</f>
        <v>414.45011615875791</v>
      </c>
      <c r="F241" s="76"/>
      <c r="G241" s="137"/>
      <c r="H241" s="78">
        <v>142.90780000000001</v>
      </c>
      <c r="I241" s="78">
        <v>154.6189</v>
      </c>
      <c r="J241" s="79">
        <f t="shared" si="242"/>
        <v>262.30140548135648</v>
      </c>
      <c r="K241" s="80">
        <v>370251.21</v>
      </c>
      <c r="L241" s="81">
        <f t="shared" si="338"/>
        <v>173.40848710785602</v>
      </c>
      <c r="M241" s="151"/>
      <c r="N241" s="64"/>
      <c r="O241" s="39"/>
      <c r="P241" s="39"/>
      <c r="Q241" s="39"/>
      <c r="R241" s="39"/>
      <c r="S241" s="39"/>
      <c r="T241" s="39"/>
      <c r="U241" s="39"/>
      <c r="V241" s="39"/>
      <c r="W241" s="39"/>
      <c r="IH241" s="41"/>
      <c r="II241" s="41"/>
      <c r="IJ241" s="41"/>
      <c r="IK241" s="41"/>
      <c r="IL241" s="41"/>
      <c r="IM241" s="41"/>
    </row>
    <row r="242" spans="1:247" s="40" customFormat="1" ht="20.25" customHeight="1" x14ac:dyDescent="0.25">
      <c r="A242" s="87">
        <v>42851</v>
      </c>
      <c r="B242" s="153">
        <v>470.5763</v>
      </c>
      <c r="C242" s="153">
        <f t="shared" si="349"/>
        <v>469.16457109999999</v>
      </c>
      <c r="D242" s="153">
        <f t="shared" si="348"/>
        <v>471.98802889999996</v>
      </c>
      <c r="E242" s="154">
        <f>7453.77/1800.553*100</f>
        <v>413.97115219601977</v>
      </c>
      <c r="F242" s="88"/>
      <c r="G242" s="77"/>
      <c r="H242" s="154">
        <v>143.21809999999999</v>
      </c>
      <c r="I242" s="154">
        <v>154.60839999999999</v>
      </c>
      <c r="J242" s="155">
        <f t="shared" si="242"/>
        <v>262.43388567362217</v>
      </c>
      <c r="K242" s="156">
        <v>370617.02</v>
      </c>
      <c r="L242" s="81">
        <f t="shared" si="338"/>
        <v>174.40358598862599</v>
      </c>
      <c r="M242" s="151"/>
      <c r="N242" s="64"/>
      <c r="O242" s="39"/>
      <c r="P242" s="39"/>
      <c r="Q242" s="39"/>
      <c r="R242" s="39"/>
      <c r="S242" s="39"/>
      <c r="T242" s="39"/>
      <c r="U242" s="39"/>
      <c r="V242" s="39"/>
      <c r="W242" s="39"/>
      <c r="IH242" s="41"/>
      <c r="II242" s="41"/>
      <c r="IJ242" s="41"/>
      <c r="IK242" s="41"/>
      <c r="IL242" s="41"/>
      <c r="IM242" s="41"/>
    </row>
    <row r="243" spans="1:247" s="40" customFormat="1" ht="20.25" customHeight="1" x14ac:dyDescent="0.25">
      <c r="A243" s="75">
        <v>42844</v>
      </c>
      <c r="B243" s="144">
        <v>466.7321</v>
      </c>
      <c r="C243" s="144">
        <f t="shared" si="349"/>
        <v>465.3319037</v>
      </c>
      <c r="D243" s="144">
        <f t="shared" ref="D243:D248" si="350">1.003*B243</f>
        <v>468.13229629999995</v>
      </c>
      <c r="E243" s="78">
        <f>7263.533/1800.553*100</f>
        <v>403.40567592289699</v>
      </c>
      <c r="F243" s="76"/>
      <c r="G243" s="137"/>
      <c r="H243" s="78">
        <v>142.87889999999999</v>
      </c>
      <c r="I243" s="78">
        <v>154.59819999999999</v>
      </c>
      <c r="J243" s="79">
        <f t="shared" si="242"/>
        <v>258.73848731196694</v>
      </c>
      <c r="K243" s="80">
        <v>370617.02</v>
      </c>
      <c r="L243" s="81">
        <f t="shared" si="338"/>
        <v>172.978860040342</v>
      </c>
      <c r="M243" s="151"/>
      <c r="N243" s="64"/>
      <c r="O243" s="39"/>
      <c r="P243" s="39"/>
      <c r="Q243" s="39"/>
      <c r="R243" s="39"/>
      <c r="S243" s="39"/>
      <c r="T243" s="39"/>
      <c r="U243" s="39"/>
      <c r="V243" s="39"/>
      <c r="W243" s="39"/>
      <c r="IH243" s="41"/>
      <c r="II243" s="41"/>
      <c r="IJ243" s="41"/>
      <c r="IK243" s="41"/>
      <c r="IL243" s="41"/>
      <c r="IM243" s="41"/>
    </row>
    <row r="244" spans="1:247" s="40" customFormat="1" ht="20.25" customHeight="1" x14ac:dyDescent="0.25">
      <c r="A244" s="75">
        <v>42837</v>
      </c>
      <c r="B244" s="144">
        <v>467.1807</v>
      </c>
      <c r="C244" s="144">
        <f t="shared" si="349"/>
        <v>465.77915789999997</v>
      </c>
      <c r="D244" s="144">
        <f t="shared" si="350"/>
        <v>468.58224209999997</v>
      </c>
      <c r="E244" s="78">
        <f>7292.972/1800.553*100</f>
        <v>405.04067361527262</v>
      </c>
      <c r="F244" s="76"/>
      <c r="G244" s="137"/>
      <c r="H244" s="78">
        <v>142.53059999999999</v>
      </c>
      <c r="I244" s="78">
        <v>154.58860000000001</v>
      </c>
      <c r="J244" s="79">
        <f t="shared" si="242"/>
        <v>258.94472904221857</v>
      </c>
      <c r="K244" s="80">
        <v>371129.18</v>
      </c>
      <c r="L244" s="81">
        <f t="shared" si="338"/>
        <v>173.38439010282599</v>
      </c>
      <c r="M244" s="151"/>
      <c r="N244" s="64"/>
      <c r="O244" s="39"/>
      <c r="P244" s="39"/>
      <c r="Q244" s="39"/>
      <c r="R244" s="39"/>
      <c r="S244" s="39"/>
      <c r="T244" s="39"/>
      <c r="U244" s="39"/>
      <c r="V244" s="39"/>
      <c r="W244" s="39"/>
      <c r="IH244" s="41"/>
      <c r="II244" s="41"/>
      <c r="IJ244" s="41"/>
      <c r="IK244" s="41"/>
      <c r="IL244" s="41"/>
      <c r="IM244" s="41"/>
    </row>
    <row r="245" spans="1:247" s="40" customFormat="1" ht="20.25" customHeight="1" x14ac:dyDescent="0.25">
      <c r="A245" s="75">
        <v>42830</v>
      </c>
      <c r="B245" s="144">
        <v>466.67</v>
      </c>
      <c r="C245" s="144">
        <f t="shared" ref="C245:C251" si="351">0.997*B245</f>
        <v>465.26999000000001</v>
      </c>
      <c r="D245" s="144">
        <f t="shared" si="350"/>
        <v>468.07000999999997</v>
      </c>
      <c r="E245" s="78">
        <f>7299.388/1800.553*100</f>
        <v>405.39700858569557</v>
      </c>
      <c r="F245" s="76"/>
      <c r="G245" s="137"/>
      <c r="H245" s="78">
        <v>142.13310000000001</v>
      </c>
      <c r="I245" s="78">
        <v>154.58000000000001</v>
      </c>
      <c r="J245" s="79">
        <f t="shared" si="242"/>
        <v>258.69667817400494</v>
      </c>
      <c r="K245" s="80">
        <v>371344</v>
      </c>
      <c r="L245" s="81">
        <f t="shared" si="338"/>
        <v>173.29510448000002</v>
      </c>
      <c r="M245" s="151"/>
      <c r="N245" s="64"/>
      <c r="O245" s="39"/>
      <c r="P245" s="39"/>
      <c r="Q245" s="39"/>
      <c r="R245" s="39"/>
      <c r="S245" s="39"/>
      <c r="T245" s="39"/>
      <c r="U245" s="39"/>
      <c r="V245" s="39"/>
      <c r="W245" s="39"/>
      <c r="IH245" s="41"/>
      <c r="II245" s="41"/>
      <c r="IJ245" s="41"/>
      <c r="IK245" s="41"/>
      <c r="IL245" s="41"/>
      <c r="IM245" s="41"/>
    </row>
    <row r="246" spans="1:247" s="40" customFormat="1" ht="20.25" customHeight="1" x14ac:dyDescent="0.25">
      <c r="A246" s="75">
        <v>42823</v>
      </c>
      <c r="B246" s="144">
        <v>468.16399999999999</v>
      </c>
      <c r="C246" s="144">
        <f t="shared" si="351"/>
        <v>466.75950799999998</v>
      </c>
      <c r="D246" s="144">
        <f t="shared" si="350"/>
        <v>469.56849199999994</v>
      </c>
      <c r="E246" s="78">
        <f>7337.654/1800.553*100</f>
        <v>407.52224455486726</v>
      </c>
      <c r="F246" s="76"/>
      <c r="G246" s="137"/>
      <c r="H246" s="78">
        <v>142.5052</v>
      </c>
      <c r="I246" s="78">
        <v>154.57069999999999</v>
      </c>
      <c r="J246" s="79">
        <f t="shared" si="242"/>
        <v>259.71295458685745</v>
      </c>
      <c r="K246" s="80">
        <v>371344</v>
      </c>
      <c r="L246" s="81">
        <f t="shared" si="338"/>
        <v>173.84989241600002</v>
      </c>
      <c r="M246" s="151"/>
      <c r="N246" s="64"/>
      <c r="O246" s="39"/>
      <c r="P246" s="39"/>
      <c r="Q246" s="39"/>
      <c r="R246" s="39"/>
      <c r="S246" s="39"/>
      <c r="T246" s="39"/>
      <c r="U246" s="39"/>
      <c r="V246" s="39"/>
      <c r="W246" s="39"/>
      <c r="IH246" s="41"/>
      <c r="II246" s="41"/>
      <c r="IJ246" s="41"/>
      <c r="IK246" s="41"/>
      <c r="IL246" s="41"/>
      <c r="IM246" s="41"/>
    </row>
    <row r="247" spans="1:247" s="40" customFormat="1" ht="20.25" customHeight="1" x14ac:dyDescent="0.25">
      <c r="A247" s="75">
        <v>42816</v>
      </c>
      <c r="B247" s="144">
        <v>465.92309999999998</v>
      </c>
      <c r="C247" s="144">
        <f t="shared" si="351"/>
        <v>464.52533069999998</v>
      </c>
      <c r="D247" s="144">
        <f t="shared" si="350"/>
        <v>467.32086929999991</v>
      </c>
      <c r="E247" s="78">
        <f>7273.704/1800.553*100</f>
        <v>403.97055793414569</v>
      </c>
      <c r="F247" s="76"/>
      <c r="G247" s="137"/>
      <c r="H247" s="78">
        <v>142.4615</v>
      </c>
      <c r="I247" s="78">
        <v>154.56180000000001</v>
      </c>
      <c r="J247" s="79">
        <f t="shared" si="242"/>
        <v>258.53678108526293</v>
      </c>
      <c r="K247" s="80">
        <v>372319.93</v>
      </c>
      <c r="L247" s="81">
        <f t="shared" si="338"/>
        <v>173.47245597738299</v>
      </c>
      <c r="M247" s="151"/>
      <c r="N247" s="64"/>
      <c r="O247" s="39"/>
      <c r="P247" s="39"/>
      <c r="Q247" s="39"/>
      <c r="R247" s="39"/>
      <c r="S247" s="39"/>
      <c r="T247" s="39"/>
      <c r="U247" s="39"/>
      <c r="V247" s="39"/>
      <c r="W247" s="39"/>
      <c r="IH247" s="41"/>
      <c r="II247" s="41"/>
      <c r="IJ247" s="41"/>
      <c r="IK247" s="41"/>
      <c r="IL247" s="41"/>
      <c r="IM247" s="41"/>
    </row>
    <row r="248" spans="1:247" s="40" customFormat="1" ht="20.25" customHeight="1" x14ac:dyDescent="0.25">
      <c r="A248" s="87">
        <v>42809</v>
      </c>
      <c r="B248" s="153">
        <v>464.7783</v>
      </c>
      <c r="C248" s="153">
        <f t="shared" si="351"/>
        <v>463.38396510000001</v>
      </c>
      <c r="D248" s="153">
        <f t="shared" si="350"/>
        <v>466.17263489999993</v>
      </c>
      <c r="E248" s="154">
        <f>7315.246/1800.553*100</f>
        <v>406.27773800604592</v>
      </c>
      <c r="F248" s="88"/>
      <c r="G248" s="77"/>
      <c r="H248" s="154">
        <v>141.86519999999999</v>
      </c>
      <c r="I248" s="154">
        <v>154.55340000000001</v>
      </c>
      <c r="J248" s="155">
        <f t="shared" si="242"/>
        <v>258.72766243866874</v>
      </c>
      <c r="K248" s="156">
        <v>372697.18</v>
      </c>
      <c r="L248" s="81">
        <f t="shared" si="338"/>
        <v>173.221561735194</v>
      </c>
      <c r="M248" s="151"/>
      <c r="N248" s="64"/>
      <c r="O248" s="39"/>
      <c r="P248" s="39"/>
      <c r="Q248" s="39"/>
      <c r="R248" s="39"/>
      <c r="S248" s="39"/>
      <c r="T248" s="39"/>
      <c r="U248" s="39"/>
      <c r="V248" s="39"/>
      <c r="W248" s="39"/>
      <c r="IH248" s="41"/>
      <c r="II248" s="41"/>
      <c r="IJ248" s="41"/>
      <c r="IK248" s="41"/>
      <c r="IL248" s="41"/>
      <c r="IM248" s="41"/>
    </row>
    <row r="249" spans="1:247" s="40" customFormat="1" ht="20.25" customHeight="1" x14ac:dyDescent="0.25">
      <c r="A249" s="75">
        <v>42802</v>
      </c>
      <c r="B249" s="144">
        <v>461.94139999999999</v>
      </c>
      <c r="C249" s="144">
        <f t="shared" si="351"/>
        <v>460.55557579999999</v>
      </c>
      <c r="D249" s="144">
        <f t="shared" ref="D249:D254" si="352">1.003*B249</f>
        <v>463.32722419999993</v>
      </c>
      <c r="E249" s="78">
        <f>7235.53/1800.553*100</f>
        <v>401.85043150632049</v>
      </c>
      <c r="F249" s="76"/>
      <c r="G249" s="137"/>
      <c r="H249" s="78">
        <v>140.6771</v>
      </c>
      <c r="I249" s="78">
        <v>154.5453</v>
      </c>
      <c r="J249" s="79">
        <f t="shared" si="242"/>
        <v>256.23413513809766</v>
      </c>
      <c r="K249" s="80">
        <v>373321.37</v>
      </c>
      <c r="L249" s="81">
        <f t="shared" si="338"/>
        <v>172.45259630771798</v>
      </c>
      <c r="M249" s="151"/>
      <c r="N249" s="64"/>
      <c r="O249" s="39"/>
      <c r="P249" s="39"/>
      <c r="Q249" s="39"/>
      <c r="R249" s="39"/>
      <c r="S249" s="39"/>
      <c r="T249" s="39"/>
      <c r="U249" s="39"/>
      <c r="V249" s="39"/>
      <c r="W249" s="39"/>
      <c r="IH249" s="41"/>
      <c r="II249" s="41"/>
      <c r="IJ249" s="41"/>
      <c r="IK249" s="41"/>
      <c r="IL249" s="41"/>
      <c r="IM249" s="41"/>
    </row>
    <row r="250" spans="1:247" s="40" customFormat="1" ht="20.25" customHeight="1" x14ac:dyDescent="0.25">
      <c r="A250" s="75">
        <v>42795</v>
      </c>
      <c r="B250" s="144">
        <v>466.12761658636776</v>
      </c>
      <c r="C250" s="144">
        <f t="shared" si="351"/>
        <v>464.72923373660865</v>
      </c>
      <c r="D250" s="144">
        <f t="shared" si="352"/>
        <v>467.52599943612682</v>
      </c>
      <c r="E250" s="78">
        <f>7316.494/1800.553*100</f>
        <v>406.34705004518048</v>
      </c>
      <c r="F250" s="76"/>
      <c r="G250" s="137"/>
      <c r="H250" s="78">
        <v>141.0378</v>
      </c>
      <c r="I250" s="78">
        <v>154.5376</v>
      </c>
      <c r="J250" s="79">
        <f t="shared" si="242"/>
        <v>257.99149922803349</v>
      </c>
      <c r="K250" s="80">
        <v>373323</v>
      </c>
      <c r="L250" s="81">
        <f t="shared" si="338"/>
        <v>174.01616020687257</v>
      </c>
      <c r="M250" s="151"/>
      <c r="N250" s="64"/>
      <c r="O250" s="39"/>
      <c r="P250" s="39"/>
      <c r="Q250" s="39"/>
      <c r="R250" s="39"/>
      <c r="S250" s="39"/>
      <c r="T250" s="39"/>
      <c r="U250" s="39"/>
      <c r="V250" s="39"/>
      <c r="W250" s="39"/>
      <c r="IH250" s="41"/>
      <c r="II250" s="41"/>
      <c r="IJ250" s="41"/>
      <c r="IK250" s="41"/>
      <c r="IL250" s="41"/>
      <c r="IM250" s="41"/>
    </row>
    <row r="251" spans="1:247" s="28" customFormat="1" ht="20.25" customHeight="1" x14ac:dyDescent="0.25">
      <c r="A251" s="75">
        <v>42788</v>
      </c>
      <c r="B251" s="144">
        <v>470.84057948673393</v>
      </c>
      <c r="C251" s="144">
        <f t="shared" si="351"/>
        <v>469.42805774827372</v>
      </c>
      <c r="D251" s="144">
        <f t="shared" si="352"/>
        <v>472.25310122519409</v>
      </c>
      <c r="E251" s="78">
        <f>7255.526/1800.553*100</f>
        <v>402.96097921027592</v>
      </c>
      <c r="F251" s="78">
        <f>7255.526/1800.553*100</f>
        <v>402.96097921027592</v>
      </c>
      <c r="G251" s="78">
        <f>7255.526/1800.553*100</f>
        <v>402.96097921027592</v>
      </c>
      <c r="H251" s="78">
        <v>141.40770000000001</v>
      </c>
      <c r="I251" s="78">
        <v>154.53</v>
      </c>
      <c r="J251" s="79">
        <f t="shared" si="242"/>
        <v>257.24713741001136</v>
      </c>
      <c r="K251" s="80">
        <v>373323</v>
      </c>
      <c r="L251" s="81">
        <f t="shared" si="338"/>
        <v>175.77561765572597</v>
      </c>
      <c r="M251" s="152"/>
      <c r="N251" s="66"/>
      <c r="O251" s="27"/>
      <c r="P251" s="27"/>
      <c r="Q251" s="27"/>
      <c r="R251" s="27"/>
      <c r="S251" s="27"/>
      <c r="T251" s="27"/>
      <c r="U251" s="27"/>
      <c r="V251" s="27"/>
      <c r="W251" s="27"/>
      <c r="IH251" s="32"/>
      <c r="II251" s="32"/>
      <c r="IJ251" s="32"/>
      <c r="IK251" s="32"/>
      <c r="IL251" s="32"/>
      <c r="IM251" s="32"/>
    </row>
    <row r="252" spans="1:247" s="28" customFormat="1" ht="20.25" customHeight="1" x14ac:dyDescent="0.25">
      <c r="A252" s="75">
        <v>42781</v>
      </c>
      <c r="B252" s="144">
        <v>473.00360000000001</v>
      </c>
      <c r="C252" s="144">
        <f t="shared" ref="C252:C258" si="353">0.997*B252</f>
        <v>471.58458919999998</v>
      </c>
      <c r="D252" s="144">
        <f t="shared" si="352"/>
        <v>474.42261079999997</v>
      </c>
      <c r="E252" s="78">
        <f>7216.978/1800.553*100</f>
        <v>400.82008138610752</v>
      </c>
      <c r="F252" s="76"/>
      <c r="G252" s="137"/>
      <c r="H252" s="78">
        <v>141.42490000000001</v>
      </c>
      <c r="I252" s="78">
        <v>154.5247</v>
      </c>
      <c r="J252" s="79">
        <f t="shared" si="242"/>
        <v>256.5775118617197</v>
      </c>
      <c r="K252" s="80">
        <v>374437</v>
      </c>
      <c r="L252" s="81">
        <f t="shared" si="338"/>
        <v>177.11004897319998</v>
      </c>
      <c r="M252" s="152"/>
      <c r="N252" s="66"/>
      <c r="O252" s="27"/>
      <c r="P252" s="27"/>
      <c r="Q252" s="27"/>
      <c r="R252" s="27"/>
      <c r="S252" s="27"/>
      <c r="T252" s="27"/>
      <c r="U252" s="27"/>
      <c r="V252" s="27"/>
      <c r="W252" s="27"/>
      <c r="IH252" s="32"/>
      <c r="II252" s="32"/>
      <c r="IJ252" s="32"/>
      <c r="IK252" s="32"/>
      <c r="IL252" s="32"/>
      <c r="IM252" s="32"/>
    </row>
    <row r="253" spans="1:247" s="28" customFormat="1" ht="20.25" customHeight="1" x14ac:dyDescent="0.25">
      <c r="A253" s="75">
        <v>42774</v>
      </c>
      <c r="B253" s="144">
        <v>471.21890000000002</v>
      </c>
      <c r="C253" s="144">
        <f t="shared" si="353"/>
        <v>469.80524330000003</v>
      </c>
      <c r="D253" s="144">
        <f t="shared" si="352"/>
        <v>472.63255669999995</v>
      </c>
      <c r="E253" s="78">
        <f>7089.458/1800.553*100</f>
        <v>393.73781277196503</v>
      </c>
      <c r="F253" s="76"/>
      <c r="G253" s="137"/>
      <c r="H253" s="78">
        <v>142.09819999999999</v>
      </c>
      <c r="I253" s="78">
        <v>154.51920000000001</v>
      </c>
      <c r="J253" s="79">
        <f t="shared" si="242"/>
        <v>254.88899992002254</v>
      </c>
      <c r="K253" s="80">
        <v>374635.63</v>
      </c>
      <c r="L253" s="81">
        <f t="shared" si="338"/>
        <v>176.53538946940702</v>
      </c>
      <c r="M253" s="152"/>
      <c r="N253" s="66"/>
      <c r="O253" s="27"/>
      <c r="P253" s="27"/>
      <c r="Q253" s="27"/>
      <c r="R253" s="27"/>
      <c r="S253" s="27"/>
      <c r="T253" s="27"/>
      <c r="U253" s="27"/>
      <c r="V253" s="27"/>
      <c r="W253" s="27"/>
      <c r="IH253" s="32"/>
      <c r="II253" s="32"/>
      <c r="IJ253" s="32"/>
      <c r="IK253" s="32"/>
      <c r="IL253" s="32"/>
      <c r="IM253" s="32"/>
    </row>
    <row r="254" spans="1:247" s="40" customFormat="1" ht="20.25" customHeight="1" x14ac:dyDescent="0.25">
      <c r="A254" s="75">
        <v>42767</v>
      </c>
      <c r="B254" s="144">
        <v>468.00330000000002</v>
      </c>
      <c r="C254" s="144">
        <f t="shared" si="353"/>
        <v>466.59929010000002</v>
      </c>
      <c r="D254" s="144">
        <f t="shared" si="352"/>
        <v>469.40730989999997</v>
      </c>
      <c r="E254" s="78">
        <f>7051.6/1800.553*100</f>
        <v>391.63523650789512</v>
      </c>
      <c r="F254" s="76"/>
      <c r="G254" s="137"/>
      <c r="H254" s="78">
        <v>142.29169999999999</v>
      </c>
      <c r="I254" s="78">
        <v>154.5137</v>
      </c>
      <c r="J254" s="79">
        <f t="shared" si="242"/>
        <v>254.37911884068728</v>
      </c>
      <c r="K254" s="80">
        <v>374635.63</v>
      </c>
      <c r="L254" s="81">
        <f t="shared" si="338"/>
        <v>175.33071113757902</v>
      </c>
      <c r="M254" s="151"/>
      <c r="N254" s="64"/>
      <c r="O254" s="39"/>
      <c r="P254" s="39"/>
      <c r="Q254" s="39"/>
      <c r="R254" s="39"/>
      <c r="S254" s="39"/>
      <c r="T254" s="39"/>
      <c r="U254" s="39"/>
      <c r="V254" s="39"/>
      <c r="W254" s="39"/>
      <c r="IH254" s="41"/>
      <c r="II254" s="41"/>
      <c r="IJ254" s="41"/>
      <c r="IK254" s="41"/>
      <c r="IL254" s="41"/>
      <c r="IM254" s="41"/>
    </row>
    <row r="255" spans="1:247" s="40" customFormat="1" ht="20.25" customHeight="1" x14ac:dyDescent="0.25">
      <c r="A255" s="75">
        <v>42760</v>
      </c>
      <c r="B255" s="144">
        <v>465.25189999999998</v>
      </c>
      <c r="C255" s="144">
        <f t="shared" si="353"/>
        <v>463.85614429999998</v>
      </c>
      <c r="D255" s="144">
        <f t="shared" ref="D255:D260" si="354">1.003*B255</f>
        <v>466.64765569999992</v>
      </c>
      <c r="E255" s="78">
        <f>7098.483/1800.553*100</f>
        <v>394.23904767035458</v>
      </c>
      <c r="F255" s="76"/>
      <c r="G255" s="137"/>
      <c r="H255" s="78">
        <v>142.1397</v>
      </c>
      <c r="I255" s="78">
        <v>154.50800000000001</v>
      </c>
      <c r="J255" s="79">
        <f t="shared" si="242"/>
        <v>255.0851025885265</v>
      </c>
      <c r="K255" s="80">
        <v>374959</v>
      </c>
      <c r="L255" s="81">
        <f t="shared" si="338"/>
        <v>174.45038717209997</v>
      </c>
      <c r="M255" s="151"/>
      <c r="N255" s="64"/>
      <c r="O255" s="39"/>
      <c r="P255" s="39"/>
      <c r="Q255" s="39"/>
      <c r="R255" s="39"/>
      <c r="S255" s="39"/>
      <c r="T255" s="39"/>
      <c r="U255" s="39"/>
      <c r="V255" s="39"/>
      <c r="W255" s="39"/>
      <c r="IH255" s="41"/>
      <c r="II255" s="41"/>
      <c r="IJ255" s="41"/>
      <c r="IK255" s="41"/>
      <c r="IL255" s="41"/>
      <c r="IM255" s="41"/>
    </row>
    <row r="256" spans="1:247" s="40" customFormat="1" ht="20.25" customHeight="1" x14ac:dyDescent="0.25">
      <c r="A256" s="75">
        <v>42753</v>
      </c>
      <c r="B256" s="144">
        <v>458.56459999999998</v>
      </c>
      <c r="C256" s="144">
        <f t="shared" si="353"/>
        <v>457.18890619999996</v>
      </c>
      <c r="D256" s="144">
        <f t="shared" si="354"/>
        <v>459.94029379999995</v>
      </c>
      <c r="E256" s="78">
        <f>7018.518/1800.553*100</f>
        <v>389.79791208589802</v>
      </c>
      <c r="F256" s="76"/>
      <c r="G256" s="137"/>
      <c r="H256" s="78">
        <v>140.91730000000001</v>
      </c>
      <c r="I256" s="78">
        <v>154.50280000000001</v>
      </c>
      <c r="J256" s="79">
        <f t="shared" si="242"/>
        <v>252.55100300462414</v>
      </c>
      <c r="K256" s="80">
        <v>375145.68</v>
      </c>
      <c r="L256" s="81">
        <f t="shared" si="338"/>
        <v>172.02852869092797</v>
      </c>
      <c r="M256" s="151"/>
      <c r="N256" s="64"/>
      <c r="O256" s="39"/>
      <c r="P256" s="39"/>
      <c r="Q256" s="39"/>
      <c r="R256" s="39"/>
      <c r="S256" s="39"/>
      <c r="T256" s="39"/>
      <c r="U256" s="39"/>
      <c r="V256" s="39"/>
      <c r="W256" s="39"/>
      <c r="IH256" s="41"/>
      <c r="II256" s="41"/>
      <c r="IJ256" s="41"/>
      <c r="IK256" s="41"/>
      <c r="IL256" s="41"/>
      <c r="IM256" s="41"/>
    </row>
    <row r="257" spans="1:247" s="40" customFormat="1" ht="20.25" customHeight="1" x14ac:dyDescent="0.25">
      <c r="A257" s="75">
        <v>42746</v>
      </c>
      <c r="B257" s="144">
        <v>458.25439999999998</v>
      </c>
      <c r="C257" s="144">
        <f t="shared" si="353"/>
        <v>456.87963679999996</v>
      </c>
      <c r="D257" s="144">
        <f t="shared" si="354"/>
        <v>459.62916319999994</v>
      </c>
      <c r="E257" s="78">
        <f>6988.087/1800.553*100</f>
        <v>388.10782020856925</v>
      </c>
      <c r="F257" s="76"/>
      <c r="G257" s="137"/>
      <c r="H257" s="78">
        <v>140.61070000000001</v>
      </c>
      <c r="I257" s="78">
        <v>154.49789999999999</v>
      </c>
      <c r="J257" s="79">
        <f t="shared" si="242"/>
        <v>251.72845696342651</v>
      </c>
      <c r="K257" s="80">
        <v>375187.62</v>
      </c>
      <c r="L257" s="81">
        <f t="shared" si="338"/>
        <v>171.93137769052797</v>
      </c>
      <c r="M257" s="151"/>
      <c r="N257" s="64"/>
      <c r="O257" s="39"/>
      <c r="P257" s="39"/>
      <c r="Q257" s="39"/>
      <c r="R257" s="39"/>
      <c r="S257" s="39"/>
      <c r="T257" s="39"/>
      <c r="U257" s="39"/>
      <c r="V257" s="39"/>
      <c r="W257" s="39"/>
      <c r="IH257" s="41"/>
      <c r="II257" s="41"/>
      <c r="IJ257" s="41"/>
      <c r="IK257" s="41"/>
      <c r="IL257" s="41"/>
      <c r="IM257" s="41"/>
    </row>
    <row r="258" spans="1:247" s="40" customFormat="1" ht="20.25" customHeight="1" x14ac:dyDescent="0.25">
      <c r="A258" s="75">
        <v>42739</v>
      </c>
      <c r="B258" s="144">
        <v>454.4282</v>
      </c>
      <c r="C258" s="144">
        <f t="shared" si="353"/>
        <v>453.06491540000002</v>
      </c>
      <c r="D258" s="144">
        <f t="shared" si="354"/>
        <v>455.79148459999993</v>
      </c>
      <c r="E258" s="78">
        <f>6969.542/1800.553*100</f>
        <v>387.07785885780646</v>
      </c>
      <c r="F258" s="76"/>
      <c r="G258" s="137"/>
      <c r="H258" s="78">
        <v>139.9836</v>
      </c>
      <c r="I258" s="78">
        <v>154.49350000000001</v>
      </c>
      <c r="J258" s="79">
        <f t="shared" si="242"/>
        <v>250.8328989829148</v>
      </c>
      <c r="K258" s="80">
        <v>375284.88</v>
      </c>
      <c r="L258" s="81">
        <f t="shared" si="338"/>
        <v>170.54003250561601</v>
      </c>
      <c r="M258" s="151"/>
      <c r="N258" s="64"/>
      <c r="O258" s="39"/>
      <c r="P258" s="39"/>
      <c r="Q258" s="39"/>
      <c r="R258" s="39"/>
      <c r="S258" s="39"/>
      <c r="T258" s="39"/>
      <c r="U258" s="39"/>
      <c r="V258" s="39"/>
      <c r="W258" s="39"/>
      <c r="IH258" s="41"/>
      <c r="II258" s="41"/>
      <c r="IJ258" s="41"/>
      <c r="IK258" s="41"/>
      <c r="IL258" s="41"/>
      <c r="IM258" s="41"/>
    </row>
    <row r="259" spans="1:247" s="40" customFormat="1" ht="20.25" customHeight="1" x14ac:dyDescent="0.25">
      <c r="A259" s="75">
        <v>42735</v>
      </c>
      <c r="B259" s="144">
        <v>448.49709999999999</v>
      </c>
      <c r="C259" s="144">
        <f t="shared" ref="C259:C265" si="355">0.997*B259</f>
        <v>447.1516087</v>
      </c>
      <c r="D259" s="144">
        <f t="shared" si="354"/>
        <v>449.84259129999992</v>
      </c>
      <c r="E259" s="78">
        <f>6879.162/1800.553*100</f>
        <v>382.05828986983443</v>
      </c>
      <c r="F259" s="76"/>
      <c r="G259" s="137"/>
      <c r="H259" s="78">
        <v>139.95959999999999</v>
      </c>
      <c r="I259" s="78">
        <v>154.4906</v>
      </c>
      <c r="J259" s="79">
        <f t="shared" si="242"/>
        <v>249.17467810032699</v>
      </c>
      <c r="K259" s="80">
        <v>375284.88</v>
      </c>
      <c r="L259" s="81">
        <f t="shared" si="338"/>
        <v>168.314180353848</v>
      </c>
      <c r="M259" s="151"/>
      <c r="N259" s="64"/>
      <c r="O259" s="39"/>
      <c r="P259" s="39"/>
      <c r="Q259" s="39"/>
      <c r="R259" s="39"/>
      <c r="S259" s="39"/>
      <c r="T259" s="39"/>
      <c r="U259" s="39"/>
      <c r="V259" s="39"/>
      <c r="W259" s="39"/>
      <c r="IH259" s="41"/>
      <c r="II259" s="41"/>
      <c r="IJ259" s="41"/>
      <c r="IK259" s="41"/>
      <c r="IL259" s="41"/>
      <c r="IM259" s="41"/>
    </row>
    <row r="260" spans="1:247" s="40" customFormat="1" ht="20.25" customHeight="1" x14ac:dyDescent="0.25">
      <c r="A260" s="75">
        <v>42732</v>
      </c>
      <c r="B260" s="144">
        <v>447.6721</v>
      </c>
      <c r="C260" s="144">
        <f t="shared" si="355"/>
        <v>446.32908370000001</v>
      </c>
      <c r="D260" s="144">
        <f t="shared" si="354"/>
        <v>449.01511629999993</v>
      </c>
      <c r="E260" s="78">
        <f>6875.138/1800.553*100</f>
        <v>381.83480297441952</v>
      </c>
      <c r="F260" s="76"/>
      <c r="G260" s="137"/>
      <c r="H260" s="78">
        <v>139.38460000000001</v>
      </c>
      <c r="I260" s="78">
        <v>154.48840000000001</v>
      </c>
      <c r="J260" s="79">
        <f t="shared" si="242"/>
        <v>248.58917927087415</v>
      </c>
      <c r="K260" s="80">
        <v>375765.47</v>
      </c>
      <c r="L260" s="81">
        <f t="shared" si="338"/>
        <v>168.21971706238699</v>
      </c>
      <c r="M260" s="151"/>
      <c r="N260" s="64"/>
      <c r="O260" s="39"/>
      <c r="P260" s="39"/>
      <c r="Q260" s="39"/>
      <c r="R260" s="39"/>
      <c r="S260" s="39"/>
      <c r="T260" s="39"/>
      <c r="U260" s="39"/>
      <c r="V260" s="39"/>
      <c r="W260" s="39"/>
      <c r="IH260" s="41"/>
      <c r="II260" s="41"/>
      <c r="IJ260" s="41"/>
      <c r="IK260" s="41"/>
      <c r="IL260" s="41"/>
      <c r="IM260" s="41"/>
    </row>
    <row r="261" spans="1:247" s="40" customFormat="1" ht="20.25" customHeight="1" x14ac:dyDescent="0.25">
      <c r="A261" s="75">
        <v>42725</v>
      </c>
      <c r="B261" s="144">
        <v>446.67970000000003</v>
      </c>
      <c r="C261" s="144">
        <f t="shared" si="355"/>
        <v>445.33966090000001</v>
      </c>
      <c r="D261" s="144">
        <f t="shared" ref="D261:D266" si="356">1.003*B261</f>
        <v>448.01973909999998</v>
      </c>
      <c r="E261" s="78">
        <f>6909.933/1800.553*100</f>
        <v>383.76726483474795</v>
      </c>
      <c r="F261" s="76"/>
      <c r="G261" s="137"/>
      <c r="H261" s="78">
        <v>140.42449999999999</v>
      </c>
      <c r="I261" s="78">
        <v>154.48330000000001</v>
      </c>
      <c r="J261" s="79">
        <f t="shared" si="242"/>
        <v>250.14519590392695</v>
      </c>
      <c r="K261" s="80">
        <v>384798.19</v>
      </c>
      <c r="L261" s="81">
        <f t="shared" si="338"/>
        <v>171.88154006974301</v>
      </c>
      <c r="M261" s="151"/>
      <c r="N261" s="64"/>
      <c r="O261" s="39"/>
      <c r="P261" s="39"/>
      <c r="Q261" s="39"/>
      <c r="R261" s="39"/>
      <c r="S261" s="39"/>
      <c r="T261" s="39"/>
      <c r="U261" s="39"/>
      <c r="V261" s="39"/>
      <c r="W261" s="39"/>
      <c r="IH261" s="41"/>
      <c r="II261" s="41"/>
      <c r="IJ261" s="41"/>
      <c r="IK261" s="41"/>
      <c r="IL261" s="41"/>
      <c r="IM261" s="41"/>
    </row>
    <row r="262" spans="1:247" s="40" customFormat="1" ht="20.25" customHeight="1" x14ac:dyDescent="0.25">
      <c r="A262" s="75">
        <v>42718</v>
      </c>
      <c r="B262" s="144">
        <v>456.12720000000002</v>
      </c>
      <c r="C262" s="144">
        <f t="shared" si="355"/>
        <v>454.7588184</v>
      </c>
      <c r="D262" s="144">
        <f t="shared" si="356"/>
        <v>457.49558159999998</v>
      </c>
      <c r="E262" s="78">
        <f>6922.405/1800.553*100</f>
        <v>384.45994091815123</v>
      </c>
      <c r="F262" s="76"/>
      <c r="G262" s="137"/>
      <c r="H262" s="78">
        <v>140.47200000000001</v>
      </c>
      <c r="I262" s="78">
        <v>154.4778</v>
      </c>
      <c r="J262" s="79">
        <f t="shared" si="242"/>
        <v>250.41311686107304</v>
      </c>
      <c r="K262" s="80">
        <v>384798.19</v>
      </c>
      <c r="L262" s="81">
        <f t="shared" si="338"/>
        <v>175.51692096976802</v>
      </c>
      <c r="M262" s="151"/>
      <c r="N262" s="64"/>
      <c r="O262" s="39"/>
      <c r="P262" s="39"/>
      <c r="Q262" s="39"/>
      <c r="R262" s="39"/>
      <c r="S262" s="39"/>
      <c r="T262" s="39"/>
      <c r="U262" s="39"/>
      <c r="V262" s="39"/>
      <c r="W262" s="39"/>
      <c r="IH262" s="41"/>
      <c r="II262" s="41"/>
      <c r="IJ262" s="41"/>
      <c r="IK262" s="41"/>
      <c r="IL262" s="41"/>
      <c r="IM262" s="41"/>
    </row>
    <row r="263" spans="1:247" s="40" customFormat="1" ht="20.25" customHeight="1" x14ac:dyDescent="0.25">
      <c r="A263" s="75">
        <v>42711</v>
      </c>
      <c r="B263" s="144">
        <v>457.1404</v>
      </c>
      <c r="C263" s="144">
        <f t="shared" si="355"/>
        <v>455.76897880000001</v>
      </c>
      <c r="D263" s="144">
        <f t="shared" si="356"/>
        <v>458.51182119999993</v>
      </c>
      <c r="E263" s="78">
        <f>6863.957/1800.553*100</f>
        <v>381.21382708534543</v>
      </c>
      <c r="F263" s="76"/>
      <c r="G263" s="137"/>
      <c r="H263" s="78">
        <v>141.84530000000001</v>
      </c>
      <c r="I263" s="78">
        <v>154.47210000000001</v>
      </c>
      <c r="J263" s="79">
        <f t="shared" si="242"/>
        <v>250.55925172008759</v>
      </c>
      <c r="K263" s="80">
        <v>385974.04</v>
      </c>
      <c r="L263" s="81">
        <f t="shared" si="338"/>
        <v>176.44432703521599</v>
      </c>
      <c r="M263" s="151"/>
      <c r="N263" s="64"/>
      <c r="O263" s="39"/>
      <c r="P263" s="39"/>
      <c r="Q263" s="39"/>
      <c r="R263" s="39"/>
      <c r="S263" s="39"/>
      <c r="T263" s="39"/>
      <c r="U263" s="39"/>
      <c r="V263" s="39"/>
      <c r="W263" s="39"/>
      <c r="IH263" s="41"/>
      <c r="II263" s="41"/>
      <c r="IJ263" s="41"/>
      <c r="IK263" s="41"/>
      <c r="IL263" s="41"/>
      <c r="IM263" s="41"/>
    </row>
    <row r="264" spans="1:247" s="40" customFormat="1" ht="20.25" customHeight="1" x14ac:dyDescent="0.25">
      <c r="A264" s="75">
        <v>42704</v>
      </c>
      <c r="B264" s="144">
        <v>446.34269999999998</v>
      </c>
      <c r="C264" s="144">
        <f t="shared" si="355"/>
        <v>445.00367189999997</v>
      </c>
      <c r="D264" s="144">
        <f t="shared" si="356"/>
        <v>447.68172809999993</v>
      </c>
      <c r="E264" s="78">
        <f>6716.017/1800.553*100</f>
        <v>372.99746244625953</v>
      </c>
      <c r="F264" s="76"/>
      <c r="G264" s="137"/>
      <c r="H264" s="78">
        <v>140.8458</v>
      </c>
      <c r="I264" s="78">
        <v>154.46680000000001</v>
      </c>
      <c r="J264" s="79">
        <f t="shared" si="242"/>
        <v>246.96293421222879</v>
      </c>
      <c r="K264" s="80">
        <v>388688.98</v>
      </c>
      <c r="L264" s="81">
        <f t="shared" si="338"/>
        <v>173.48848879344598</v>
      </c>
      <c r="M264" s="151"/>
      <c r="N264" s="64"/>
      <c r="O264" s="39"/>
      <c r="P264" s="39"/>
      <c r="Q264" s="39"/>
      <c r="R264" s="39"/>
      <c r="S264" s="39"/>
      <c r="T264" s="39"/>
      <c r="U264" s="39"/>
      <c r="V264" s="39"/>
      <c r="W264" s="39"/>
      <c r="IH264" s="41"/>
      <c r="II264" s="41"/>
      <c r="IJ264" s="41"/>
      <c r="IK264" s="41"/>
      <c r="IL264" s="41"/>
      <c r="IM264" s="41"/>
    </row>
    <row r="265" spans="1:247" s="40" customFormat="1" ht="20.25" customHeight="1" x14ac:dyDescent="0.25">
      <c r="A265" s="87">
        <v>42697</v>
      </c>
      <c r="B265" s="153">
        <v>450.67959999999999</v>
      </c>
      <c r="C265" s="153">
        <f t="shared" si="355"/>
        <v>449.32756119999999</v>
      </c>
      <c r="D265" s="153">
        <f t="shared" si="356"/>
        <v>452.03163879999994</v>
      </c>
      <c r="E265" s="154">
        <f>6703.344/1800.553*100</f>
        <v>372.29362312578411</v>
      </c>
      <c r="F265" s="88"/>
      <c r="G265" s="77"/>
      <c r="H265" s="154">
        <v>140.92080000000001</v>
      </c>
      <c r="I265" s="154">
        <v>154.4615</v>
      </c>
      <c r="J265" s="155">
        <f t="shared" si="242"/>
        <v>246.79531883813345</v>
      </c>
      <c r="K265" s="156">
        <v>424297.07</v>
      </c>
      <c r="L265" s="81">
        <f t="shared" si="338"/>
        <v>191.22203378877199</v>
      </c>
      <c r="M265" s="151"/>
      <c r="N265" s="64"/>
      <c r="O265" s="39"/>
      <c r="P265" s="39"/>
      <c r="Q265" s="39"/>
      <c r="R265" s="39"/>
      <c r="S265" s="39"/>
      <c r="T265" s="39"/>
      <c r="U265" s="39"/>
      <c r="V265" s="39"/>
      <c r="W265" s="39"/>
      <c r="IH265" s="41"/>
      <c r="II265" s="41"/>
      <c r="IJ265" s="41"/>
      <c r="IK265" s="41"/>
      <c r="IL265" s="41"/>
      <c r="IM265" s="41"/>
    </row>
    <row r="266" spans="1:247" s="40" customFormat="1" ht="20.25" customHeight="1" x14ac:dyDescent="0.25">
      <c r="A266" s="75">
        <v>42690</v>
      </c>
      <c r="B266" s="144">
        <v>449.28789999999998</v>
      </c>
      <c r="C266" s="144">
        <f t="shared" ref="C266:C272" si="357">0.997*B266</f>
        <v>447.94003629999997</v>
      </c>
      <c r="D266" s="144">
        <f t="shared" si="356"/>
        <v>450.63576369999993</v>
      </c>
      <c r="E266" s="78">
        <f>6657.321/1800.553*100</f>
        <v>369.7375750672154</v>
      </c>
      <c r="F266" s="76"/>
      <c r="G266" s="137"/>
      <c r="H266" s="78">
        <v>142.04249999999999</v>
      </c>
      <c r="I266" s="78">
        <v>154.45570000000001</v>
      </c>
      <c r="J266" s="79">
        <f t="shared" si="242"/>
        <v>246.91677609771594</v>
      </c>
      <c r="K266" s="80">
        <v>424297.07</v>
      </c>
      <c r="L266" s="81">
        <f t="shared" si="338"/>
        <v>190.63153955645299</v>
      </c>
      <c r="M266" s="151"/>
      <c r="N266" s="64"/>
      <c r="O266" s="39"/>
      <c r="P266" s="39"/>
      <c r="Q266" s="39"/>
      <c r="R266" s="39"/>
      <c r="S266" s="39"/>
      <c r="T266" s="39"/>
      <c r="U266" s="39"/>
      <c r="V266" s="39"/>
      <c r="W266" s="39"/>
      <c r="IH266" s="41"/>
      <c r="II266" s="41"/>
      <c r="IJ266" s="41"/>
      <c r="IK266" s="41"/>
      <c r="IL266" s="41"/>
      <c r="IM266" s="41"/>
    </row>
    <row r="267" spans="1:247" s="40" customFormat="1" ht="20.25" customHeight="1" x14ac:dyDescent="0.25">
      <c r="A267" s="75">
        <v>42683</v>
      </c>
      <c r="B267" s="144">
        <v>447.22489999999999</v>
      </c>
      <c r="C267" s="144">
        <f t="shared" si="357"/>
        <v>445.88322529999999</v>
      </c>
      <c r="D267" s="144">
        <f t="shared" ref="D267:D272" si="358">1.003*B267</f>
        <v>448.56657469999993</v>
      </c>
      <c r="E267" s="78">
        <f>6644.07/1800.553*100</f>
        <v>369.00163449784588</v>
      </c>
      <c r="F267" s="76"/>
      <c r="G267" s="137"/>
      <c r="H267" s="78">
        <v>143.38560000000001</v>
      </c>
      <c r="I267" s="78">
        <v>154.44999999999999</v>
      </c>
      <c r="J267" s="79">
        <f t="shared" si="242"/>
        <v>247.83035802354499</v>
      </c>
      <c r="K267" s="80">
        <v>424300.65</v>
      </c>
      <c r="L267" s="81">
        <f t="shared" si="338"/>
        <v>189.75781576618502</v>
      </c>
      <c r="M267" s="151"/>
      <c r="N267" s="64"/>
      <c r="O267" s="39"/>
      <c r="P267" s="39"/>
      <c r="Q267" s="39"/>
      <c r="R267" s="39"/>
      <c r="S267" s="39"/>
      <c r="T267" s="39"/>
      <c r="U267" s="39"/>
      <c r="V267" s="39"/>
      <c r="W267" s="39"/>
      <c r="IH267" s="41"/>
      <c r="II267" s="41"/>
      <c r="IJ267" s="41"/>
      <c r="IK267" s="41"/>
      <c r="IL267" s="41"/>
      <c r="IM267" s="41"/>
    </row>
    <row r="268" spans="1:247" s="40" customFormat="1" ht="20.25" customHeight="1" x14ac:dyDescent="0.25">
      <c r="A268" s="75">
        <v>42676</v>
      </c>
      <c r="B268" s="144">
        <v>450.63839999999999</v>
      </c>
      <c r="C268" s="144">
        <f t="shared" si="357"/>
        <v>449.28648479999998</v>
      </c>
      <c r="D268" s="144">
        <f t="shared" si="358"/>
        <v>451.99031519999994</v>
      </c>
      <c r="E268" s="78">
        <f>6547.021/1800.553*100</f>
        <v>363.61167930074816</v>
      </c>
      <c r="F268" s="76"/>
      <c r="G268" s="137"/>
      <c r="H268" s="78">
        <v>144.32509999999999</v>
      </c>
      <c r="I268" s="78">
        <v>154.44489999999999</v>
      </c>
      <c r="J268" s="79">
        <f t="shared" si="242"/>
        <v>246.8044199604974</v>
      </c>
      <c r="K268" s="80">
        <v>426446.24</v>
      </c>
      <c r="L268" s="81">
        <f t="shared" si="338"/>
        <v>192.173051279616</v>
      </c>
      <c r="M268" s="151"/>
      <c r="N268" s="64"/>
      <c r="O268" s="39"/>
      <c r="P268" s="39"/>
      <c r="Q268" s="39"/>
      <c r="R268" s="39"/>
      <c r="S268" s="39"/>
      <c r="T268" s="39"/>
      <c r="U268" s="39"/>
      <c r="V268" s="39"/>
      <c r="W268" s="39"/>
      <c r="IH268" s="41"/>
      <c r="II268" s="41"/>
      <c r="IJ268" s="41"/>
      <c r="IK268" s="41"/>
      <c r="IL268" s="41"/>
      <c r="IM268" s="41"/>
    </row>
    <row r="269" spans="1:247" s="40" customFormat="1" ht="20.25" customHeight="1" x14ac:dyDescent="0.25">
      <c r="A269" s="75">
        <v>42669</v>
      </c>
      <c r="B269" s="144">
        <v>452.54039999999998</v>
      </c>
      <c r="C269" s="144">
        <f t="shared" si="357"/>
        <v>451.18277879999999</v>
      </c>
      <c r="D269" s="144">
        <f t="shared" si="358"/>
        <v>453.8980211999999</v>
      </c>
      <c r="E269" s="78">
        <f>6651.278/1800.553*100</f>
        <v>369.4019559546428</v>
      </c>
      <c r="F269" s="76"/>
      <c r="G269" s="137"/>
      <c r="H269" s="78">
        <v>143.37809999999999</v>
      </c>
      <c r="I269" s="78">
        <v>154.44030000000001</v>
      </c>
      <c r="J269" s="79">
        <f t="shared" si="242"/>
        <v>247.92875431507372</v>
      </c>
      <c r="K269" s="80">
        <v>428179.53</v>
      </c>
      <c r="L269" s="81">
        <f t="shared" si="338"/>
        <v>193.76853577801199</v>
      </c>
      <c r="M269" s="151"/>
      <c r="N269" s="64"/>
      <c r="O269" s="39"/>
      <c r="P269" s="39"/>
      <c r="Q269" s="39"/>
      <c r="R269" s="39"/>
      <c r="S269" s="39"/>
      <c r="T269" s="39"/>
      <c r="U269" s="39"/>
      <c r="V269" s="39"/>
      <c r="W269" s="39"/>
      <c r="IH269" s="41"/>
      <c r="II269" s="41"/>
      <c r="IJ269" s="41"/>
      <c r="IK269" s="41"/>
      <c r="IL269" s="41"/>
      <c r="IM269" s="41"/>
    </row>
    <row r="270" spans="1:247" s="40" customFormat="1" ht="20.25" customHeight="1" x14ac:dyDescent="0.25">
      <c r="A270" s="75">
        <v>42662</v>
      </c>
      <c r="B270" s="144">
        <v>452.67149999999998</v>
      </c>
      <c r="C270" s="144">
        <f t="shared" si="357"/>
        <v>451.31348549999996</v>
      </c>
      <c r="D270" s="144">
        <f t="shared" si="358"/>
        <v>454.02951449999995</v>
      </c>
      <c r="E270" s="78">
        <f>6676.614/1800.553*100</f>
        <v>370.80907921066466</v>
      </c>
      <c r="F270" s="76"/>
      <c r="G270" s="137"/>
      <c r="H270" s="78">
        <v>143.91149999999999</v>
      </c>
      <c r="I270" s="78">
        <v>154.43629999999999</v>
      </c>
      <c r="J270" s="79">
        <f t="shared" si="242"/>
        <v>248.86213445370595</v>
      </c>
      <c r="K270" s="80">
        <v>431355.67</v>
      </c>
      <c r="L270" s="81">
        <f t="shared" si="338"/>
        <v>195.26241817240498</v>
      </c>
      <c r="M270" s="151"/>
      <c r="N270" s="64"/>
      <c r="O270" s="39"/>
      <c r="P270" s="39"/>
      <c r="Q270" s="39"/>
      <c r="R270" s="39"/>
      <c r="S270" s="39"/>
      <c r="T270" s="39"/>
      <c r="U270" s="39"/>
      <c r="V270" s="39"/>
      <c r="W270" s="39"/>
      <c r="IH270" s="41"/>
      <c r="II270" s="41"/>
      <c r="IJ270" s="41"/>
      <c r="IK270" s="41"/>
      <c r="IL270" s="41"/>
      <c r="IM270" s="41"/>
    </row>
    <row r="271" spans="1:247" s="40" customFormat="1" ht="20.25" customHeight="1" x14ac:dyDescent="0.25">
      <c r="A271" s="87">
        <v>42655</v>
      </c>
      <c r="B271" s="153">
        <v>452.02077500000001</v>
      </c>
      <c r="C271" s="153">
        <f t="shared" si="357"/>
        <v>450.66471267500003</v>
      </c>
      <c r="D271" s="153">
        <f t="shared" si="358"/>
        <v>453.37683732499994</v>
      </c>
      <c r="E271" s="154">
        <f>6631.91/1800.553*100</f>
        <v>368.32628642422634</v>
      </c>
      <c r="F271" s="88"/>
      <c r="G271" s="77"/>
      <c r="H271" s="154">
        <v>143.6919</v>
      </c>
      <c r="I271" s="154">
        <v>154.4324</v>
      </c>
      <c r="J271" s="155">
        <f t="shared" si="242"/>
        <v>247.83744894434852</v>
      </c>
      <c r="K271" s="156">
        <v>431871.54</v>
      </c>
      <c r="L271" s="81">
        <f t="shared" si="338"/>
        <v>195.21490821124351</v>
      </c>
      <c r="M271" s="151"/>
      <c r="N271" s="64"/>
      <c r="O271" s="39"/>
      <c r="P271" s="39"/>
      <c r="Q271" s="39"/>
      <c r="R271" s="39"/>
      <c r="S271" s="39"/>
      <c r="T271" s="39"/>
      <c r="U271" s="39"/>
      <c r="V271" s="39"/>
      <c r="W271" s="39"/>
      <c r="IH271" s="41"/>
      <c r="II271" s="41"/>
      <c r="IJ271" s="41"/>
      <c r="IK271" s="41"/>
      <c r="IL271" s="41"/>
      <c r="IM271" s="41"/>
    </row>
    <row r="272" spans="1:247" s="40" customFormat="1" ht="20.25" customHeight="1" x14ac:dyDescent="0.25">
      <c r="A272" s="87">
        <v>42648</v>
      </c>
      <c r="B272" s="153">
        <v>458.185</v>
      </c>
      <c r="C272" s="153">
        <f t="shared" si="357"/>
        <v>456.81044500000002</v>
      </c>
      <c r="D272" s="153">
        <f t="shared" si="358"/>
        <v>459.55955499999993</v>
      </c>
      <c r="E272" s="154">
        <f>6730.962/1800.553*100</f>
        <v>373.8274852225955</v>
      </c>
      <c r="F272" s="88"/>
      <c r="G272" s="77"/>
      <c r="H272" s="154">
        <v>145.24420000000001</v>
      </c>
      <c r="I272" s="154">
        <v>154.42850000000001</v>
      </c>
      <c r="J272" s="155">
        <f t="shared" si="242"/>
        <v>251.0259038727109</v>
      </c>
      <c r="K272" s="156">
        <v>435327.64</v>
      </c>
      <c r="L272" s="81">
        <f t="shared" si="338"/>
        <v>199.46059473340003</v>
      </c>
      <c r="M272" s="151"/>
      <c r="N272" s="64"/>
      <c r="O272" s="39"/>
      <c r="P272" s="39"/>
      <c r="Q272" s="39"/>
      <c r="R272" s="39"/>
      <c r="S272" s="39"/>
      <c r="T272" s="39"/>
      <c r="U272" s="39"/>
      <c r="V272" s="39"/>
      <c r="W272" s="39"/>
      <c r="IH272" s="41"/>
      <c r="II272" s="41"/>
      <c r="IJ272" s="41"/>
      <c r="IK272" s="41"/>
      <c r="IL272" s="41"/>
      <c r="IM272" s="41"/>
    </row>
    <row r="273" spans="1:247" s="40" customFormat="1" ht="20.25" customHeight="1" x14ac:dyDescent="0.25">
      <c r="A273" s="75">
        <v>42641</v>
      </c>
      <c r="B273" s="144">
        <v>458.9153</v>
      </c>
      <c r="C273" s="144">
        <f t="shared" ref="C273:C279" si="359">0.997*B273</f>
        <v>457.5385541</v>
      </c>
      <c r="D273" s="144">
        <f t="shared" ref="D273:D278" si="360">1.003*B273</f>
        <v>460.29204589999995</v>
      </c>
      <c r="E273" s="78">
        <f>6745.593/1800.553*100</f>
        <v>374.64006891216195</v>
      </c>
      <c r="F273" s="76"/>
      <c r="G273" s="137"/>
      <c r="H273" s="78">
        <v>146.16909999999999</v>
      </c>
      <c r="I273" s="78">
        <v>154.42449999999999</v>
      </c>
      <c r="J273" s="79">
        <f t="shared" si="242"/>
        <v>252.09688383862112</v>
      </c>
      <c r="K273" s="80">
        <v>443528.78</v>
      </c>
      <c r="L273" s="81">
        <f t="shared" si="338"/>
        <v>203.54214313233402</v>
      </c>
      <c r="M273" s="151"/>
      <c r="N273" s="64"/>
      <c r="O273" s="39"/>
      <c r="P273" s="39"/>
      <c r="Q273" s="39"/>
      <c r="R273" s="39"/>
      <c r="S273" s="39"/>
      <c r="T273" s="39"/>
      <c r="U273" s="39"/>
      <c r="V273" s="39"/>
      <c r="W273" s="39"/>
      <c r="IH273" s="41"/>
      <c r="II273" s="41"/>
      <c r="IJ273" s="41"/>
      <c r="IK273" s="41"/>
      <c r="IL273" s="41"/>
      <c r="IM273" s="41"/>
    </row>
    <row r="274" spans="1:247" s="40" customFormat="1" ht="20.25" customHeight="1" x14ac:dyDescent="0.25">
      <c r="A274" s="75">
        <v>42634</v>
      </c>
      <c r="B274" s="144">
        <v>460.95190000000002</v>
      </c>
      <c r="C274" s="144">
        <f t="shared" si="359"/>
        <v>459.56904430000003</v>
      </c>
      <c r="D274" s="144">
        <f t="shared" si="360"/>
        <v>462.33475569999996</v>
      </c>
      <c r="E274" s="78">
        <f>6722.192/1800.553*100</f>
        <v>373.34041263989445</v>
      </c>
      <c r="F274" s="76"/>
      <c r="G274" s="137"/>
      <c r="H274" s="78">
        <v>146.1636</v>
      </c>
      <c r="I274" s="78">
        <v>154.42060000000001</v>
      </c>
      <c r="J274" s="79">
        <f t="shared" si="242"/>
        <v>251.65412543076837</v>
      </c>
      <c r="K274" s="80">
        <v>444629.81</v>
      </c>
      <c r="L274" s="81">
        <f t="shared" si="338"/>
        <v>204.95295571613903</v>
      </c>
      <c r="M274" s="151"/>
      <c r="N274" s="64"/>
      <c r="O274" s="39"/>
      <c r="P274" s="39"/>
      <c r="Q274" s="39"/>
      <c r="R274" s="39"/>
      <c r="S274" s="39"/>
      <c r="T274" s="39"/>
      <c r="U274" s="39"/>
      <c r="V274" s="39"/>
      <c r="W274" s="39"/>
      <c r="IH274" s="41"/>
      <c r="II274" s="41"/>
      <c r="IJ274" s="41"/>
      <c r="IK274" s="41"/>
      <c r="IL274" s="41"/>
      <c r="IM274" s="41"/>
    </row>
    <row r="275" spans="1:247" s="40" customFormat="1" ht="20.25" customHeight="1" x14ac:dyDescent="0.25">
      <c r="A275" s="75">
        <v>42627</v>
      </c>
      <c r="B275" s="144">
        <v>458.75389999999999</v>
      </c>
      <c r="C275" s="144">
        <f t="shared" si="359"/>
        <v>457.3776383</v>
      </c>
      <c r="D275" s="144">
        <f t="shared" si="360"/>
        <v>460.13016169999992</v>
      </c>
      <c r="E275" s="78">
        <f>6606.706/1800.553*100</f>
        <v>366.92649424926674</v>
      </c>
      <c r="F275" s="76"/>
      <c r="G275" s="137"/>
      <c r="H275" s="78">
        <v>146.0257</v>
      </c>
      <c r="I275" s="78">
        <v>154.417</v>
      </c>
      <c r="J275" s="79">
        <f t="shared" si="242"/>
        <v>249.35698996053401</v>
      </c>
      <c r="K275" s="80">
        <v>446165</v>
      </c>
      <c r="L275" s="81">
        <f t="shared" si="338"/>
        <v>204.6799337935</v>
      </c>
      <c r="M275" s="151"/>
      <c r="N275" s="64"/>
      <c r="O275" s="39"/>
      <c r="P275" s="39"/>
      <c r="Q275" s="39"/>
      <c r="R275" s="39"/>
      <c r="S275" s="39"/>
      <c r="T275" s="39"/>
      <c r="U275" s="39"/>
      <c r="V275" s="39"/>
      <c r="W275" s="39"/>
      <c r="IH275" s="41"/>
      <c r="II275" s="41"/>
      <c r="IJ275" s="41"/>
      <c r="IK275" s="41"/>
      <c r="IL275" s="41"/>
      <c r="IM275" s="41"/>
    </row>
    <row r="276" spans="1:247" s="40" customFormat="1" ht="20.25" customHeight="1" x14ac:dyDescent="0.25">
      <c r="A276" s="75">
        <v>42620</v>
      </c>
      <c r="B276" s="144">
        <v>465.59460000000001</v>
      </c>
      <c r="C276" s="144">
        <f t="shared" si="359"/>
        <v>464.19781620000003</v>
      </c>
      <c r="D276" s="144">
        <f t="shared" si="360"/>
        <v>466.99138379999994</v>
      </c>
      <c r="E276" s="78">
        <f>6818.589/1800.553*100</f>
        <v>378.69415673962385</v>
      </c>
      <c r="F276" s="76"/>
      <c r="G276" s="137"/>
      <c r="H276" s="78">
        <v>146.59</v>
      </c>
      <c r="I276" s="78">
        <v>154.4117</v>
      </c>
      <c r="J276" s="79">
        <f t="shared" si="242"/>
        <v>253.78862534138705</v>
      </c>
      <c r="K276" s="80">
        <v>449624.95</v>
      </c>
      <c r="L276" s="81">
        <f t="shared" si="338"/>
        <v>209.34294874527001</v>
      </c>
      <c r="M276" s="151"/>
      <c r="N276" s="64"/>
      <c r="O276" s="39"/>
      <c r="P276" s="39"/>
      <c r="Q276" s="39"/>
      <c r="R276" s="39"/>
      <c r="S276" s="39"/>
      <c r="T276" s="39"/>
      <c r="U276" s="39"/>
      <c r="V276" s="39"/>
      <c r="W276" s="39"/>
      <c r="IH276" s="41"/>
      <c r="II276" s="41"/>
      <c r="IJ276" s="41"/>
      <c r="IK276" s="41"/>
      <c r="IL276" s="41"/>
      <c r="IM276" s="41"/>
    </row>
    <row r="277" spans="1:247" s="40" customFormat="1" ht="20.25" customHeight="1" x14ac:dyDescent="0.25">
      <c r="A277" s="75">
        <v>42613</v>
      </c>
      <c r="B277" s="144">
        <v>459.8587</v>
      </c>
      <c r="C277" s="144">
        <f t="shared" si="359"/>
        <v>458.47912389999999</v>
      </c>
      <c r="D277" s="144">
        <f t="shared" si="360"/>
        <v>461.23827609999995</v>
      </c>
      <c r="E277" s="78">
        <f>6707.42/1800.553*100</f>
        <v>372.51999802282961</v>
      </c>
      <c r="F277" s="76"/>
      <c r="G277" s="137"/>
      <c r="H277" s="78">
        <v>145.50219999999999</v>
      </c>
      <c r="I277" s="78">
        <v>154.4068</v>
      </c>
      <c r="J277" s="79">
        <f t="shared" si="242"/>
        <v>250.77305322640001</v>
      </c>
      <c r="K277" s="80">
        <v>449624.95</v>
      </c>
      <c r="L277" s="81">
        <f t="shared" si="338"/>
        <v>206.76394499456501</v>
      </c>
      <c r="M277" s="151"/>
      <c r="N277" s="64"/>
      <c r="O277" s="39"/>
      <c r="P277" s="39"/>
      <c r="Q277" s="39"/>
      <c r="R277" s="39"/>
      <c r="S277" s="39"/>
      <c r="T277" s="39"/>
      <c r="U277" s="39"/>
      <c r="V277" s="39"/>
      <c r="W277" s="39"/>
      <c r="IH277" s="41"/>
      <c r="II277" s="41"/>
      <c r="IJ277" s="41"/>
      <c r="IK277" s="41"/>
      <c r="IL277" s="41"/>
      <c r="IM277" s="41"/>
    </row>
    <row r="278" spans="1:247" s="40" customFormat="1" ht="20.25" customHeight="1" x14ac:dyDescent="0.25">
      <c r="A278" s="75">
        <v>42606</v>
      </c>
      <c r="B278" s="144">
        <v>460.08080000000001</v>
      </c>
      <c r="C278" s="144">
        <f t="shared" si="359"/>
        <v>458.70055760000002</v>
      </c>
      <c r="D278" s="144">
        <f t="shared" si="360"/>
        <v>461.46104239999994</v>
      </c>
      <c r="E278" s="78">
        <f>6749.749/1800.553*100</f>
        <v>374.87088688863918</v>
      </c>
      <c r="F278" s="76"/>
      <c r="G278" s="137"/>
      <c r="H278" s="78">
        <v>146.61060000000001</v>
      </c>
      <c r="I278" s="78">
        <v>154.40190000000001</v>
      </c>
      <c r="J278" s="79">
        <f t="shared" si="242"/>
        <v>252.51939643079393</v>
      </c>
      <c r="K278" s="80">
        <v>449917.87</v>
      </c>
      <c r="L278" s="81">
        <f t="shared" si="338"/>
        <v>206.998573563896</v>
      </c>
      <c r="M278" s="151"/>
      <c r="N278" s="64"/>
      <c r="O278" s="39"/>
      <c r="P278" s="39"/>
      <c r="Q278" s="39"/>
      <c r="R278" s="39"/>
      <c r="S278" s="39"/>
      <c r="T278" s="39"/>
      <c r="U278" s="39"/>
      <c r="V278" s="39"/>
      <c r="W278" s="39"/>
      <c r="IH278" s="41"/>
      <c r="II278" s="41"/>
      <c r="IJ278" s="41"/>
      <c r="IK278" s="41"/>
      <c r="IL278" s="41"/>
      <c r="IM278" s="41"/>
    </row>
    <row r="279" spans="1:247" s="40" customFormat="1" ht="20.25" customHeight="1" x14ac:dyDescent="0.25">
      <c r="A279" s="75">
        <v>42599</v>
      </c>
      <c r="B279" s="144">
        <v>459.94797399999999</v>
      </c>
      <c r="C279" s="144">
        <f t="shared" si="359"/>
        <v>458.56813007799997</v>
      </c>
      <c r="D279" s="144">
        <f t="shared" ref="D279:D284" si="361">1.003*B279</f>
        <v>461.32781792199995</v>
      </c>
      <c r="E279" s="78">
        <f>6749.46/1800.553*100</f>
        <v>374.85483626419216</v>
      </c>
      <c r="F279" s="76"/>
      <c r="G279" s="137"/>
      <c r="H279" s="78">
        <v>146.68950000000001</v>
      </c>
      <c r="I279" s="78">
        <v>154.3973</v>
      </c>
      <c r="J279" s="79">
        <f t="shared" si="242"/>
        <v>252.58191709419788</v>
      </c>
      <c r="K279" s="80">
        <v>455180</v>
      </c>
      <c r="L279" s="81">
        <f t="shared" si="338"/>
        <v>209.35911880532001</v>
      </c>
      <c r="M279" s="151"/>
      <c r="N279" s="64"/>
      <c r="O279" s="39"/>
      <c r="P279" s="39"/>
      <c r="Q279" s="39"/>
      <c r="R279" s="39"/>
      <c r="S279" s="39"/>
      <c r="T279" s="39"/>
      <c r="U279" s="39"/>
      <c r="V279" s="39"/>
      <c r="W279" s="39"/>
      <c r="IH279" s="41"/>
      <c r="II279" s="41"/>
      <c r="IJ279" s="41"/>
      <c r="IK279" s="41"/>
      <c r="IL279" s="41"/>
      <c r="IM279" s="41"/>
    </row>
    <row r="280" spans="1:247" s="28" customFormat="1" ht="20.25" customHeight="1" x14ac:dyDescent="0.25">
      <c r="A280" s="75">
        <v>42592</v>
      </c>
      <c r="B280" s="144">
        <v>460.29739999999998</v>
      </c>
      <c r="C280" s="144">
        <f t="shared" ref="C280:C286" si="362">0.997*B280</f>
        <v>458.91650779999998</v>
      </c>
      <c r="D280" s="144">
        <f t="shared" si="361"/>
        <v>461.67829219999993</v>
      </c>
      <c r="E280" s="78">
        <f>6726.42/1800.553*100</f>
        <v>373.57522938786025</v>
      </c>
      <c r="F280" s="76"/>
      <c r="G280" s="137"/>
      <c r="H280" s="78">
        <v>146.07980000000001</v>
      </c>
      <c r="I280" s="78">
        <v>154.39259999999999</v>
      </c>
      <c r="J280" s="79">
        <f t="shared" si="242"/>
        <v>251.62585895945688</v>
      </c>
      <c r="K280" s="80">
        <v>455264.58</v>
      </c>
      <c r="L280" s="81">
        <f t="shared" si="338"/>
        <v>209.55710248609199</v>
      </c>
      <c r="M280" s="152"/>
      <c r="N280" s="66"/>
      <c r="O280" s="27"/>
      <c r="P280" s="27"/>
      <c r="Q280" s="27"/>
      <c r="R280" s="27"/>
      <c r="S280" s="27"/>
      <c r="T280" s="27"/>
      <c r="U280" s="27"/>
      <c r="V280" s="27"/>
      <c r="W280" s="27"/>
      <c r="IH280" s="32"/>
      <c r="II280" s="32"/>
      <c r="IJ280" s="32"/>
      <c r="IK280" s="32"/>
      <c r="IL280" s="32"/>
      <c r="IM280" s="32"/>
    </row>
    <row r="281" spans="1:247" s="40" customFormat="1" ht="20.25" customHeight="1" x14ac:dyDescent="0.25">
      <c r="A281" s="75">
        <v>42585</v>
      </c>
      <c r="B281" s="144">
        <v>457.9051</v>
      </c>
      <c r="C281" s="144">
        <f t="shared" si="362"/>
        <v>456.53138469999999</v>
      </c>
      <c r="D281" s="144">
        <f t="shared" si="361"/>
        <v>459.27881529999996</v>
      </c>
      <c r="E281" s="78">
        <f>6628.674/1800.553*100</f>
        <v>368.14656386121374</v>
      </c>
      <c r="F281" s="76"/>
      <c r="G281" s="137"/>
      <c r="H281" s="78">
        <v>146.31399999999999</v>
      </c>
      <c r="I281" s="78">
        <v>154.38820000000001</v>
      </c>
      <c r="J281" s="79">
        <f t="shared" si="242"/>
        <v>249.98281335176716</v>
      </c>
      <c r="K281" s="80">
        <v>456595.75</v>
      </c>
      <c r="L281" s="81">
        <f t="shared" si="338"/>
        <v>209.07752256332498</v>
      </c>
      <c r="M281" s="151"/>
      <c r="N281" s="64"/>
      <c r="O281" s="39"/>
      <c r="P281" s="39"/>
      <c r="Q281" s="39"/>
      <c r="R281" s="39"/>
      <c r="S281" s="39"/>
      <c r="T281" s="39"/>
      <c r="U281" s="39"/>
      <c r="V281" s="39"/>
      <c r="W281" s="39"/>
      <c r="IH281" s="41"/>
      <c r="II281" s="41"/>
      <c r="IJ281" s="41"/>
      <c r="IK281" s="41"/>
      <c r="IL281" s="41"/>
      <c r="IM281" s="41"/>
    </row>
    <row r="282" spans="1:247" s="40" customFormat="1" ht="20.25" customHeight="1" x14ac:dyDescent="0.25">
      <c r="A282" s="75">
        <v>42578</v>
      </c>
      <c r="B282" s="144">
        <v>459.16559999999998</v>
      </c>
      <c r="C282" s="144">
        <f t="shared" si="362"/>
        <v>457.78810319999997</v>
      </c>
      <c r="D282" s="144">
        <f t="shared" si="361"/>
        <v>460.54309679999994</v>
      </c>
      <c r="E282" s="78">
        <f>6637.798/1800.553*100</f>
        <v>368.65329707040001</v>
      </c>
      <c r="F282" s="76"/>
      <c r="G282" s="137"/>
      <c r="H282" s="78">
        <v>145.06720000000001</v>
      </c>
      <c r="I282" s="78">
        <v>154.38409999999999</v>
      </c>
      <c r="J282" s="79">
        <f t="shared" si="242"/>
        <v>249.08361089349623</v>
      </c>
      <c r="K282" s="80">
        <v>476918.27</v>
      </c>
      <c r="L282" s="81">
        <f t="shared" si="338"/>
        <v>218.98446359551201</v>
      </c>
      <c r="M282" s="151"/>
      <c r="N282" s="64"/>
      <c r="O282" s="39"/>
      <c r="P282" s="39"/>
      <c r="Q282" s="39"/>
      <c r="R282" s="39"/>
      <c r="S282" s="39"/>
      <c r="T282" s="39"/>
      <c r="U282" s="39"/>
      <c r="V282" s="39"/>
      <c r="W282" s="39"/>
      <c r="IH282" s="41"/>
      <c r="II282" s="41"/>
      <c r="IJ282" s="41"/>
      <c r="IK282" s="41"/>
      <c r="IL282" s="41"/>
      <c r="IM282" s="41"/>
    </row>
    <row r="283" spans="1:247" s="40" customFormat="1" ht="20.25" customHeight="1" x14ac:dyDescent="0.25">
      <c r="A283" s="75">
        <v>42571</v>
      </c>
      <c r="B283" s="144">
        <v>455.68439999999998</v>
      </c>
      <c r="C283" s="144">
        <f t="shared" si="362"/>
        <v>454.3173468</v>
      </c>
      <c r="D283" s="144">
        <f t="shared" si="361"/>
        <v>457.05145319999991</v>
      </c>
      <c r="E283" s="78">
        <f>6640.567/1800.553*100</f>
        <v>368.80708315723001</v>
      </c>
      <c r="F283" s="76"/>
      <c r="G283" s="137"/>
      <c r="H283" s="78">
        <v>144.71199999999999</v>
      </c>
      <c r="I283" s="78">
        <v>154.38050000000001</v>
      </c>
      <c r="J283" s="79">
        <f t="shared" si="242"/>
        <v>248.83010925870556</v>
      </c>
      <c r="K283" s="80">
        <v>477004.32</v>
      </c>
      <c r="L283" s="81">
        <f t="shared" si="338"/>
        <v>217.36342735660801</v>
      </c>
      <c r="M283" s="151"/>
      <c r="N283" s="64"/>
      <c r="O283" s="39"/>
      <c r="P283" s="39"/>
      <c r="Q283" s="39"/>
      <c r="R283" s="39"/>
      <c r="S283" s="39"/>
      <c r="T283" s="39"/>
      <c r="U283" s="39"/>
      <c r="V283" s="39"/>
      <c r="W283" s="39"/>
      <c r="IH283" s="41"/>
      <c r="II283" s="41"/>
      <c r="IJ283" s="41"/>
      <c r="IK283" s="41"/>
      <c r="IL283" s="41"/>
      <c r="IM283" s="41"/>
    </row>
    <row r="284" spans="1:247" s="40" customFormat="1" ht="20.25" customHeight="1" x14ac:dyDescent="0.25">
      <c r="A284" s="75">
        <v>42564</v>
      </c>
      <c r="B284" s="144">
        <v>456.97179999999997</v>
      </c>
      <c r="C284" s="144">
        <f t="shared" si="362"/>
        <v>455.60088459999997</v>
      </c>
      <c r="D284" s="144">
        <f t="shared" si="361"/>
        <v>458.34271539999992</v>
      </c>
      <c r="E284" s="78">
        <f>6589.387/1800.553*100</f>
        <v>365.96462309079482</v>
      </c>
      <c r="F284" s="76"/>
      <c r="G284" s="137"/>
      <c r="H284" s="78">
        <v>145.3663</v>
      </c>
      <c r="I284" s="78">
        <v>154.376</v>
      </c>
      <c r="J284" s="79">
        <f t="shared" si="242"/>
        <v>248.42443317096391</v>
      </c>
      <c r="K284" s="80">
        <v>477224.4</v>
      </c>
      <c r="L284" s="81">
        <f t="shared" si="338"/>
        <v>218.07809307191999</v>
      </c>
      <c r="M284" s="151"/>
      <c r="N284" s="64"/>
      <c r="O284" s="39"/>
      <c r="P284" s="39"/>
      <c r="Q284" s="39"/>
      <c r="R284" s="39"/>
      <c r="S284" s="39"/>
      <c r="T284" s="39"/>
      <c r="U284" s="39"/>
      <c r="V284" s="39"/>
      <c r="W284" s="39"/>
      <c r="IH284" s="41"/>
      <c r="II284" s="41"/>
      <c r="IJ284" s="41"/>
      <c r="IK284" s="41"/>
      <c r="IL284" s="41"/>
      <c r="IM284" s="41"/>
    </row>
    <row r="285" spans="1:247" s="40" customFormat="1" ht="20.25" customHeight="1" x14ac:dyDescent="0.25">
      <c r="A285" s="75">
        <v>42557</v>
      </c>
      <c r="B285" s="144">
        <v>449.80900000000003</v>
      </c>
      <c r="C285" s="144">
        <f t="shared" si="362"/>
        <v>448.45957300000003</v>
      </c>
      <c r="D285" s="144">
        <f t="shared" ref="D285:D290" si="363">1.003*B285</f>
        <v>451.15842699999996</v>
      </c>
      <c r="E285" s="78">
        <f>6379.586/1800.553*100</f>
        <v>354.31259174264795</v>
      </c>
      <c r="F285" s="76"/>
      <c r="G285" s="137"/>
      <c r="H285" s="78">
        <v>145.589</v>
      </c>
      <c r="I285" s="78">
        <v>154.3724</v>
      </c>
      <c r="J285" s="79">
        <f t="shared" si="242"/>
        <v>244.58967615572794</v>
      </c>
      <c r="K285" s="80">
        <v>478940.6</v>
      </c>
      <c r="L285" s="81">
        <f t="shared" si="338"/>
        <v>215.4317923454</v>
      </c>
      <c r="M285" s="151"/>
      <c r="N285" s="64"/>
      <c r="O285" s="39"/>
      <c r="P285" s="39"/>
      <c r="Q285" s="39"/>
      <c r="R285" s="39"/>
      <c r="S285" s="39"/>
      <c r="T285" s="39"/>
      <c r="U285" s="39"/>
      <c r="V285" s="39"/>
      <c r="W285" s="39"/>
      <c r="IH285" s="41"/>
      <c r="II285" s="41"/>
      <c r="IJ285" s="41"/>
      <c r="IK285" s="41"/>
      <c r="IL285" s="41"/>
      <c r="IM285" s="41"/>
    </row>
    <row r="286" spans="1:247" s="40" customFormat="1" ht="20.25" customHeight="1" x14ac:dyDescent="0.25">
      <c r="A286" s="75">
        <v>42550</v>
      </c>
      <c r="B286" s="144">
        <v>448.42899999999997</v>
      </c>
      <c r="C286" s="144">
        <f t="shared" si="362"/>
        <v>447.08371299999999</v>
      </c>
      <c r="D286" s="144">
        <f t="shared" si="363"/>
        <v>449.7742869999999</v>
      </c>
      <c r="E286" s="78">
        <f>6351.734/1800.553*100</f>
        <v>352.76573363849883</v>
      </c>
      <c r="F286" s="76"/>
      <c r="G286" s="137"/>
      <c r="H286" s="78">
        <v>145.93289999999999</v>
      </c>
      <c r="I286" s="78">
        <v>154.369</v>
      </c>
      <c r="J286" s="79">
        <f t="shared" si="242"/>
        <v>244.3418668542858</v>
      </c>
      <c r="K286" s="80">
        <v>479888.64000000001</v>
      </c>
      <c r="L286" s="81">
        <f t="shared" si="338"/>
        <v>215.19598294656001</v>
      </c>
      <c r="M286" s="151"/>
      <c r="N286" s="64"/>
      <c r="O286" s="39"/>
      <c r="P286" s="39"/>
      <c r="Q286" s="39"/>
      <c r="R286" s="39"/>
      <c r="S286" s="39"/>
      <c r="T286" s="39"/>
      <c r="U286" s="39"/>
      <c r="V286" s="39"/>
      <c r="W286" s="39"/>
      <c r="IH286" s="41"/>
      <c r="II286" s="41"/>
      <c r="IJ286" s="41"/>
      <c r="IK286" s="41"/>
      <c r="IL286" s="41"/>
      <c r="IM286" s="41"/>
    </row>
    <row r="287" spans="1:247" s="40" customFormat="1" ht="20.25" customHeight="1" x14ac:dyDescent="0.25">
      <c r="A287" s="75">
        <v>42543</v>
      </c>
      <c r="B287" s="144">
        <v>455.27800000000002</v>
      </c>
      <c r="C287" s="144">
        <f t="shared" ref="C287:C293" si="364">0.997*B287</f>
        <v>453.91216600000001</v>
      </c>
      <c r="D287" s="144">
        <f t="shared" si="363"/>
        <v>456.64383399999997</v>
      </c>
      <c r="E287" s="78">
        <f>6478.567/1800.553*100</f>
        <v>359.80984730802146</v>
      </c>
      <c r="F287" s="76"/>
      <c r="G287" s="137"/>
      <c r="H287" s="78">
        <v>147.74619999999999</v>
      </c>
      <c r="I287" s="78">
        <v>154.36519999999999</v>
      </c>
      <c r="J287" s="79">
        <f t="shared" si="242"/>
        <v>248.29603041106262</v>
      </c>
      <c r="K287" s="80">
        <v>479888.64000000001</v>
      </c>
      <c r="L287" s="81">
        <f t="shared" si="338"/>
        <v>218.48274024192003</v>
      </c>
      <c r="M287" s="151"/>
      <c r="N287" s="64"/>
      <c r="O287" s="39"/>
      <c r="P287" s="39"/>
      <c r="Q287" s="39"/>
      <c r="R287" s="39"/>
      <c r="S287" s="39"/>
      <c r="T287" s="39"/>
      <c r="U287" s="39"/>
      <c r="V287" s="39"/>
      <c r="W287" s="39"/>
      <c r="IH287" s="41"/>
      <c r="II287" s="41"/>
      <c r="IJ287" s="41"/>
      <c r="IK287" s="41"/>
      <c r="IL287" s="41"/>
      <c r="IM287" s="41"/>
    </row>
    <row r="288" spans="1:247" s="40" customFormat="1" ht="20.25" customHeight="1" x14ac:dyDescent="0.25">
      <c r="A288" s="75">
        <v>42536</v>
      </c>
      <c r="B288" s="144">
        <v>454.95370000000003</v>
      </c>
      <c r="C288" s="144">
        <f t="shared" si="364"/>
        <v>453.58883890000004</v>
      </c>
      <c r="D288" s="144">
        <f t="shared" si="363"/>
        <v>456.31856109999995</v>
      </c>
      <c r="E288" s="78">
        <f>6343.797/1800.553*100</f>
        <v>352.3249246203805</v>
      </c>
      <c r="F288" s="76"/>
      <c r="G288" s="137"/>
      <c r="H288" s="78">
        <v>146.6694</v>
      </c>
      <c r="I288" s="78">
        <v>154.35990000000001</v>
      </c>
      <c r="J288" s="79">
        <f t="shared" si="242"/>
        <v>244.79713806452443</v>
      </c>
      <c r="K288" s="80">
        <v>480366.41</v>
      </c>
      <c r="L288" s="81">
        <f t="shared" si="338"/>
        <v>218.54447558521699</v>
      </c>
      <c r="M288" s="151"/>
      <c r="N288" s="64"/>
      <c r="O288" s="39"/>
      <c r="P288" s="39"/>
      <c r="Q288" s="39"/>
      <c r="R288" s="39"/>
      <c r="S288" s="39"/>
      <c r="T288" s="39"/>
      <c r="U288" s="39"/>
      <c r="V288" s="39"/>
      <c r="W288" s="39"/>
      <c r="IH288" s="41"/>
      <c r="II288" s="41"/>
      <c r="IJ288" s="41"/>
      <c r="IK288" s="41"/>
      <c r="IL288" s="41"/>
      <c r="IM288" s="41"/>
    </row>
    <row r="289" spans="1:247" s="40" customFormat="1" ht="20.25" customHeight="1" x14ac:dyDescent="0.25">
      <c r="A289" s="75">
        <v>42529</v>
      </c>
      <c r="B289" s="144">
        <v>458.89010000000002</v>
      </c>
      <c r="C289" s="144">
        <f t="shared" si="364"/>
        <v>457.51342970000002</v>
      </c>
      <c r="D289" s="144">
        <f t="shared" si="363"/>
        <v>460.26677029999996</v>
      </c>
      <c r="E289" s="78">
        <f>6594.914/1800.553*100</f>
        <v>366.27158434103296</v>
      </c>
      <c r="F289" s="76"/>
      <c r="G289" s="137"/>
      <c r="H289" s="78">
        <v>147.34700000000001</v>
      </c>
      <c r="I289" s="78">
        <v>154.35509999999999</v>
      </c>
      <c r="J289" s="79">
        <f t="shared" si="242"/>
        <v>250.13451349204124</v>
      </c>
      <c r="K289" s="80">
        <v>480887.77</v>
      </c>
      <c r="L289" s="81">
        <f t="shared" si="338"/>
        <v>220.67463686407703</v>
      </c>
      <c r="M289" s="151"/>
      <c r="N289" s="64"/>
      <c r="O289" s="39"/>
      <c r="P289" s="39"/>
      <c r="Q289" s="39"/>
      <c r="R289" s="39"/>
      <c r="S289" s="39"/>
      <c r="T289" s="39"/>
      <c r="U289" s="39"/>
      <c r="V289" s="39"/>
      <c r="W289" s="39"/>
      <c r="IH289" s="41"/>
      <c r="II289" s="41"/>
      <c r="IJ289" s="41"/>
      <c r="IK289" s="41"/>
      <c r="IL289" s="41"/>
      <c r="IM289" s="41"/>
    </row>
    <row r="290" spans="1:247" s="40" customFormat="1" ht="20.25" customHeight="1" x14ac:dyDescent="0.25">
      <c r="A290" s="75">
        <v>42522</v>
      </c>
      <c r="B290" s="144">
        <v>453.5847</v>
      </c>
      <c r="C290" s="144">
        <f t="shared" si="364"/>
        <v>452.22394589999999</v>
      </c>
      <c r="D290" s="144">
        <f t="shared" si="363"/>
        <v>454.94545409999995</v>
      </c>
      <c r="E290" s="78">
        <f>6488.956/1800.553*100</f>
        <v>360.38683671072164</v>
      </c>
      <c r="F290" s="76"/>
      <c r="G290" s="137"/>
      <c r="H290" s="78">
        <v>145.60830000000001</v>
      </c>
      <c r="I290" s="78">
        <v>154.3493</v>
      </c>
      <c r="J290" s="79">
        <f t="shared" si="242"/>
        <v>246.64815232498887</v>
      </c>
      <c r="K290" s="80">
        <v>480887.77</v>
      </c>
      <c r="L290" s="81">
        <f t="shared" si="338"/>
        <v>218.12333488911901</v>
      </c>
      <c r="M290" s="151"/>
      <c r="N290" s="64"/>
      <c r="O290" s="39"/>
      <c r="P290" s="39"/>
      <c r="Q290" s="39"/>
      <c r="R290" s="39"/>
      <c r="S290" s="39"/>
      <c r="T290" s="39"/>
      <c r="U290" s="39"/>
      <c r="V290" s="39"/>
      <c r="W290" s="39"/>
      <c r="IH290" s="41"/>
      <c r="II290" s="41"/>
      <c r="IJ290" s="41"/>
      <c r="IK290" s="41"/>
      <c r="IL290" s="41"/>
      <c r="IM290" s="41"/>
    </row>
    <row r="291" spans="1:247" s="40" customFormat="1" ht="20.25" customHeight="1" x14ac:dyDescent="0.25">
      <c r="A291" s="75">
        <v>42515</v>
      </c>
      <c r="B291" s="144">
        <v>457.71089999999998</v>
      </c>
      <c r="C291" s="144">
        <f t="shared" si="364"/>
        <v>456.3377673</v>
      </c>
      <c r="D291" s="144">
        <f t="shared" ref="D291:D296" si="365">1.003*B291</f>
        <v>459.08403269999991</v>
      </c>
      <c r="E291" s="78">
        <f>6469.93/1800.553*100</f>
        <v>359.33016134487571</v>
      </c>
      <c r="F291" s="76"/>
      <c r="G291" s="137"/>
      <c r="H291" s="78">
        <v>145.65960000000001</v>
      </c>
      <c r="I291" s="78">
        <v>154.34299999999999</v>
      </c>
      <c r="J291" s="79">
        <f t="shared" si="242"/>
        <v>246.32934181007499</v>
      </c>
      <c r="K291" s="80">
        <v>480887.77</v>
      </c>
      <c r="L291" s="81">
        <f t="shared" si="338"/>
        <v>220.10757400569298</v>
      </c>
      <c r="M291" s="151"/>
      <c r="N291" s="64"/>
      <c r="O291" s="39"/>
      <c r="P291" s="39"/>
      <c r="Q291" s="39"/>
      <c r="R291" s="39"/>
      <c r="S291" s="39"/>
      <c r="T291" s="39"/>
      <c r="U291" s="39"/>
      <c r="V291" s="39"/>
      <c r="W291" s="39"/>
      <c r="IH291" s="41"/>
      <c r="II291" s="41"/>
      <c r="IJ291" s="41"/>
      <c r="IK291" s="41"/>
      <c r="IL291" s="41"/>
      <c r="IM291" s="41"/>
    </row>
    <row r="292" spans="1:247" s="40" customFormat="1" ht="20.25" customHeight="1" x14ac:dyDescent="0.25">
      <c r="A292" s="75">
        <v>42508</v>
      </c>
      <c r="B292" s="144">
        <v>458.68720000000002</v>
      </c>
      <c r="C292" s="144">
        <f t="shared" si="364"/>
        <v>457.3111384</v>
      </c>
      <c r="D292" s="144">
        <f t="shared" si="365"/>
        <v>460.06326159999998</v>
      </c>
      <c r="E292" s="78">
        <f>6357.268/1800.553*100</f>
        <v>353.07308365818722</v>
      </c>
      <c r="F292" s="76"/>
      <c r="G292" s="137"/>
      <c r="H292" s="78">
        <v>145.7122</v>
      </c>
      <c r="I292" s="78">
        <v>154.33670000000001</v>
      </c>
      <c r="J292" s="79">
        <f t="shared" si="242"/>
        <v>244.20950828790711</v>
      </c>
      <c r="K292" s="80">
        <v>480726.93</v>
      </c>
      <c r="L292" s="81">
        <f t="shared" si="338"/>
        <v>220.50328948629601</v>
      </c>
      <c r="M292" s="151"/>
      <c r="N292" s="64"/>
      <c r="O292" s="39"/>
      <c r="P292" s="39"/>
      <c r="Q292" s="39"/>
      <c r="R292" s="39"/>
      <c r="S292" s="39"/>
      <c r="T292" s="39"/>
      <c r="U292" s="39"/>
      <c r="V292" s="39"/>
      <c r="W292" s="39"/>
      <c r="IH292" s="41"/>
      <c r="II292" s="41"/>
      <c r="IJ292" s="41"/>
      <c r="IK292" s="41"/>
      <c r="IL292" s="41"/>
      <c r="IM292" s="41"/>
    </row>
    <row r="293" spans="1:247" s="40" customFormat="1" ht="20.25" customHeight="1" x14ac:dyDescent="0.25">
      <c r="A293" s="87">
        <v>42501</v>
      </c>
      <c r="B293" s="153">
        <v>459.88940000000002</v>
      </c>
      <c r="C293" s="153">
        <f t="shared" si="364"/>
        <v>458.5097318</v>
      </c>
      <c r="D293" s="153">
        <f t="shared" si="365"/>
        <v>461.26906819999999</v>
      </c>
      <c r="E293" s="154">
        <f>6396.633/1800.553*100</f>
        <v>355.25935643105197</v>
      </c>
      <c r="F293" s="88"/>
      <c r="G293" s="77"/>
      <c r="H293" s="154">
        <v>146.7405</v>
      </c>
      <c r="I293" s="154">
        <v>154.3313</v>
      </c>
      <c r="J293" s="155">
        <f t="shared" si="242"/>
        <v>245.82725164697013</v>
      </c>
      <c r="K293" s="156">
        <v>480877.83</v>
      </c>
      <c r="L293" s="81">
        <f t="shared" si="338"/>
        <v>221.15061671200201</v>
      </c>
      <c r="M293" s="151"/>
      <c r="N293" s="64"/>
      <c r="O293" s="39"/>
      <c r="P293" s="39"/>
      <c r="Q293" s="39"/>
      <c r="R293" s="39"/>
      <c r="S293" s="39"/>
      <c r="T293" s="39"/>
      <c r="U293" s="39"/>
      <c r="V293" s="39"/>
      <c r="W293" s="39"/>
      <c r="IH293" s="41"/>
      <c r="II293" s="41"/>
      <c r="IJ293" s="41"/>
      <c r="IK293" s="41"/>
      <c r="IL293" s="41"/>
      <c r="IM293" s="41"/>
    </row>
    <row r="294" spans="1:247" s="40" customFormat="1" ht="20.25" customHeight="1" x14ac:dyDescent="0.25">
      <c r="A294" s="87">
        <v>42494</v>
      </c>
      <c r="B294" s="153">
        <v>462.08210000000003</v>
      </c>
      <c r="C294" s="153">
        <f t="shared" ref="C294:C300" si="366">0.997*B294</f>
        <v>460.69585370000004</v>
      </c>
      <c r="D294" s="153">
        <f t="shared" si="365"/>
        <v>463.46834629999995</v>
      </c>
      <c r="E294" s="154">
        <f>6352.484/1800.553*100</f>
        <v>352.80738750817113</v>
      </c>
      <c r="F294" s="88"/>
      <c r="G294" s="77"/>
      <c r="H294" s="154">
        <v>147.35570000000001</v>
      </c>
      <c r="I294" s="154">
        <v>154.32589999999999</v>
      </c>
      <c r="J294" s="155">
        <f t="shared" si="242"/>
        <v>245.48664531551742</v>
      </c>
      <c r="K294" s="156">
        <v>480877.83</v>
      </c>
      <c r="L294" s="81">
        <f t="shared" si="338"/>
        <v>222.20503752984303</v>
      </c>
      <c r="M294" s="151"/>
      <c r="N294" s="64"/>
      <c r="O294" s="39"/>
      <c r="P294" s="39"/>
      <c r="Q294" s="39"/>
      <c r="R294" s="39"/>
      <c r="S294" s="39"/>
      <c r="T294" s="39"/>
      <c r="U294" s="39"/>
      <c r="V294" s="39"/>
      <c r="W294" s="39"/>
      <c r="IH294" s="41"/>
      <c r="II294" s="41"/>
      <c r="IJ294" s="41"/>
      <c r="IK294" s="41"/>
      <c r="IL294" s="41"/>
      <c r="IM294" s="41"/>
    </row>
    <row r="295" spans="1:247" s="40" customFormat="1" ht="20.25" customHeight="1" x14ac:dyDescent="0.25">
      <c r="A295" s="75">
        <v>42487</v>
      </c>
      <c r="B295" s="144">
        <v>461.83460000000002</v>
      </c>
      <c r="C295" s="144">
        <f t="shared" si="366"/>
        <v>460.44909620000004</v>
      </c>
      <c r="D295" s="144">
        <f t="shared" si="365"/>
        <v>463.22010379999995</v>
      </c>
      <c r="E295" s="78">
        <f>6508.145/1800.553*100</f>
        <v>361.45256485090971</v>
      </c>
      <c r="F295" s="76"/>
      <c r="G295" s="137"/>
      <c r="H295" s="78">
        <v>146.49799999999999</v>
      </c>
      <c r="I295" s="78">
        <v>154.32060000000001</v>
      </c>
      <c r="J295" s="79">
        <f t="shared" si="242"/>
        <v>247.72398776991082</v>
      </c>
      <c r="K295" s="80">
        <v>482651.54</v>
      </c>
      <c r="L295" s="81">
        <f t="shared" si="338"/>
        <v>222.90518091528401</v>
      </c>
      <c r="M295" s="151"/>
      <c r="N295" s="64"/>
      <c r="O295" s="39"/>
      <c r="P295" s="39"/>
      <c r="Q295" s="39"/>
      <c r="R295" s="39"/>
      <c r="S295" s="39"/>
      <c r="T295" s="39"/>
      <c r="U295" s="39"/>
      <c r="V295" s="39"/>
      <c r="W295" s="39"/>
      <c r="IH295" s="41"/>
      <c r="II295" s="41"/>
      <c r="IJ295" s="41"/>
      <c r="IK295" s="41"/>
      <c r="IL295" s="41"/>
      <c r="IM295" s="41"/>
    </row>
    <row r="296" spans="1:247" s="40" customFormat="1" ht="20.25" customHeight="1" x14ac:dyDescent="0.25">
      <c r="A296" s="75">
        <v>42480</v>
      </c>
      <c r="B296" s="144">
        <v>461.91079999999999</v>
      </c>
      <c r="C296" s="144">
        <f t="shared" si="366"/>
        <v>460.5250676</v>
      </c>
      <c r="D296" s="144">
        <f t="shared" si="365"/>
        <v>463.29653239999993</v>
      </c>
      <c r="E296" s="78">
        <f>6539.684/1800.553*100</f>
        <v>363.20419337836762</v>
      </c>
      <c r="F296" s="76"/>
      <c r="G296" s="137"/>
      <c r="H296" s="78">
        <v>146.54830000000001</v>
      </c>
      <c r="I296" s="78">
        <v>154.31489999999999</v>
      </c>
      <c r="J296" s="79">
        <f t="shared" si="242"/>
        <v>248.36550863103275</v>
      </c>
      <c r="K296" s="80">
        <v>482919.11</v>
      </c>
      <c r="L296" s="81">
        <f t="shared" si="338"/>
        <v>223.06555243538799</v>
      </c>
      <c r="M296" s="151"/>
      <c r="N296" s="64"/>
      <c r="O296" s="39"/>
      <c r="P296" s="39"/>
      <c r="Q296" s="39"/>
      <c r="R296" s="39"/>
      <c r="S296" s="39"/>
      <c r="T296" s="39"/>
      <c r="U296" s="39"/>
      <c r="V296" s="39"/>
      <c r="W296" s="39"/>
      <c r="IH296" s="41"/>
      <c r="II296" s="41"/>
      <c r="IJ296" s="41"/>
      <c r="IK296" s="41"/>
      <c r="IL296" s="41"/>
      <c r="IM296" s="41"/>
    </row>
    <row r="297" spans="1:247" s="40" customFormat="1" ht="20.25" customHeight="1" x14ac:dyDescent="0.25">
      <c r="A297" s="87">
        <v>42473</v>
      </c>
      <c r="B297" s="153">
        <v>461.82279999999997</v>
      </c>
      <c r="C297" s="153">
        <f t="shared" si="366"/>
        <v>460.43733159999999</v>
      </c>
      <c r="D297" s="153">
        <f t="shared" ref="D297:D302" si="367">1.003*B297</f>
        <v>463.20826839999989</v>
      </c>
      <c r="E297" s="154">
        <f>6426.355/1800.553*100</f>
        <v>356.91007151691724</v>
      </c>
      <c r="F297" s="88"/>
      <c r="G297" s="77"/>
      <c r="H297" s="154">
        <v>146.2783</v>
      </c>
      <c r="I297" s="154">
        <v>154.30930000000001</v>
      </c>
      <c r="J297" s="155">
        <f t="shared" si="242"/>
        <v>245.96966175291328</v>
      </c>
      <c r="K297" s="156">
        <v>482919.11</v>
      </c>
      <c r="L297" s="81">
        <f t="shared" si="338"/>
        <v>223.02305555370799</v>
      </c>
      <c r="M297" s="151"/>
      <c r="N297" s="64"/>
      <c r="O297" s="39"/>
      <c r="P297" s="39"/>
      <c r="Q297" s="39"/>
      <c r="R297" s="39"/>
      <c r="S297" s="39"/>
      <c r="T297" s="39"/>
      <c r="U297" s="39"/>
      <c r="V297" s="39"/>
      <c r="W297" s="39"/>
      <c r="IH297" s="41"/>
      <c r="II297" s="41"/>
      <c r="IJ297" s="41"/>
      <c r="IK297" s="41"/>
      <c r="IL297" s="41"/>
      <c r="IM297" s="41"/>
    </row>
    <row r="298" spans="1:247" s="40" customFormat="1" ht="20.25" customHeight="1" x14ac:dyDescent="0.25">
      <c r="A298" s="75">
        <v>42466</v>
      </c>
      <c r="B298" s="144">
        <v>458.51566100000002</v>
      </c>
      <c r="C298" s="144">
        <f t="shared" si="366"/>
        <v>457.14011401700003</v>
      </c>
      <c r="D298" s="144">
        <f t="shared" si="367"/>
        <v>459.89120798299996</v>
      </c>
      <c r="E298" s="78">
        <f>6295.166/1800.553*100</f>
        <v>349.62403217233816</v>
      </c>
      <c r="F298" s="76"/>
      <c r="G298" s="137"/>
      <c r="H298" s="78">
        <v>146.46719999999999</v>
      </c>
      <c r="I298" s="78">
        <v>154.30350000000001</v>
      </c>
      <c r="J298" s="79">
        <f t="shared" si="242"/>
        <v>243.58859148806081</v>
      </c>
      <c r="K298" s="80">
        <v>482918.99</v>
      </c>
      <c r="L298" s="81">
        <f t="shared" si="338"/>
        <v>221.42591990930239</v>
      </c>
      <c r="M298" s="151"/>
      <c r="N298" s="64"/>
      <c r="O298" s="39"/>
      <c r="P298" s="39"/>
      <c r="Q298" s="39"/>
      <c r="R298" s="39"/>
      <c r="S298" s="39"/>
      <c r="T298" s="39"/>
      <c r="U298" s="39"/>
      <c r="V298" s="39"/>
      <c r="W298" s="39"/>
      <c r="IH298" s="41"/>
      <c r="II298" s="41"/>
      <c r="IJ298" s="41"/>
      <c r="IK298" s="41"/>
      <c r="IL298" s="41"/>
      <c r="IM298" s="41"/>
    </row>
    <row r="299" spans="1:247" s="40" customFormat="1" ht="20.25" customHeight="1" x14ac:dyDescent="0.25">
      <c r="A299" s="75">
        <v>42459</v>
      </c>
      <c r="B299" s="144">
        <v>459.94159999999999</v>
      </c>
      <c r="C299" s="144">
        <f t="shared" si="366"/>
        <v>458.5617752</v>
      </c>
      <c r="D299" s="144">
        <f t="shared" si="367"/>
        <v>461.32142479999993</v>
      </c>
      <c r="E299" s="78">
        <f>6366.363/1800.553*100</f>
        <v>353.57820625107956</v>
      </c>
      <c r="F299" s="76"/>
      <c r="G299" s="137"/>
      <c r="H299" s="78">
        <v>146.17439999999999</v>
      </c>
      <c r="I299" s="78">
        <v>154.29750000000001</v>
      </c>
      <c r="J299" s="79">
        <f t="shared" si="242"/>
        <v>244.71184596878282</v>
      </c>
      <c r="K299" s="80">
        <v>484744.89</v>
      </c>
      <c r="L299" s="81">
        <f t="shared" si="338"/>
        <v>222.954340298424</v>
      </c>
      <c r="M299" s="151"/>
      <c r="N299" s="64"/>
      <c r="O299" s="39"/>
      <c r="P299" s="39"/>
      <c r="Q299" s="39"/>
      <c r="R299" s="39"/>
      <c r="S299" s="39"/>
      <c r="T299" s="39"/>
      <c r="U299" s="39"/>
      <c r="V299" s="39"/>
      <c r="W299" s="39"/>
      <c r="IH299" s="41"/>
      <c r="II299" s="41"/>
      <c r="IJ299" s="41"/>
      <c r="IK299" s="41"/>
      <c r="IL299" s="41"/>
      <c r="IM299" s="41"/>
    </row>
    <row r="300" spans="1:247" s="40" customFormat="1" ht="20.25" customHeight="1" x14ac:dyDescent="0.25">
      <c r="A300" s="75">
        <v>42452</v>
      </c>
      <c r="B300" s="144">
        <v>458.23</v>
      </c>
      <c r="C300" s="144">
        <f t="shared" si="366"/>
        <v>456.85531000000003</v>
      </c>
      <c r="D300" s="144">
        <f t="shared" si="367"/>
        <v>459.60468999999995</v>
      </c>
      <c r="E300" s="78">
        <f>6276.043/1800.553*100</f>
        <v>348.56196957268122</v>
      </c>
      <c r="F300" s="76"/>
      <c r="G300" s="137"/>
      <c r="H300" s="78">
        <v>145.1054</v>
      </c>
      <c r="I300" s="78">
        <v>154.29050000000001</v>
      </c>
      <c r="J300" s="79">
        <f t="shared" si="242"/>
        <v>242.07824141753116</v>
      </c>
      <c r="K300" s="80">
        <v>484744.89</v>
      </c>
      <c r="L300" s="81">
        <f t="shared" si="338"/>
        <v>222.12465094469999</v>
      </c>
      <c r="M300" s="151"/>
      <c r="N300" s="64"/>
      <c r="O300" s="39"/>
      <c r="P300" s="39"/>
      <c r="Q300" s="39"/>
      <c r="R300" s="39"/>
      <c r="S300" s="39"/>
      <c r="T300" s="39"/>
      <c r="U300" s="39"/>
      <c r="V300" s="39"/>
      <c r="W300" s="39"/>
      <c r="IH300" s="41"/>
      <c r="II300" s="41"/>
      <c r="IJ300" s="41"/>
      <c r="IK300" s="41"/>
      <c r="IL300" s="41"/>
      <c r="IM300" s="41"/>
    </row>
    <row r="301" spans="1:247" s="40" customFormat="1" ht="20.25" customHeight="1" x14ac:dyDescent="0.25">
      <c r="A301" s="75">
        <v>42445</v>
      </c>
      <c r="B301" s="144">
        <v>461.60160000000002</v>
      </c>
      <c r="C301" s="144">
        <f t="shared" ref="C301:C307" si="368">0.997*B301</f>
        <v>460.21679520000004</v>
      </c>
      <c r="D301" s="144">
        <f t="shared" si="367"/>
        <v>462.98640479999995</v>
      </c>
      <c r="E301" s="78">
        <f>6234.751/1800.553*100</f>
        <v>346.2686741240052</v>
      </c>
      <c r="F301" s="76"/>
      <c r="G301" s="137"/>
      <c r="H301" s="78">
        <v>145.38149999999999</v>
      </c>
      <c r="I301" s="78">
        <v>154.28270000000001</v>
      </c>
      <c r="J301" s="79">
        <f t="shared" si="242"/>
        <v>241.50783161239085</v>
      </c>
      <c r="K301" s="80">
        <v>485429.3</v>
      </c>
      <c r="L301" s="81">
        <f t="shared" si="338"/>
        <v>224.07494156688003</v>
      </c>
      <c r="M301" s="151"/>
      <c r="N301" s="64"/>
      <c r="O301" s="39"/>
      <c r="P301" s="39"/>
      <c r="Q301" s="39"/>
      <c r="R301" s="39"/>
      <c r="S301" s="39"/>
      <c r="T301" s="39"/>
      <c r="U301" s="39"/>
      <c r="V301" s="39"/>
      <c r="W301" s="39"/>
      <c r="IH301" s="41"/>
      <c r="II301" s="41"/>
      <c r="IJ301" s="41"/>
      <c r="IK301" s="41"/>
      <c r="IL301" s="41"/>
      <c r="IM301" s="41"/>
    </row>
    <row r="302" spans="1:247" s="40" customFormat="1" ht="20.25" customHeight="1" x14ac:dyDescent="0.25">
      <c r="A302" s="75">
        <v>42438</v>
      </c>
      <c r="B302" s="144">
        <v>459.13389999999998</v>
      </c>
      <c r="C302" s="144">
        <f t="shared" si="368"/>
        <v>457.75649829999998</v>
      </c>
      <c r="D302" s="144">
        <f t="shared" si="367"/>
        <v>460.51130169999993</v>
      </c>
      <c r="E302" s="78">
        <f>6143.436/1800.553*100</f>
        <v>341.19717664517509</v>
      </c>
      <c r="F302" s="76"/>
      <c r="G302" s="137"/>
      <c r="H302" s="78">
        <v>144.2345</v>
      </c>
      <c r="I302" s="78">
        <v>154.2747</v>
      </c>
      <c r="J302" s="79">
        <f t="shared" si="242"/>
        <v>238.78376734738401</v>
      </c>
      <c r="K302" s="80">
        <v>486306.92</v>
      </c>
      <c r="L302" s="81">
        <f t="shared" si="338"/>
        <v>223.27999277658799</v>
      </c>
      <c r="M302" s="151"/>
      <c r="N302" s="64"/>
      <c r="O302" s="39"/>
      <c r="P302" s="39"/>
      <c r="Q302" s="39"/>
      <c r="R302" s="39"/>
      <c r="S302" s="39"/>
      <c r="T302" s="39"/>
      <c r="U302" s="39"/>
      <c r="V302" s="39"/>
      <c r="W302" s="39"/>
      <c r="IH302" s="41"/>
      <c r="II302" s="41"/>
      <c r="IJ302" s="41"/>
      <c r="IK302" s="41"/>
      <c r="IL302" s="41"/>
      <c r="IM302" s="41"/>
    </row>
    <row r="303" spans="1:247" s="40" customFormat="1" ht="20.25" customHeight="1" x14ac:dyDescent="0.25">
      <c r="A303" s="75">
        <v>42431</v>
      </c>
      <c r="B303" s="144">
        <v>458.84656999999999</v>
      </c>
      <c r="C303" s="144">
        <f t="shared" si="368"/>
        <v>457.47003029000001</v>
      </c>
      <c r="D303" s="144">
        <f t="shared" ref="D303:D308" si="369">1.003*B303</f>
        <v>460.22310970999996</v>
      </c>
      <c r="E303" s="78">
        <f>6098.991/1800.553*100</f>
        <v>338.72876832839688</v>
      </c>
      <c r="F303" s="76"/>
      <c r="G303" s="137"/>
      <c r="H303" s="78">
        <v>143.43879999999999</v>
      </c>
      <c r="I303" s="78">
        <v>154.26669999999999</v>
      </c>
      <c r="J303" s="79">
        <f t="shared" si="242"/>
        <v>237.26119293060773</v>
      </c>
      <c r="K303" s="80">
        <v>488204</v>
      </c>
      <c r="L303" s="81">
        <f t="shared" si="338"/>
        <v>224.01073086028001</v>
      </c>
      <c r="M303" s="151"/>
      <c r="N303" s="64"/>
      <c r="O303" s="39"/>
      <c r="P303" s="39"/>
      <c r="Q303" s="39"/>
      <c r="R303" s="39"/>
      <c r="S303" s="39"/>
      <c r="T303" s="39"/>
      <c r="U303" s="39"/>
      <c r="V303" s="39"/>
      <c r="W303" s="39"/>
      <c r="IH303" s="41"/>
      <c r="II303" s="41"/>
      <c r="IJ303" s="41"/>
      <c r="IK303" s="41"/>
      <c r="IL303" s="41"/>
      <c r="IM303" s="41"/>
    </row>
    <row r="304" spans="1:247" s="28" customFormat="1" ht="20.25" customHeight="1" x14ac:dyDescent="0.25">
      <c r="A304" s="75">
        <v>42424</v>
      </c>
      <c r="B304" s="144">
        <v>457.22205200000002</v>
      </c>
      <c r="C304" s="144">
        <f t="shared" si="368"/>
        <v>455.85038584400002</v>
      </c>
      <c r="D304" s="144">
        <f t="shared" si="369"/>
        <v>458.59371815599997</v>
      </c>
      <c r="E304" s="78">
        <f>5888.987/1800.553*100</f>
        <v>327.06546266619199</v>
      </c>
      <c r="F304" s="76"/>
      <c r="G304" s="137"/>
      <c r="H304" s="78">
        <v>143.66</v>
      </c>
      <c r="I304" s="78">
        <v>154.25880000000001</v>
      </c>
      <c r="J304" s="79">
        <f t="shared" si="242"/>
        <v>233.28132994303866</v>
      </c>
      <c r="K304" s="80">
        <v>488490</v>
      </c>
      <c r="L304" s="81">
        <f t="shared" si="338"/>
        <v>223.34840018148003</v>
      </c>
      <c r="M304" s="152"/>
      <c r="N304" s="66"/>
      <c r="O304" s="27"/>
      <c r="P304" s="27"/>
      <c r="Q304" s="27"/>
      <c r="R304" s="27"/>
      <c r="S304" s="27"/>
      <c r="T304" s="27"/>
      <c r="U304" s="27"/>
      <c r="V304" s="27"/>
      <c r="W304" s="27"/>
      <c r="IH304" s="32"/>
      <c r="II304" s="32"/>
      <c r="IJ304" s="32"/>
      <c r="IK304" s="32"/>
      <c r="IL304" s="32"/>
      <c r="IM304" s="32"/>
    </row>
    <row r="305" spans="1:247" s="28" customFormat="1" ht="20.25" customHeight="1" x14ac:dyDescent="0.25">
      <c r="A305" s="75">
        <v>42417</v>
      </c>
      <c r="B305" s="144">
        <v>454.46912700000001</v>
      </c>
      <c r="C305" s="144">
        <f t="shared" si="368"/>
        <v>453.10571961900001</v>
      </c>
      <c r="D305" s="144">
        <f t="shared" si="369"/>
        <v>455.83253438099996</v>
      </c>
      <c r="E305" s="78">
        <f>5922.479/1800.553*100</f>
        <v>328.92555787027652</v>
      </c>
      <c r="F305" s="76"/>
      <c r="G305" s="137"/>
      <c r="H305" s="78">
        <v>144.071</v>
      </c>
      <c r="I305" s="78">
        <v>154.25</v>
      </c>
      <c r="J305" s="79">
        <f t="shared" si="242"/>
        <v>234.27792768621001</v>
      </c>
      <c r="K305" s="80">
        <v>490433</v>
      </c>
      <c r="L305" s="81">
        <f t="shared" si="338"/>
        <v>222.88665736199101</v>
      </c>
      <c r="M305" s="152"/>
      <c r="N305" s="66"/>
      <c r="O305" s="27"/>
      <c r="P305" s="27"/>
      <c r="Q305" s="27"/>
      <c r="R305" s="27"/>
      <c r="S305" s="27"/>
      <c r="T305" s="27"/>
      <c r="U305" s="27"/>
      <c r="V305" s="27"/>
      <c r="W305" s="27"/>
      <c r="IH305" s="32"/>
      <c r="II305" s="32"/>
      <c r="IJ305" s="32"/>
      <c r="IK305" s="32"/>
      <c r="IL305" s="32"/>
      <c r="IM305" s="32"/>
    </row>
    <row r="306" spans="1:247" s="28" customFormat="1" ht="19.5" customHeight="1" x14ac:dyDescent="0.25">
      <c r="A306" s="75">
        <v>42410</v>
      </c>
      <c r="B306" s="144">
        <v>446.9151</v>
      </c>
      <c r="C306" s="144">
        <f t="shared" si="368"/>
        <v>445.57435470000001</v>
      </c>
      <c r="D306" s="144">
        <f t="shared" si="369"/>
        <v>448.25584529999992</v>
      </c>
      <c r="E306" s="78">
        <f>5698.0765/1800.553*100</f>
        <v>316.46258121810354</v>
      </c>
      <c r="F306" s="76"/>
      <c r="G306" s="137"/>
      <c r="H306" s="78">
        <v>144.95240000000001</v>
      </c>
      <c r="I306" s="78">
        <v>154.24289999999999</v>
      </c>
      <c r="J306" s="79">
        <f t="shared" si="242"/>
        <v>230.44090995006889</v>
      </c>
      <c r="K306" s="80">
        <v>490952.8</v>
      </c>
      <c r="L306" s="81">
        <f t="shared" si="338"/>
        <v>219.41421970727998</v>
      </c>
      <c r="M306" s="152"/>
      <c r="N306" s="66"/>
      <c r="O306" s="27"/>
      <c r="P306" s="27"/>
      <c r="Q306" s="27"/>
      <c r="R306" s="27"/>
      <c r="S306" s="27"/>
      <c r="T306" s="27"/>
      <c r="U306" s="27"/>
      <c r="V306" s="27"/>
      <c r="W306" s="27"/>
      <c r="IH306" s="32"/>
      <c r="II306" s="32"/>
      <c r="IJ306" s="32"/>
      <c r="IK306" s="32"/>
      <c r="IL306" s="32"/>
      <c r="IM306" s="32"/>
    </row>
    <row r="307" spans="1:247" s="40" customFormat="1" ht="20.25" customHeight="1" x14ac:dyDescent="0.25">
      <c r="A307" s="75">
        <v>42403</v>
      </c>
      <c r="B307" s="144">
        <v>446.04559999999998</v>
      </c>
      <c r="C307" s="144">
        <f t="shared" si="368"/>
        <v>444.70746319999995</v>
      </c>
      <c r="D307" s="144">
        <f t="shared" si="369"/>
        <v>447.38373679999995</v>
      </c>
      <c r="E307" s="78">
        <f>5901.895/1800.553*100</f>
        <v>327.78235353249812</v>
      </c>
      <c r="F307" s="76"/>
      <c r="G307" s="137"/>
      <c r="H307" s="78">
        <v>143.58430000000001</v>
      </c>
      <c r="I307" s="78">
        <v>154.23519999999999</v>
      </c>
      <c r="J307" s="79">
        <f t="shared" si="242"/>
        <v>233.35861795090011</v>
      </c>
      <c r="K307" s="80">
        <v>491031.66</v>
      </c>
      <c r="L307" s="81">
        <f t="shared" si="338"/>
        <v>219.02251140369597</v>
      </c>
      <c r="M307" s="151"/>
      <c r="N307" s="64"/>
      <c r="O307" s="39"/>
      <c r="P307" s="39"/>
      <c r="Q307" s="39"/>
      <c r="R307" s="39"/>
      <c r="S307" s="39"/>
      <c r="T307" s="39"/>
      <c r="U307" s="39"/>
      <c r="V307" s="39"/>
      <c r="W307" s="39"/>
      <c r="IH307" s="41"/>
      <c r="II307" s="41"/>
      <c r="IJ307" s="41"/>
      <c r="IK307" s="41"/>
      <c r="IL307" s="41"/>
      <c r="IM307" s="41"/>
    </row>
    <row r="308" spans="1:247" s="40" customFormat="1" ht="20.25" customHeight="1" x14ac:dyDescent="0.25">
      <c r="A308" s="75">
        <v>42396</v>
      </c>
      <c r="B308" s="144">
        <v>444.90589999999997</v>
      </c>
      <c r="C308" s="144">
        <f t="shared" ref="C308:C314" si="370">0.997*B308</f>
        <v>443.57118229999998</v>
      </c>
      <c r="D308" s="144">
        <f t="shared" si="369"/>
        <v>446.24061769999992</v>
      </c>
      <c r="E308" s="78">
        <f>5863.248/1800.553*100</f>
        <v>325.63595739753282</v>
      </c>
      <c r="F308" s="76"/>
      <c r="G308" s="137"/>
      <c r="H308" s="78">
        <v>142.14259999999999</v>
      </c>
      <c r="I308" s="78">
        <v>154.2269</v>
      </c>
      <c r="J308" s="79">
        <f t="shared" si="242"/>
        <v>231.42230415107446</v>
      </c>
      <c r="K308" s="80">
        <v>491041.18</v>
      </c>
      <c r="L308" s="81">
        <f t="shared" si="338"/>
        <v>218.46711812496198</v>
      </c>
      <c r="M308" s="151"/>
      <c r="N308" s="64"/>
      <c r="O308" s="39"/>
      <c r="P308" s="39"/>
      <c r="Q308" s="39"/>
      <c r="R308" s="39"/>
      <c r="S308" s="39"/>
      <c r="T308" s="39"/>
      <c r="U308" s="39"/>
      <c r="V308" s="39"/>
      <c r="W308" s="39"/>
      <c r="IH308" s="41"/>
      <c r="II308" s="41"/>
      <c r="IJ308" s="41"/>
      <c r="IK308" s="41"/>
      <c r="IL308" s="41"/>
      <c r="IM308" s="41"/>
    </row>
    <row r="309" spans="1:247" s="40" customFormat="1" ht="20.25" customHeight="1" x14ac:dyDescent="0.25">
      <c r="A309" s="75">
        <v>42389</v>
      </c>
      <c r="B309" s="144">
        <v>439.37110000000001</v>
      </c>
      <c r="C309" s="144">
        <f t="shared" si="370"/>
        <v>438.05298670000002</v>
      </c>
      <c r="D309" s="144">
        <f t="shared" ref="D309:D314" si="371">1.003*B309</f>
        <v>440.68921329999995</v>
      </c>
      <c r="E309" s="78">
        <f>5709.872/1800.553*100</f>
        <v>317.11768551106246</v>
      </c>
      <c r="F309" s="76"/>
      <c r="G309" s="137"/>
      <c r="H309" s="78">
        <v>142.15360000000001</v>
      </c>
      <c r="I309" s="78">
        <v>154.21600000000001</v>
      </c>
      <c r="J309" s="79">
        <f t="shared" si="242"/>
        <v>228.36403396570626</v>
      </c>
      <c r="K309" s="80">
        <v>504875.9</v>
      </c>
      <c r="L309" s="81">
        <f t="shared" si="338"/>
        <v>221.82787954649001</v>
      </c>
      <c r="M309" s="151"/>
      <c r="N309" s="64"/>
      <c r="O309" s="39"/>
      <c r="P309" s="39"/>
      <c r="Q309" s="39"/>
      <c r="R309" s="39"/>
      <c r="S309" s="39"/>
      <c r="T309" s="39"/>
      <c r="U309" s="39"/>
      <c r="V309" s="39"/>
      <c r="W309" s="39"/>
      <c r="IH309" s="41"/>
      <c r="II309" s="41"/>
      <c r="IJ309" s="41"/>
      <c r="IK309" s="41"/>
      <c r="IL309" s="41"/>
      <c r="IM309" s="41"/>
    </row>
    <row r="310" spans="1:247" s="40" customFormat="1" ht="20.25" customHeight="1" x14ac:dyDescent="0.25">
      <c r="A310" s="75">
        <v>42382</v>
      </c>
      <c r="B310" s="144">
        <v>442.61680000000001</v>
      </c>
      <c r="C310" s="144">
        <f t="shared" si="370"/>
        <v>441.28894960000002</v>
      </c>
      <c r="D310" s="144">
        <f t="shared" si="371"/>
        <v>443.94465039999994</v>
      </c>
      <c r="E310" s="78">
        <f>5910.206/1800.553*100</f>
        <v>328.2439339469596</v>
      </c>
      <c r="F310" s="76"/>
      <c r="G310" s="137"/>
      <c r="H310" s="78">
        <v>142.2944</v>
      </c>
      <c r="I310" s="78">
        <v>154.2089</v>
      </c>
      <c r="J310" s="79">
        <f t="shared" si="242"/>
        <v>232.41807671004025</v>
      </c>
      <c r="K310" s="80">
        <v>504076.9</v>
      </c>
      <c r="L310" s="81">
        <f t="shared" si="338"/>
        <v>223.11290443192001</v>
      </c>
      <c r="M310" s="151"/>
      <c r="N310" s="64"/>
      <c r="O310" s="39"/>
      <c r="P310" s="39"/>
      <c r="Q310" s="39"/>
      <c r="R310" s="39"/>
      <c r="S310" s="39"/>
      <c r="T310" s="39"/>
      <c r="U310" s="39"/>
      <c r="V310" s="39"/>
      <c r="W310" s="39"/>
      <c r="IH310" s="41"/>
      <c r="II310" s="41"/>
      <c r="IJ310" s="41"/>
      <c r="IK310" s="41"/>
      <c r="IL310" s="41"/>
      <c r="IM310" s="41"/>
    </row>
    <row r="311" spans="1:247" s="40" customFormat="1" ht="20.25" customHeight="1" x14ac:dyDescent="0.25">
      <c r="A311" s="75">
        <v>42375</v>
      </c>
      <c r="B311" s="144">
        <v>445.45229999999998</v>
      </c>
      <c r="C311" s="144">
        <f t="shared" si="370"/>
        <v>444.11594309999998</v>
      </c>
      <c r="D311" s="144">
        <f t="shared" si="371"/>
        <v>446.78865689999992</v>
      </c>
      <c r="E311" s="78">
        <f>6161.512/1800.553*100</f>
        <v>342.2010904427695</v>
      </c>
      <c r="F311" s="76"/>
      <c r="G311" s="137"/>
      <c r="H311" s="78">
        <v>142.27539999999999</v>
      </c>
      <c r="I311" s="78">
        <v>154.20050000000001</v>
      </c>
      <c r="J311" s="79">
        <f t="shared" si="242"/>
        <v>237.24032722091806</v>
      </c>
      <c r="K311" s="80">
        <v>504178.93</v>
      </c>
      <c r="L311" s="81">
        <f t="shared" si="338"/>
        <v>224.587663980039</v>
      </c>
      <c r="M311" s="151"/>
      <c r="N311" s="64"/>
      <c r="O311" s="39"/>
      <c r="P311" s="39"/>
      <c r="Q311" s="39"/>
      <c r="R311" s="39"/>
      <c r="S311" s="39"/>
      <c r="T311" s="39"/>
      <c r="U311" s="39"/>
      <c r="V311" s="39"/>
      <c r="W311" s="39"/>
      <c r="IH311" s="41"/>
      <c r="II311" s="41"/>
      <c r="IJ311" s="41"/>
      <c r="IK311" s="41"/>
      <c r="IL311" s="41"/>
      <c r="IM311" s="41"/>
    </row>
    <row r="312" spans="1:247" s="40" customFormat="1" ht="20.25" customHeight="1" x14ac:dyDescent="0.25">
      <c r="A312" s="75">
        <v>42369</v>
      </c>
      <c r="B312" s="144">
        <v>444.15989999999999</v>
      </c>
      <c r="C312" s="144">
        <f t="shared" si="370"/>
        <v>442.82742029999997</v>
      </c>
      <c r="D312" s="144">
        <f t="shared" si="371"/>
        <v>445.49237969999996</v>
      </c>
      <c r="E312" s="78">
        <f>6360.575/1800.553*100</f>
        <v>353.25674945419541</v>
      </c>
      <c r="F312" s="76"/>
      <c r="G312" s="137"/>
      <c r="H312" s="78">
        <v>142.75049999999999</v>
      </c>
      <c r="I312" s="78">
        <v>154.19329999999999</v>
      </c>
      <c r="J312" s="79">
        <f t="shared" si="242"/>
        <v>241.41985644239526</v>
      </c>
      <c r="K312" s="80">
        <v>504178.93</v>
      </c>
      <c r="L312" s="81">
        <f t="shared" si="338"/>
        <v>223.936063130907</v>
      </c>
      <c r="M312" s="151"/>
      <c r="N312" s="64"/>
      <c r="O312" s="39"/>
      <c r="P312" s="39"/>
      <c r="Q312" s="39"/>
      <c r="R312" s="39"/>
      <c r="S312" s="39"/>
      <c r="T312" s="39"/>
      <c r="U312" s="39"/>
      <c r="V312" s="39"/>
      <c r="W312" s="39"/>
      <c r="IH312" s="41"/>
      <c r="II312" s="41"/>
      <c r="IJ312" s="41"/>
      <c r="IK312" s="41"/>
      <c r="IL312" s="41"/>
      <c r="IM312" s="41"/>
    </row>
    <row r="313" spans="1:247" s="40" customFormat="1" ht="20.25" customHeight="1" x14ac:dyDescent="0.25">
      <c r="A313" s="87">
        <v>42368</v>
      </c>
      <c r="B313" s="153">
        <v>444.53440000000001</v>
      </c>
      <c r="C313" s="153">
        <f t="shared" si="370"/>
        <v>443.20079679999998</v>
      </c>
      <c r="D313" s="153">
        <f t="shared" si="371"/>
        <v>445.86800319999998</v>
      </c>
      <c r="E313" s="154">
        <f>6412.578/1800.553*100</f>
        <v>356.14491770028434</v>
      </c>
      <c r="F313" s="88"/>
      <c r="G313" s="77"/>
      <c r="H313" s="154">
        <v>143.09889999999999</v>
      </c>
      <c r="I313" s="154">
        <v>154.19200000000001</v>
      </c>
      <c r="J313" s="155">
        <f t="shared" si="242"/>
        <v>242.69939322139834</v>
      </c>
      <c r="K313" s="156">
        <v>505520.24</v>
      </c>
      <c r="L313" s="81">
        <f t="shared" si="338"/>
        <v>224.72113657625601</v>
      </c>
      <c r="M313" s="151"/>
      <c r="N313" s="64"/>
      <c r="O313" s="39"/>
      <c r="P313" s="39"/>
      <c r="Q313" s="39"/>
      <c r="R313" s="39"/>
      <c r="S313" s="39"/>
      <c r="T313" s="39"/>
      <c r="U313" s="39"/>
      <c r="V313" s="39"/>
      <c r="W313" s="39"/>
      <c r="IH313" s="41"/>
      <c r="II313" s="41"/>
      <c r="IJ313" s="41"/>
      <c r="IK313" s="41"/>
      <c r="IL313" s="41"/>
      <c r="IM313" s="41"/>
    </row>
    <row r="314" spans="1:247" s="40" customFormat="1" ht="20.25" customHeight="1" x14ac:dyDescent="0.25">
      <c r="A314" s="75">
        <v>42361</v>
      </c>
      <c r="B314" s="144">
        <v>444.59989999999999</v>
      </c>
      <c r="C314" s="144">
        <f t="shared" si="370"/>
        <v>443.26610030000001</v>
      </c>
      <c r="D314" s="144">
        <f t="shared" si="371"/>
        <v>445.93369969999992</v>
      </c>
      <c r="E314" s="78">
        <f>6391.137/1800.553*100</f>
        <v>354.95411687409364</v>
      </c>
      <c r="F314" s="76"/>
      <c r="G314" s="137"/>
      <c r="H314" s="78">
        <v>143.11000000000001</v>
      </c>
      <c r="I314" s="78">
        <v>154.18350000000001</v>
      </c>
      <c r="J314" s="79">
        <f t="shared" si="242"/>
        <v>242.30235181281546</v>
      </c>
      <c r="K314" s="80">
        <v>516398.41</v>
      </c>
      <c r="L314" s="81">
        <f t="shared" si="338"/>
        <v>229.59068144615898</v>
      </c>
      <c r="M314" s="151"/>
      <c r="N314" s="64"/>
      <c r="O314" s="39"/>
      <c r="P314" s="39"/>
      <c r="Q314" s="39"/>
      <c r="R314" s="39"/>
      <c r="S314" s="39"/>
      <c r="T314" s="39"/>
      <c r="U314" s="39"/>
      <c r="V314" s="39"/>
      <c r="W314" s="39"/>
      <c r="IH314" s="41"/>
      <c r="II314" s="41"/>
      <c r="IJ314" s="41"/>
      <c r="IK314" s="41"/>
      <c r="IL314" s="41"/>
      <c r="IM314" s="41"/>
    </row>
    <row r="315" spans="1:247" s="40" customFormat="1" ht="20.25" customHeight="1" x14ac:dyDescent="0.25">
      <c r="A315" s="75">
        <v>42354</v>
      </c>
      <c r="B315" s="144">
        <v>442.08640000000003</v>
      </c>
      <c r="C315" s="144">
        <f t="shared" ref="C315:C321" si="372">0.997*B315</f>
        <v>440.76014080000004</v>
      </c>
      <c r="D315" s="144">
        <f t="shared" ref="D315:D320" si="373">1.003*B315</f>
        <v>443.41265919999995</v>
      </c>
      <c r="E315" s="78">
        <f>6378.251/1800.553*100</f>
        <v>354.23844785463132</v>
      </c>
      <c r="F315" s="76"/>
      <c r="G315" s="137"/>
      <c r="H315" s="78">
        <v>143.0727</v>
      </c>
      <c r="I315" s="78">
        <v>154.1748</v>
      </c>
      <c r="J315" s="79">
        <f t="shared" si="242"/>
        <v>242.02631962414506</v>
      </c>
      <c r="K315" s="80">
        <v>525671.39</v>
      </c>
      <c r="L315" s="81">
        <f t="shared" si="338"/>
        <v>232.39217238809604</v>
      </c>
      <c r="M315" s="151"/>
      <c r="N315" s="64"/>
      <c r="O315" s="39"/>
      <c r="P315" s="39"/>
      <c r="Q315" s="39"/>
      <c r="R315" s="39"/>
      <c r="S315" s="39"/>
      <c r="T315" s="39"/>
      <c r="U315" s="39"/>
      <c r="V315" s="39"/>
      <c r="W315" s="39"/>
      <c r="IH315" s="41"/>
      <c r="II315" s="41"/>
      <c r="IJ315" s="41"/>
      <c r="IK315" s="41"/>
      <c r="IL315" s="41"/>
      <c r="IM315" s="41"/>
    </row>
    <row r="316" spans="1:247" s="40" customFormat="1" ht="20.25" customHeight="1" x14ac:dyDescent="0.25">
      <c r="A316" s="75">
        <v>42347</v>
      </c>
      <c r="B316" s="144">
        <v>443.60809999999998</v>
      </c>
      <c r="C316" s="144">
        <f t="shared" si="372"/>
        <v>442.27727569999996</v>
      </c>
      <c r="D316" s="144">
        <f t="shared" si="373"/>
        <v>444.93892429999994</v>
      </c>
      <c r="E316" s="78">
        <f>6359.674/1800.553*100</f>
        <v>353.20670927209579</v>
      </c>
      <c r="F316" s="76"/>
      <c r="G316" s="137"/>
      <c r="H316" s="78">
        <v>143.60810000000001</v>
      </c>
      <c r="I316" s="78">
        <v>154.16579999999999</v>
      </c>
      <c r="J316" s="79">
        <f t="shared" si="242"/>
        <v>242.12403365475143</v>
      </c>
      <c r="K316" s="80">
        <v>526478.11</v>
      </c>
      <c r="L316" s="81">
        <f t="shared" si="338"/>
        <v>233.54995406869099</v>
      </c>
      <c r="M316" s="151"/>
      <c r="N316" s="64"/>
      <c r="O316" s="39"/>
      <c r="P316" s="39"/>
      <c r="Q316" s="39"/>
      <c r="R316" s="39"/>
      <c r="S316" s="39"/>
      <c r="T316" s="39"/>
      <c r="U316" s="39"/>
      <c r="V316" s="39"/>
      <c r="W316" s="39"/>
      <c r="IH316" s="41"/>
      <c r="II316" s="41"/>
      <c r="IJ316" s="41"/>
      <c r="IK316" s="41"/>
      <c r="IL316" s="41"/>
      <c r="IM316" s="41"/>
    </row>
    <row r="317" spans="1:247" s="40" customFormat="1" ht="20.25" customHeight="1" x14ac:dyDescent="0.25">
      <c r="A317" s="75">
        <v>42340</v>
      </c>
      <c r="B317" s="144">
        <v>444.0926</v>
      </c>
      <c r="C317" s="144">
        <f t="shared" si="372"/>
        <v>442.76032220000002</v>
      </c>
      <c r="D317" s="144">
        <f t="shared" si="373"/>
        <v>445.42487779999993</v>
      </c>
      <c r="E317" s="78">
        <f>6480.028/1800.553*100</f>
        <v>359.89098904614303</v>
      </c>
      <c r="F317" s="76"/>
      <c r="G317" s="137"/>
      <c r="H317" s="78">
        <v>141.98439999999999</v>
      </c>
      <c r="I317" s="78">
        <v>154.15610000000001</v>
      </c>
      <c r="J317" s="79">
        <f t="shared" si="242"/>
        <v>242.99118469622235</v>
      </c>
      <c r="K317" s="80">
        <v>526478.11</v>
      </c>
      <c r="L317" s="81">
        <f t="shared" si="338"/>
        <v>233.80503271298599</v>
      </c>
      <c r="M317" s="151"/>
      <c r="N317" s="64"/>
      <c r="O317" s="39"/>
      <c r="P317" s="39"/>
      <c r="Q317" s="39"/>
      <c r="R317" s="39"/>
      <c r="S317" s="39"/>
      <c r="T317" s="39"/>
      <c r="U317" s="39"/>
      <c r="V317" s="39"/>
      <c r="W317" s="39"/>
      <c r="IH317" s="41"/>
      <c r="II317" s="41"/>
      <c r="IJ317" s="41"/>
      <c r="IK317" s="41"/>
      <c r="IL317" s="41"/>
      <c r="IM317" s="41"/>
    </row>
    <row r="318" spans="1:247" s="40" customFormat="1" ht="20.25" customHeight="1" x14ac:dyDescent="0.25">
      <c r="A318" s="75">
        <v>42333</v>
      </c>
      <c r="B318" s="144">
        <v>444.88490000000002</v>
      </c>
      <c r="C318" s="144">
        <f t="shared" si="372"/>
        <v>443.55024530000003</v>
      </c>
      <c r="D318" s="144">
        <f t="shared" si="373"/>
        <v>446.21955469999995</v>
      </c>
      <c r="E318" s="78">
        <f>6483.371/1800.553*100</f>
        <v>360.07665422789552</v>
      </c>
      <c r="F318" s="76"/>
      <c r="G318" s="137"/>
      <c r="H318" s="78">
        <v>142.26159999999999</v>
      </c>
      <c r="I318" s="78">
        <v>154.14859999999999</v>
      </c>
      <c r="J318" s="79">
        <f t="shared" si="242"/>
        <v>243.2909373568304</v>
      </c>
      <c r="K318" s="80">
        <v>423973.52</v>
      </c>
      <c r="L318" s="81">
        <f t="shared" si="338"/>
        <v>188.619417047848</v>
      </c>
      <c r="M318" s="151"/>
      <c r="N318" s="64"/>
      <c r="O318" s="39"/>
      <c r="P318" s="39"/>
      <c r="Q318" s="39"/>
      <c r="R318" s="39"/>
      <c r="S318" s="39"/>
      <c r="T318" s="39"/>
      <c r="U318" s="39"/>
      <c r="V318" s="39"/>
      <c r="W318" s="39"/>
      <c r="IH318" s="41"/>
      <c r="II318" s="41"/>
      <c r="IJ318" s="41"/>
      <c r="IK318" s="41"/>
      <c r="IL318" s="41"/>
      <c r="IM318" s="41"/>
    </row>
    <row r="319" spans="1:247" s="40" customFormat="1" ht="20.25" customHeight="1" x14ac:dyDescent="0.25">
      <c r="A319" s="75">
        <v>42326</v>
      </c>
      <c r="B319" s="144">
        <v>443.25080000000003</v>
      </c>
      <c r="C319" s="144">
        <f t="shared" si="372"/>
        <v>441.92104760000001</v>
      </c>
      <c r="D319" s="144">
        <f t="shared" si="373"/>
        <v>444.58055239999999</v>
      </c>
      <c r="E319" s="78">
        <f>6457.085/1800.553*100</f>
        <v>358.61676940362213</v>
      </c>
      <c r="F319" s="76"/>
      <c r="G319" s="137"/>
      <c r="H319" s="78">
        <v>142.11930000000001</v>
      </c>
      <c r="I319" s="78">
        <v>154.14150000000001</v>
      </c>
      <c r="J319" s="79">
        <f t="shared" si="242"/>
        <v>242.67549426642432</v>
      </c>
      <c r="K319" s="80">
        <v>424956.33</v>
      </c>
      <c r="L319" s="81">
        <f t="shared" si="338"/>
        <v>188.36223323756403</v>
      </c>
      <c r="M319" s="151"/>
      <c r="N319" s="64"/>
      <c r="O319" s="39"/>
      <c r="P319" s="39"/>
      <c r="Q319" s="39"/>
      <c r="R319" s="39"/>
      <c r="S319" s="39"/>
      <c r="T319" s="39"/>
      <c r="U319" s="39"/>
      <c r="V319" s="39"/>
      <c r="W319" s="39"/>
      <c r="IH319" s="41"/>
      <c r="II319" s="41"/>
      <c r="IJ319" s="41"/>
      <c r="IK319" s="41"/>
      <c r="IL319" s="41"/>
      <c r="IM319" s="41"/>
    </row>
    <row r="320" spans="1:247" s="40" customFormat="1" ht="20.25" customHeight="1" x14ac:dyDescent="0.25">
      <c r="A320" s="75">
        <v>42319</v>
      </c>
      <c r="B320" s="144">
        <v>447.00839999999999</v>
      </c>
      <c r="C320" s="144">
        <f t="shared" si="372"/>
        <v>445.6673748</v>
      </c>
      <c r="D320" s="144">
        <f t="shared" si="373"/>
        <v>448.34942519999993</v>
      </c>
      <c r="E320" s="78">
        <f>6454.241/1800.553*100</f>
        <v>358.45881792982487</v>
      </c>
      <c r="F320" s="76"/>
      <c r="G320" s="137"/>
      <c r="H320" s="78">
        <v>142.50450000000001</v>
      </c>
      <c r="I320" s="78">
        <v>154.13499999999999</v>
      </c>
      <c r="J320" s="79">
        <f t="shared" si="242"/>
        <v>242.95032356349083</v>
      </c>
      <c r="K320" s="80">
        <v>426820.85</v>
      </c>
      <c r="L320" s="81">
        <f t="shared" si="338"/>
        <v>190.79250524513998</v>
      </c>
      <c r="M320" s="151"/>
      <c r="N320" s="64"/>
      <c r="O320" s="39"/>
      <c r="P320" s="39"/>
      <c r="Q320" s="39"/>
      <c r="R320" s="39"/>
      <c r="S320" s="39"/>
      <c r="T320" s="39"/>
      <c r="U320" s="39"/>
      <c r="V320" s="39"/>
      <c r="W320" s="39"/>
      <c r="IH320" s="41"/>
      <c r="II320" s="41"/>
      <c r="IJ320" s="41"/>
      <c r="IK320" s="41"/>
      <c r="IL320" s="41"/>
      <c r="IM320" s="41"/>
    </row>
    <row r="321" spans="1:247" s="40" customFormat="1" ht="20.25" customHeight="1" x14ac:dyDescent="0.25">
      <c r="A321" s="75">
        <v>42312</v>
      </c>
      <c r="B321" s="144">
        <v>449.54930000000002</v>
      </c>
      <c r="C321" s="144">
        <f t="shared" si="372"/>
        <v>448.20065210000001</v>
      </c>
      <c r="D321" s="144">
        <f t="shared" ref="D321:D326" si="374">1.003*B321</f>
        <v>450.89794789999996</v>
      </c>
      <c r="E321" s="78">
        <f>6533.217/1800.553*100</f>
        <v>362.84502594480693</v>
      </c>
      <c r="F321" s="76"/>
      <c r="G321" s="137"/>
      <c r="H321" s="78">
        <v>143.46440000000001</v>
      </c>
      <c r="I321" s="78">
        <v>154.12569999999999</v>
      </c>
      <c r="J321" s="79">
        <f t="shared" si="242"/>
        <v>245.25315714638296</v>
      </c>
      <c r="K321" s="80">
        <v>426890.49</v>
      </c>
      <c r="L321" s="81">
        <f t="shared" si="338"/>
        <v>191.90832095615701</v>
      </c>
      <c r="M321" s="151"/>
      <c r="N321" s="64"/>
      <c r="O321" s="39"/>
      <c r="P321" s="39"/>
      <c r="Q321" s="39"/>
      <c r="R321" s="39"/>
      <c r="S321" s="39"/>
      <c r="T321" s="39"/>
      <c r="U321" s="39"/>
      <c r="V321" s="39"/>
      <c r="W321" s="39"/>
      <c r="IH321" s="41"/>
      <c r="II321" s="41"/>
      <c r="IJ321" s="41"/>
      <c r="IK321" s="41"/>
      <c r="IL321" s="41"/>
      <c r="IM321" s="41"/>
    </row>
    <row r="322" spans="1:247" s="40" customFormat="1" ht="20.25" customHeight="1" x14ac:dyDescent="0.25">
      <c r="A322" s="75">
        <v>42305</v>
      </c>
      <c r="B322" s="144">
        <v>451.68169999999998</v>
      </c>
      <c r="C322" s="144">
        <f t="shared" ref="C322:C328" si="375">0.997*B322</f>
        <v>450.32665489999999</v>
      </c>
      <c r="D322" s="144">
        <f t="shared" si="374"/>
        <v>453.03674509999991</v>
      </c>
      <c r="E322" s="78">
        <f>6531.636/1800.553*100</f>
        <v>362.75721958753786</v>
      </c>
      <c r="F322" s="76"/>
      <c r="G322" s="137"/>
      <c r="H322" s="78">
        <v>143.51840000000001</v>
      </c>
      <c r="I322" s="78">
        <v>154.11920000000001</v>
      </c>
      <c r="J322" s="79">
        <f t="shared" si="242"/>
        <v>245.26961543598594</v>
      </c>
      <c r="K322" s="80">
        <v>434566.1</v>
      </c>
      <c r="L322" s="81">
        <f t="shared" si="338"/>
        <v>196.28555481036997</v>
      </c>
      <c r="M322" s="151"/>
      <c r="N322" s="64"/>
      <c r="O322" s="39"/>
      <c r="P322" s="39"/>
      <c r="Q322" s="39"/>
      <c r="R322" s="39"/>
      <c r="S322" s="39"/>
      <c r="T322" s="39"/>
      <c r="U322" s="39"/>
      <c r="V322" s="39"/>
      <c r="W322" s="39"/>
      <c r="IH322" s="41"/>
      <c r="II322" s="41"/>
      <c r="IJ322" s="41"/>
      <c r="IK322" s="41"/>
      <c r="IL322" s="41"/>
      <c r="IM322" s="41"/>
    </row>
    <row r="323" spans="1:247" s="40" customFormat="1" ht="20.25" customHeight="1" x14ac:dyDescent="0.25">
      <c r="A323" s="75">
        <v>42298</v>
      </c>
      <c r="B323" s="144">
        <v>451.17380000000003</v>
      </c>
      <c r="C323" s="144">
        <f t="shared" si="375"/>
        <v>449.82027860000005</v>
      </c>
      <c r="D323" s="144">
        <f t="shared" si="374"/>
        <v>452.52732140000001</v>
      </c>
      <c r="E323" s="78">
        <f>6372.911/1800.553*100</f>
        <v>353.94187230256483</v>
      </c>
      <c r="F323" s="76"/>
      <c r="G323" s="137"/>
      <c r="H323" s="78">
        <v>145.26249999999999</v>
      </c>
      <c r="I323" s="78">
        <v>154.11359999999999</v>
      </c>
      <c r="J323" s="79">
        <f t="shared" si="242"/>
        <v>243.69780592487754</v>
      </c>
      <c r="K323" s="80">
        <v>434569.1</v>
      </c>
      <c r="L323" s="81">
        <f t="shared" si="338"/>
        <v>196.06619220958001</v>
      </c>
      <c r="M323" s="151"/>
      <c r="N323" s="64"/>
      <c r="O323" s="39"/>
      <c r="P323" s="39"/>
      <c r="Q323" s="39"/>
      <c r="R323" s="39"/>
      <c r="S323" s="39"/>
      <c r="T323" s="39"/>
      <c r="U323" s="39"/>
      <c r="V323" s="39"/>
      <c r="W323" s="39"/>
      <c r="IH323" s="41"/>
      <c r="II323" s="41"/>
      <c r="IJ323" s="41"/>
      <c r="IK323" s="41"/>
      <c r="IL323" s="41"/>
      <c r="IM323" s="41"/>
    </row>
    <row r="324" spans="1:247" s="40" customFormat="1" ht="20.25" customHeight="1" x14ac:dyDescent="0.25">
      <c r="A324" s="75">
        <v>42291</v>
      </c>
      <c r="B324" s="144">
        <v>449.92250000000001</v>
      </c>
      <c r="C324" s="144">
        <f t="shared" si="375"/>
        <v>448.57273250000003</v>
      </c>
      <c r="D324" s="144">
        <f t="shared" si="374"/>
        <v>451.27226749999994</v>
      </c>
      <c r="E324" s="78">
        <f>6296.449/1800.553*100</f>
        <v>349.69528805872415</v>
      </c>
      <c r="F324" s="76"/>
      <c r="G324" s="137"/>
      <c r="H324" s="78">
        <v>146.137</v>
      </c>
      <c r="I324" s="78">
        <v>154.10679999999999</v>
      </c>
      <c r="J324" s="79">
        <f t="shared" si="242"/>
        <v>242.94957475811162</v>
      </c>
      <c r="K324" s="80">
        <v>440252.96</v>
      </c>
      <c r="L324" s="81">
        <f t="shared" si="338"/>
        <v>198.07971239560001</v>
      </c>
      <c r="M324" s="151"/>
      <c r="N324" s="64"/>
      <c r="O324" s="39"/>
      <c r="P324" s="39"/>
      <c r="Q324" s="39"/>
      <c r="R324" s="39"/>
      <c r="S324" s="39"/>
      <c r="T324" s="39"/>
      <c r="U324" s="39"/>
      <c r="V324" s="39"/>
      <c r="W324" s="39"/>
      <c r="IH324" s="41"/>
      <c r="II324" s="41"/>
      <c r="IJ324" s="41"/>
      <c r="IK324" s="41"/>
      <c r="IL324" s="41"/>
      <c r="IM324" s="41"/>
    </row>
    <row r="325" spans="1:247" s="40" customFormat="1" ht="20.25" customHeight="1" x14ac:dyDescent="0.25">
      <c r="A325" s="75">
        <v>42284</v>
      </c>
      <c r="B325" s="144">
        <v>446.08589999999998</v>
      </c>
      <c r="C325" s="144">
        <f t="shared" si="375"/>
        <v>444.7476423</v>
      </c>
      <c r="D325" s="144">
        <f t="shared" si="374"/>
        <v>447.42415769999991</v>
      </c>
      <c r="E325" s="78">
        <f>6296.989/1800.553*100</f>
        <v>349.72527884488818</v>
      </c>
      <c r="F325" s="76"/>
      <c r="G325" s="137"/>
      <c r="H325" s="78">
        <v>144.6114</v>
      </c>
      <c r="I325" s="78">
        <v>154.10210000000001</v>
      </c>
      <c r="J325" s="79">
        <f t="shared" si="242"/>
        <v>241.68509079686243</v>
      </c>
      <c r="K325" s="80">
        <v>440473.61</v>
      </c>
      <c r="L325" s="81">
        <f t="shared" si="338"/>
        <v>196.48906674309899</v>
      </c>
      <c r="M325" s="151"/>
      <c r="N325" s="64"/>
      <c r="O325" s="39"/>
      <c r="P325" s="39"/>
      <c r="Q325" s="39"/>
      <c r="R325" s="39"/>
      <c r="S325" s="39"/>
      <c r="T325" s="39"/>
      <c r="U325" s="39"/>
      <c r="V325" s="39"/>
      <c r="W325" s="39"/>
      <c r="IH325" s="41"/>
      <c r="II325" s="41"/>
      <c r="IJ325" s="41"/>
      <c r="IK325" s="41"/>
      <c r="IL325" s="41"/>
      <c r="IM325" s="41"/>
    </row>
    <row r="326" spans="1:247" s="40" customFormat="1" ht="20.25" customHeight="1" x14ac:dyDescent="0.25">
      <c r="A326" s="75">
        <v>42277</v>
      </c>
      <c r="B326" s="144">
        <v>439.26459999999997</v>
      </c>
      <c r="C326" s="144">
        <f t="shared" si="375"/>
        <v>437.94680619999997</v>
      </c>
      <c r="D326" s="144">
        <f t="shared" si="374"/>
        <v>440.58239379999992</v>
      </c>
      <c r="E326" s="78">
        <f>6021.954/1800.553*100</f>
        <v>334.45024945114079</v>
      </c>
      <c r="F326" s="76"/>
      <c r="G326" s="137"/>
      <c r="H326" s="78">
        <v>144.0215</v>
      </c>
      <c r="I326" s="78">
        <v>154.09739999999999</v>
      </c>
      <c r="J326" s="79">
        <f t="shared" si="242"/>
        <v>235.81702365188141</v>
      </c>
      <c r="K326" s="80">
        <v>440514.39</v>
      </c>
      <c r="L326" s="81">
        <f t="shared" si="338"/>
        <v>193.50237731759398</v>
      </c>
      <c r="M326" s="151"/>
      <c r="N326" s="64"/>
      <c r="O326" s="39"/>
      <c r="P326" s="39"/>
      <c r="Q326" s="39"/>
      <c r="R326" s="39"/>
      <c r="S326" s="39"/>
      <c r="T326" s="39"/>
      <c r="U326" s="39"/>
      <c r="V326" s="39"/>
      <c r="W326" s="39"/>
      <c r="IH326" s="41"/>
      <c r="II326" s="41"/>
      <c r="IJ326" s="41"/>
      <c r="IK326" s="41"/>
      <c r="IL326" s="41"/>
      <c r="IM326" s="41"/>
    </row>
    <row r="327" spans="1:247" s="40" customFormat="1" ht="20.25" customHeight="1" x14ac:dyDescent="0.25">
      <c r="A327" s="75">
        <v>42270</v>
      </c>
      <c r="B327" s="144">
        <v>442.09190000000001</v>
      </c>
      <c r="C327" s="144">
        <f t="shared" si="375"/>
        <v>440.76562430000001</v>
      </c>
      <c r="D327" s="144">
        <f t="shared" ref="D327:D332" si="376">1.003*B327</f>
        <v>443.41817569999995</v>
      </c>
      <c r="E327" s="78">
        <f>6071.716/1800.553*100</f>
        <v>337.21395593464899</v>
      </c>
      <c r="F327" s="76"/>
      <c r="G327" s="137"/>
      <c r="H327" s="78">
        <v>144.0059</v>
      </c>
      <c r="I327" s="78">
        <v>154.0925</v>
      </c>
      <c r="J327" s="79">
        <f t="shared" si="242"/>
        <v>236.77446586362976</v>
      </c>
      <c r="K327" s="80">
        <v>440525.73</v>
      </c>
      <c r="L327" s="81">
        <f t="shared" si="338"/>
        <v>194.75285697458699</v>
      </c>
      <c r="M327" s="151"/>
      <c r="N327" s="64"/>
      <c r="O327" s="39"/>
      <c r="P327" s="39"/>
      <c r="Q327" s="39"/>
      <c r="R327" s="39"/>
      <c r="S327" s="39"/>
      <c r="T327" s="39"/>
      <c r="U327" s="39"/>
      <c r="V327" s="39"/>
      <c r="W327" s="39"/>
      <c r="IH327" s="41"/>
      <c r="II327" s="41"/>
      <c r="IJ327" s="41"/>
      <c r="IK327" s="41"/>
      <c r="IL327" s="41"/>
      <c r="IM327" s="41"/>
    </row>
    <row r="328" spans="1:247" s="40" customFormat="1" ht="20.25" customHeight="1" x14ac:dyDescent="0.25">
      <c r="A328" s="75">
        <v>42263</v>
      </c>
      <c r="B328" s="144">
        <v>442.834609</v>
      </c>
      <c r="C328" s="144">
        <f t="shared" si="375"/>
        <v>441.50610517299998</v>
      </c>
      <c r="D328" s="144">
        <f t="shared" si="376"/>
        <v>444.16311282699996</v>
      </c>
      <c r="E328" s="78">
        <f>6287.37/1800.553*100</f>
        <v>349.19105408171822</v>
      </c>
      <c r="F328" s="76"/>
      <c r="G328" s="137"/>
      <c r="H328" s="78">
        <v>144.96180000000001</v>
      </c>
      <c r="I328" s="78">
        <v>154.0872</v>
      </c>
      <c r="J328" s="79">
        <f t="shared" si="242"/>
        <v>241.71681416402072</v>
      </c>
      <c r="K328" s="80">
        <v>443296</v>
      </c>
      <c r="L328" s="81">
        <f t="shared" si="338"/>
        <v>196.30681083126399</v>
      </c>
      <c r="M328" s="151"/>
      <c r="N328" s="64"/>
      <c r="O328" s="39"/>
      <c r="P328" s="39"/>
      <c r="Q328" s="39"/>
      <c r="R328" s="39"/>
      <c r="S328" s="39"/>
      <c r="T328" s="39"/>
      <c r="U328" s="39"/>
      <c r="V328" s="39"/>
      <c r="W328" s="39"/>
      <c r="IH328" s="41"/>
      <c r="II328" s="41"/>
      <c r="IJ328" s="41"/>
      <c r="IK328" s="41"/>
      <c r="IL328" s="41"/>
      <c r="IM328" s="41"/>
    </row>
    <row r="329" spans="1:247" s="28" customFormat="1" ht="20.25" customHeight="1" x14ac:dyDescent="0.25">
      <c r="A329" s="75">
        <v>42256</v>
      </c>
      <c r="B329" s="144">
        <v>440.99009999999998</v>
      </c>
      <c r="C329" s="144">
        <f t="shared" ref="C329:C335" si="377">0.997*B329</f>
        <v>439.66712969999998</v>
      </c>
      <c r="D329" s="144">
        <f t="shared" si="376"/>
        <v>442.31307029999994</v>
      </c>
      <c r="E329" s="78">
        <f>6187.37/1800.553*100</f>
        <v>343.63720479208331</v>
      </c>
      <c r="F329" s="76"/>
      <c r="G329" s="137"/>
      <c r="H329" s="78">
        <v>144.27459999999999</v>
      </c>
      <c r="I329" s="78">
        <v>154.07990000000001</v>
      </c>
      <c r="J329" s="79">
        <f t="shared" si="242"/>
        <v>239.21402606485069</v>
      </c>
      <c r="K329" s="80">
        <v>484720.91</v>
      </c>
      <c r="L329" s="81">
        <f t="shared" si="338"/>
        <v>213.75712257299099</v>
      </c>
      <c r="M329" s="152"/>
      <c r="N329" s="66"/>
      <c r="O329" s="27"/>
      <c r="P329" s="27"/>
      <c r="Q329" s="27"/>
      <c r="R329" s="27"/>
      <c r="S329" s="27"/>
      <c r="T329" s="27"/>
      <c r="U329" s="27"/>
      <c r="V329" s="27"/>
      <c r="W329" s="27"/>
      <c r="IH329" s="32"/>
      <c r="II329" s="32"/>
      <c r="IJ329" s="32"/>
      <c r="IK329" s="32"/>
      <c r="IL329" s="32"/>
      <c r="IM329" s="32"/>
    </row>
    <row r="330" spans="1:247" s="40" customFormat="1" ht="20.25" customHeight="1" x14ac:dyDescent="0.25">
      <c r="A330" s="75">
        <v>42249</v>
      </c>
      <c r="B330" s="144">
        <v>439.08120000000002</v>
      </c>
      <c r="C330" s="144">
        <f t="shared" si="377"/>
        <v>437.76395640000004</v>
      </c>
      <c r="D330" s="144">
        <f t="shared" si="376"/>
        <v>440.39844359999995</v>
      </c>
      <c r="E330" s="78">
        <f>6137.652/1800.553*100</f>
        <v>340.8759420022626</v>
      </c>
      <c r="F330" s="76"/>
      <c r="G330" s="137"/>
      <c r="H330" s="78">
        <v>144.34479999999999</v>
      </c>
      <c r="I330" s="78">
        <v>154.07300000000001</v>
      </c>
      <c r="J330" s="79">
        <f t="shared" si="242"/>
        <v>238.30677354800514</v>
      </c>
      <c r="K330" s="80">
        <v>485021.01</v>
      </c>
      <c r="L330" s="81">
        <f t="shared" si="338"/>
        <v>212.96360709601203</v>
      </c>
      <c r="M330" s="151"/>
      <c r="N330" s="64"/>
      <c r="O330" s="39"/>
      <c r="P330" s="39"/>
      <c r="Q330" s="39"/>
      <c r="R330" s="39"/>
      <c r="S330" s="39"/>
      <c r="T330" s="39"/>
      <c r="U330" s="39"/>
      <c r="V330" s="39"/>
      <c r="W330" s="39"/>
      <c r="IH330" s="41"/>
      <c r="II330" s="41"/>
      <c r="IJ330" s="41"/>
      <c r="IK330" s="41"/>
      <c r="IL330" s="41"/>
      <c r="IM330" s="41"/>
    </row>
    <row r="331" spans="1:247" s="40" customFormat="1" ht="20.25" customHeight="1" x14ac:dyDescent="0.25">
      <c r="A331" s="75">
        <v>42242</v>
      </c>
      <c r="B331" s="144">
        <v>434.16039999999998</v>
      </c>
      <c r="C331" s="144">
        <f t="shared" si="377"/>
        <v>432.85791879999999</v>
      </c>
      <c r="D331" s="144">
        <f t="shared" si="376"/>
        <v>435.46288119999991</v>
      </c>
      <c r="E331" s="78">
        <f>6138.056/1800.553*100</f>
        <v>340.89837955339272</v>
      </c>
      <c r="F331" s="76"/>
      <c r="G331" s="137"/>
      <c r="H331" s="78">
        <v>145.006</v>
      </c>
      <c r="I331" s="78">
        <v>154.06620000000001</v>
      </c>
      <c r="J331" s="79">
        <f t="shared" si="242"/>
        <v>238.85921073771124</v>
      </c>
      <c r="K331" s="80">
        <v>491416.26</v>
      </c>
      <c r="L331" s="81">
        <f t="shared" si="338"/>
        <v>213.35348000810399</v>
      </c>
      <c r="M331" s="151"/>
      <c r="N331" s="64"/>
      <c r="O331" s="39"/>
      <c r="P331" s="39"/>
      <c r="Q331" s="39"/>
      <c r="R331" s="39"/>
      <c r="S331" s="39"/>
      <c r="T331" s="39"/>
      <c r="U331" s="39"/>
      <c r="V331" s="39"/>
      <c r="W331" s="39"/>
      <c r="IH331" s="41"/>
      <c r="II331" s="41"/>
      <c r="IJ331" s="41"/>
      <c r="IK331" s="41"/>
      <c r="IL331" s="41"/>
      <c r="IM331" s="41"/>
    </row>
    <row r="332" spans="1:247" s="40" customFormat="1" ht="20.25" customHeight="1" x14ac:dyDescent="0.25">
      <c r="A332" s="75">
        <v>42235</v>
      </c>
      <c r="B332" s="144">
        <v>447.23140000000001</v>
      </c>
      <c r="C332" s="144">
        <f t="shared" si="377"/>
        <v>445.8897058</v>
      </c>
      <c r="D332" s="144">
        <f t="shared" si="376"/>
        <v>448.57309419999996</v>
      </c>
      <c r="E332" s="78">
        <f>6551.507/1800.553*100</f>
        <v>363.86082497988116</v>
      </c>
      <c r="F332" s="76"/>
      <c r="G332" s="137"/>
      <c r="H332" s="78">
        <v>144.334</v>
      </c>
      <c r="I332" s="78">
        <v>154.06020000000001</v>
      </c>
      <c r="J332" s="79">
        <f t="shared" si="242"/>
        <v>246.05026379315083</v>
      </c>
      <c r="K332" s="80">
        <v>491196.09</v>
      </c>
      <c r="L332" s="81">
        <f t="shared" si="338"/>
        <v>219.67831500522601</v>
      </c>
      <c r="M332" s="151"/>
      <c r="N332" s="64"/>
      <c r="O332" s="39"/>
      <c r="P332" s="39"/>
      <c r="Q332" s="39"/>
      <c r="R332" s="39"/>
      <c r="S332" s="39"/>
      <c r="T332" s="39"/>
      <c r="U332" s="39"/>
      <c r="V332" s="39"/>
      <c r="W332" s="39"/>
      <c r="IH332" s="41"/>
      <c r="II332" s="41"/>
      <c r="IJ332" s="41"/>
      <c r="IK332" s="41"/>
      <c r="IL332" s="41"/>
      <c r="IM332" s="41"/>
    </row>
    <row r="333" spans="1:247" s="40" customFormat="1" ht="20.25" customHeight="1" x14ac:dyDescent="0.25">
      <c r="A333" s="75">
        <v>42228</v>
      </c>
      <c r="B333" s="144">
        <v>452.141366</v>
      </c>
      <c r="C333" s="144">
        <f t="shared" si="377"/>
        <v>450.78494190200001</v>
      </c>
      <c r="D333" s="144">
        <f t="shared" ref="D333:D338" si="378">1.003*B333</f>
        <v>453.49779009799994</v>
      </c>
      <c r="E333" s="78">
        <f>6607.771/1800.553*100</f>
        <v>366.9856427442013</v>
      </c>
      <c r="F333" s="76"/>
      <c r="G333" s="137"/>
      <c r="H333" s="78">
        <v>144.3486</v>
      </c>
      <c r="I333" s="78">
        <v>154.05430000000001</v>
      </c>
      <c r="J333" s="79">
        <f t="shared" si="242"/>
        <v>247.11483040041983</v>
      </c>
      <c r="K333" s="80">
        <v>493199</v>
      </c>
      <c r="L333" s="81">
        <f t="shared" si="338"/>
        <v>222.99566956983401</v>
      </c>
      <c r="M333" s="151"/>
      <c r="N333" s="64"/>
      <c r="O333" s="39"/>
      <c r="P333" s="39"/>
      <c r="Q333" s="39"/>
      <c r="R333" s="39"/>
      <c r="S333" s="39"/>
      <c r="T333" s="39"/>
      <c r="U333" s="39"/>
      <c r="V333" s="39"/>
      <c r="W333" s="39"/>
      <c r="IH333" s="41"/>
      <c r="II333" s="41"/>
      <c r="IJ333" s="41"/>
      <c r="IK333" s="41"/>
      <c r="IL333" s="41"/>
      <c r="IM333" s="41"/>
    </row>
    <row r="334" spans="1:247" s="28" customFormat="1" ht="20.25" customHeight="1" x14ac:dyDescent="0.25">
      <c r="A334" s="75">
        <v>42221</v>
      </c>
      <c r="B334" s="144">
        <v>446.12650000000002</v>
      </c>
      <c r="C334" s="144">
        <f t="shared" si="377"/>
        <v>444.78812050000005</v>
      </c>
      <c r="D334" s="144">
        <f t="shared" si="378"/>
        <v>447.4648795</v>
      </c>
      <c r="E334" s="78">
        <f>6680.521/1800.553*100</f>
        <v>371.0260681024107</v>
      </c>
      <c r="F334" s="76"/>
      <c r="G334" s="137"/>
      <c r="H334" s="78">
        <v>143.6456</v>
      </c>
      <c r="I334" s="78">
        <v>154.04849999999999</v>
      </c>
      <c r="J334" s="79">
        <f t="shared" si="242"/>
        <v>247.85789350891673</v>
      </c>
      <c r="K334" s="80">
        <v>502081.57</v>
      </c>
      <c r="L334" s="81">
        <f t="shared" si="338"/>
        <v>223.99189353860501</v>
      </c>
      <c r="M334" s="152"/>
      <c r="N334" s="66"/>
      <c r="O334" s="27"/>
      <c r="P334" s="27"/>
      <c r="Q334" s="27"/>
      <c r="R334" s="27"/>
      <c r="S334" s="27"/>
      <c r="T334" s="27"/>
      <c r="U334" s="27"/>
      <c r="V334" s="27"/>
      <c r="W334" s="27"/>
      <c r="IH334" s="32"/>
      <c r="II334" s="32"/>
      <c r="IJ334" s="32"/>
      <c r="IK334" s="32"/>
      <c r="IL334" s="32"/>
      <c r="IM334" s="32"/>
    </row>
    <row r="335" spans="1:247" s="40" customFormat="1" ht="20.25" customHeight="1" x14ac:dyDescent="0.25">
      <c r="A335" s="75">
        <v>42214</v>
      </c>
      <c r="B335" s="144">
        <v>446.142</v>
      </c>
      <c r="C335" s="144">
        <f t="shared" si="377"/>
        <v>444.80357399999997</v>
      </c>
      <c r="D335" s="144">
        <f t="shared" si="378"/>
        <v>447.48042599999997</v>
      </c>
      <c r="E335" s="78">
        <f>6670.325/1800.553*100</f>
        <v>370.45979762883957</v>
      </c>
      <c r="F335" s="76"/>
      <c r="G335" s="137"/>
      <c r="H335" s="78">
        <v>144.2276</v>
      </c>
      <c r="I335" s="78">
        <v>154.04300000000001</v>
      </c>
      <c r="J335" s="79">
        <f t="shared" si="242"/>
        <v>248.16893945737687</v>
      </c>
      <c r="K335" s="80">
        <v>502135.79</v>
      </c>
      <c r="L335" s="81">
        <f t="shared" si="338"/>
        <v>224.02386562217998</v>
      </c>
      <c r="M335" s="151"/>
      <c r="N335" s="64"/>
      <c r="O335" s="39"/>
      <c r="P335" s="39"/>
      <c r="Q335" s="39"/>
      <c r="R335" s="39"/>
      <c r="S335" s="39"/>
      <c r="T335" s="39"/>
      <c r="U335" s="39"/>
      <c r="V335" s="39"/>
      <c r="W335" s="39"/>
      <c r="IH335" s="41"/>
      <c r="II335" s="41"/>
      <c r="IJ335" s="41"/>
      <c r="IK335" s="41"/>
      <c r="IL335" s="41"/>
      <c r="IM335" s="41"/>
    </row>
    <row r="336" spans="1:247" s="40" customFormat="1" ht="20.25" customHeight="1" x14ac:dyDescent="0.25">
      <c r="A336" s="75">
        <v>42207</v>
      </c>
      <c r="B336" s="144">
        <v>449.48610000000002</v>
      </c>
      <c r="C336" s="144">
        <f t="shared" ref="C336:C342" si="379">0.997*B336</f>
        <v>448.13764170000002</v>
      </c>
      <c r="D336" s="144">
        <f t="shared" si="378"/>
        <v>450.83455829999997</v>
      </c>
      <c r="E336" s="78">
        <f>6691.3/1800.553*100</f>
        <v>371.62471751734046</v>
      </c>
      <c r="F336" s="76"/>
      <c r="G336" s="137"/>
      <c r="H336" s="78">
        <v>144.19460000000001</v>
      </c>
      <c r="I336" s="78">
        <v>154.03819999999999</v>
      </c>
      <c r="J336" s="79">
        <f t="shared" si="242"/>
        <v>248.53002998215527</v>
      </c>
      <c r="K336" s="80">
        <v>520610.18</v>
      </c>
      <c r="L336" s="81">
        <f t="shared" si="338"/>
        <v>234.00703942849799</v>
      </c>
      <c r="M336" s="151"/>
      <c r="N336" s="64"/>
      <c r="O336" s="39"/>
      <c r="P336" s="39"/>
      <c r="Q336" s="39"/>
      <c r="R336" s="39"/>
      <c r="S336" s="39"/>
      <c r="T336" s="39"/>
      <c r="U336" s="39"/>
      <c r="V336" s="39"/>
      <c r="W336" s="39"/>
      <c r="IH336" s="41"/>
      <c r="II336" s="41"/>
      <c r="IJ336" s="41"/>
      <c r="IK336" s="41"/>
      <c r="IL336" s="41"/>
      <c r="IM336" s="41"/>
    </row>
    <row r="337" spans="1:247" s="40" customFormat="1" ht="20.25" customHeight="1" x14ac:dyDescent="0.25">
      <c r="A337" s="75">
        <v>42200</v>
      </c>
      <c r="B337" s="144">
        <v>457.00380000000001</v>
      </c>
      <c r="C337" s="144">
        <f t="shared" si="379"/>
        <v>455.63278860000003</v>
      </c>
      <c r="D337" s="144">
        <f t="shared" si="378"/>
        <v>458.37481139999994</v>
      </c>
      <c r="E337" s="78">
        <f>6696.156/1800.553*100</f>
        <v>371.89441243884517</v>
      </c>
      <c r="F337" s="76"/>
      <c r="G337" s="137"/>
      <c r="H337" s="78">
        <v>144.3871</v>
      </c>
      <c r="I337" s="78">
        <v>154.03360000000001</v>
      </c>
      <c r="J337" s="79">
        <f t="shared" si="242"/>
        <v>248.78608233242142</v>
      </c>
      <c r="K337" s="80">
        <v>521491.42</v>
      </c>
      <c r="L337" s="81">
        <f t="shared" si="338"/>
        <v>238.32356060739602</v>
      </c>
      <c r="M337" s="151"/>
      <c r="N337" s="64"/>
      <c r="O337" s="39"/>
      <c r="P337" s="39"/>
      <c r="Q337" s="39"/>
      <c r="R337" s="39"/>
      <c r="S337" s="39"/>
      <c r="T337" s="39"/>
      <c r="U337" s="39"/>
      <c r="V337" s="39"/>
      <c r="W337" s="39"/>
      <c r="IH337" s="41"/>
      <c r="II337" s="41"/>
      <c r="IJ337" s="41"/>
      <c r="IK337" s="41"/>
      <c r="IL337" s="41"/>
      <c r="IM337" s="41"/>
    </row>
    <row r="338" spans="1:247" s="40" customFormat="1" ht="20.25" customHeight="1" x14ac:dyDescent="0.25">
      <c r="A338" s="75">
        <v>42193</v>
      </c>
      <c r="B338" s="144">
        <v>454.39580000000001</v>
      </c>
      <c r="C338" s="144">
        <f t="shared" si="379"/>
        <v>453.03261259999999</v>
      </c>
      <c r="D338" s="144">
        <f t="shared" si="378"/>
        <v>455.75898739999997</v>
      </c>
      <c r="E338" s="78">
        <f>6463.648/1800.553*100</f>
        <v>358.98126853250085</v>
      </c>
      <c r="F338" s="76"/>
      <c r="G338" s="137"/>
      <c r="H338" s="78">
        <v>145.1054</v>
      </c>
      <c r="I338" s="78">
        <v>154.02930000000001</v>
      </c>
      <c r="J338" s="79">
        <f t="shared" si="242"/>
        <v>244.98617016802143</v>
      </c>
      <c r="K338" s="80">
        <v>525448.62</v>
      </c>
      <c r="L338" s="81">
        <f t="shared" si="338"/>
        <v>238.76164604379599</v>
      </c>
      <c r="M338" s="151"/>
      <c r="N338" s="64"/>
      <c r="O338" s="39"/>
      <c r="P338" s="39"/>
      <c r="Q338" s="39"/>
      <c r="R338" s="39"/>
      <c r="S338" s="39"/>
      <c r="T338" s="39"/>
      <c r="U338" s="39"/>
      <c r="V338" s="39"/>
      <c r="W338" s="39"/>
      <c r="IH338" s="41"/>
      <c r="II338" s="41"/>
      <c r="IJ338" s="41"/>
      <c r="IK338" s="41"/>
      <c r="IL338" s="41"/>
      <c r="IM338" s="41"/>
    </row>
    <row r="339" spans="1:247" s="40" customFormat="1" ht="20.25" customHeight="1" x14ac:dyDescent="0.25">
      <c r="A339" s="75">
        <v>42186</v>
      </c>
      <c r="B339" s="144">
        <v>459.18419999999998</v>
      </c>
      <c r="C339" s="144">
        <f t="shared" si="379"/>
        <v>457.80664739999997</v>
      </c>
      <c r="D339" s="144">
        <f t="shared" ref="D339:D344" si="380">1.003*B339</f>
        <v>460.56175259999992</v>
      </c>
      <c r="E339" s="78">
        <f>6614.236/1800.553*100</f>
        <v>367.34469910077621</v>
      </c>
      <c r="F339" s="76"/>
      <c r="G339" s="137"/>
      <c r="H339" s="78">
        <v>145.0728</v>
      </c>
      <c r="I339" s="78">
        <v>154.02549999999999</v>
      </c>
      <c r="J339" s="79">
        <f t="shared" si="242"/>
        <v>247.77895372923541</v>
      </c>
      <c r="K339" s="80">
        <v>525448.62</v>
      </c>
      <c r="L339" s="81">
        <f t="shared" si="338"/>
        <v>241.27770421580399</v>
      </c>
      <c r="M339" s="151"/>
      <c r="N339" s="64"/>
      <c r="O339" s="39"/>
      <c r="P339" s="39"/>
      <c r="Q339" s="39"/>
      <c r="R339" s="39"/>
      <c r="S339" s="39"/>
      <c r="T339" s="39"/>
      <c r="U339" s="39"/>
      <c r="V339" s="39"/>
      <c r="W339" s="39"/>
      <c r="IH339" s="41"/>
      <c r="II339" s="41"/>
      <c r="IJ339" s="41"/>
      <c r="IK339" s="41"/>
      <c r="IL339" s="41"/>
      <c r="IM339" s="41"/>
    </row>
    <row r="340" spans="1:247" s="40" customFormat="1" ht="20.25" customHeight="1" x14ac:dyDescent="0.25">
      <c r="A340" s="75">
        <v>42185</v>
      </c>
      <c r="B340" s="144">
        <v>459.8974</v>
      </c>
      <c r="C340" s="144">
        <f t="shared" si="379"/>
        <v>458.51770779999998</v>
      </c>
      <c r="D340" s="144">
        <f t="shared" si="380"/>
        <v>461.27709219999997</v>
      </c>
      <c r="E340" s="78">
        <f>6569.466/1800.553*100</f>
        <v>364.8582407738067</v>
      </c>
      <c r="F340" s="76"/>
      <c r="G340" s="137"/>
      <c r="H340" s="78">
        <v>145.69739999999999</v>
      </c>
      <c r="I340" s="78">
        <v>154.0249</v>
      </c>
      <c r="J340" s="79">
        <f t="shared" si="242"/>
        <v>247.46616960804076</v>
      </c>
      <c r="K340" s="80">
        <v>525448.62</v>
      </c>
      <c r="L340" s="81">
        <f t="shared" si="338"/>
        <v>241.652454171588</v>
      </c>
      <c r="M340" s="151"/>
      <c r="N340" s="64"/>
      <c r="O340" s="39"/>
      <c r="P340" s="39"/>
      <c r="Q340" s="39"/>
      <c r="R340" s="39"/>
      <c r="S340" s="39"/>
      <c r="T340" s="39"/>
      <c r="U340" s="39"/>
      <c r="V340" s="39"/>
      <c r="W340" s="39"/>
      <c r="IH340" s="41"/>
      <c r="II340" s="41"/>
      <c r="IJ340" s="41"/>
      <c r="IK340" s="41"/>
      <c r="IL340" s="41"/>
      <c r="IM340" s="41"/>
    </row>
    <row r="341" spans="1:247" s="40" customFormat="1" ht="20.25" customHeight="1" x14ac:dyDescent="0.25">
      <c r="A341" s="75">
        <v>42179</v>
      </c>
      <c r="B341" s="144">
        <v>463.18700000000001</v>
      </c>
      <c r="C341" s="144">
        <f t="shared" si="379"/>
        <v>461.797439</v>
      </c>
      <c r="D341" s="144">
        <f t="shared" si="380"/>
        <v>464.57656099999997</v>
      </c>
      <c r="E341" s="78">
        <f>6756.01/1800.553*100</f>
        <v>375.21861339266326</v>
      </c>
      <c r="F341" s="76"/>
      <c r="G341" s="137"/>
      <c r="H341" s="78">
        <v>145.7672</v>
      </c>
      <c r="I341" s="78">
        <v>154.02109999999999</v>
      </c>
      <c r="J341" s="79">
        <f t="shared" si="242"/>
        <v>250.99139512436875</v>
      </c>
      <c r="K341" s="80">
        <v>526850.64</v>
      </c>
      <c r="L341" s="81">
        <f t="shared" si="338"/>
        <v>244.03036738968001</v>
      </c>
      <c r="M341" s="151"/>
      <c r="N341" s="64"/>
      <c r="O341" s="39"/>
      <c r="P341" s="39"/>
      <c r="Q341" s="39"/>
      <c r="R341" s="39"/>
      <c r="S341" s="39"/>
      <c r="T341" s="39"/>
      <c r="U341" s="39"/>
      <c r="V341" s="39"/>
      <c r="W341" s="39"/>
      <c r="IH341" s="41"/>
      <c r="II341" s="41"/>
      <c r="IJ341" s="41"/>
      <c r="IK341" s="41"/>
      <c r="IL341" s="41"/>
      <c r="IM341" s="41"/>
    </row>
    <row r="342" spans="1:247" s="40" customFormat="1" ht="20.25" customHeight="1" x14ac:dyDescent="0.25">
      <c r="A342" s="75">
        <v>42172</v>
      </c>
      <c r="B342" s="144">
        <v>460.12619999999998</v>
      </c>
      <c r="C342" s="144">
        <f t="shared" si="379"/>
        <v>458.74582139999995</v>
      </c>
      <c r="D342" s="144">
        <f t="shared" si="380"/>
        <v>461.50657859999995</v>
      </c>
      <c r="E342" s="78">
        <f>6665.063/1800.553*100</f>
        <v>370.16755407921897</v>
      </c>
      <c r="F342" s="76"/>
      <c r="G342" s="137"/>
      <c r="H342" s="78">
        <v>146.51320000000001</v>
      </c>
      <c r="I342" s="78">
        <v>154.01689999999999</v>
      </c>
      <c r="J342" s="79">
        <f t="shared" si="242"/>
        <v>249.92252136313869</v>
      </c>
      <c r="K342" s="80">
        <v>641394.99</v>
      </c>
      <c r="L342" s="81">
        <f t="shared" si="338"/>
        <v>295.12263944773798</v>
      </c>
      <c r="M342" s="151"/>
      <c r="N342" s="64"/>
      <c r="O342" s="39"/>
      <c r="P342" s="39"/>
      <c r="Q342" s="39"/>
      <c r="R342" s="39"/>
      <c r="S342" s="39"/>
      <c r="T342" s="39"/>
      <c r="U342" s="39"/>
      <c r="V342" s="39"/>
      <c r="W342" s="39"/>
      <c r="IH342" s="41"/>
      <c r="II342" s="41"/>
      <c r="IJ342" s="41"/>
      <c r="IK342" s="41"/>
      <c r="IL342" s="41"/>
      <c r="IM342" s="41"/>
    </row>
    <row r="343" spans="1:247" s="40" customFormat="1" ht="20.25" customHeight="1" x14ac:dyDescent="0.25">
      <c r="A343" s="75">
        <v>42165</v>
      </c>
      <c r="B343" s="144">
        <v>463.35050000000001</v>
      </c>
      <c r="C343" s="144">
        <f t="shared" ref="C343:C349" si="381">0.997*B343</f>
        <v>461.96044849999998</v>
      </c>
      <c r="D343" s="144">
        <f t="shared" si="380"/>
        <v>464.74055149999998</v>
      </c>
      <c r="E343" s="78">
        <f>6717.787/1800.553*100</f>
        <v>373.0957655786861</v>
      </c>
      <c r="F343" s="76"/>
      <c r="G343" s="137"/>
      <c r="H343" s="78">
        <v>146.13800000000001</v>
      </c>
      <c r="I343" s="78">
        <v>154.01259999999999</v>
      </c>
      <c r="J343" s="79">
        <f t="shared" si="242"/>
        <v>250.58418661253114</v>
      </c>
      <c r="K343" s="80">
        <v>678773.15</v>
      </c>
      <c r="L343" s="81">
        <f t="shared" si="338"/>
        <v>314.50987843907501</v>
      </c>
      <c r="M343" s="151"/>
      <c r="N343" s="64"/>
      <c r="O343" s="39"/>
      <c r="P343" s="39"/>
      <c r="Q343" s="39"/>
      <c r="R343" s="39"/>
      <c r="S343" s="39"/>
      <c r="T343" s="39"/>
      <c r="U343" s="39"/>
      <c r="V343" s="39"/>
      <c r="W343" s="39"/>
      <c r="IH343" s="41"/>
      <c r="II343" s="41"/>
      <c r="IJ343" s="41"/>
      <c r="IK343" s="41"/>
      <c r="IL343" s="41"/>
      <c r="IM343" s="41"/>
    </row>
    <row r="344" spans="1:247" s="40" customFormat="1" ht="20.25" customHeight="1" x14ac:dyDescent="0.25">
      <c r="A344" s="75">
        <v>42158</v>
      </c>
      <c r="B344" s="144">
        <v>466.45299999999997</v>
      </c>
      <c r="C344" s="144">
        <f t="shared" si="381"/>
        <v>465.05364099999997</v>
      </c>
      <c r="D344" s="144">
        <f t="shared" si="380"/>
        <v>467.85235899999992</v>
      </c>
      <c r="E344" s="78">
        <f>6765.057/1800.553*100</f>
        <v>375.7210701378965</v>
      </c>
      <c r="F344" s="76"/>
      <c r="G344" s="137"/>
      <c r="H344" s="78">
        <v>145.56970000000001</v>
      </c>
      <c r="I344" s="78">
        <v>154.00819999999999</v>
      </c>
      <c r="J344" s="79">
        <f t="shared" si="242"/>
        <v>250.97110935921194</v>
      </c>
      <c r="K344" s="80">
        <v>721968.36</v>
      </c>
      <c r="L344" s="81">
        <f t="shared" si="338"/>
        <v>336.76430742707998</v>
      </c>
      <c r="M344" s="151"/>
      <c r="N344" s="64"/>
      <c r="O344" s="39"/>
      <c r="P344" s="39"/>
      <c r="Q344" s="39"/>
      <c r="R344" s="39"/>
      <c r="S344" s="39"/>
      <c r="T344" s="39"/>
      <c r="U344" s="39"/>
      <c r="V344" s="39"/>
      <c r="W344" s="39"/>
      <c r="IH344" s="41"/>
      <c r="II344" s="41"/>
      <c r="IJ344" s="41"/>
      <c r="IK344" s="41"/>
      <c r="IL344" s="41"/>
      <c r="IM344" s="41"/>
    </row>
    <row r="345" spans="1:247" s="40" customFormat="1" ht="20.25" customHeight="1" x14ac:dyDescent="0.25">
      <c r="A345" s="75">
        <v>42151</v>
      </c>
      <c r="B345" s="144">
        <v>465.2364</v>
      </c>
      <c r="C345" s="144">
        <f t="shared" si="381"/>
        <v>463.8406908</v>
      </c>
      <c r="D345" s="144">
        <f t="shared" ref="D345:D350" si="382">1.003*B345</f>
        <v>466.63210919999995</v>
      </c>
      <c r="E345" s="78">
        <f>6775.384/1800.553*100</f>
        <v>376.2946161540371</v>
      </c>
      <c r="F345" s="76"/>
      <c r="G345" s="137"/>
      <c r="H345" s="78">
        <v>144.42330000000001</v>
      </c>
      <c r="I345" s="78">
        <v>154.0043</v>
      </c>
      <c r="J345" s="79">
        <f t="shared" si="242"/>
        <v>250.16886991607015</v>
      </c>
      <c r="K345" s="80">
        <v>723827.84</v>
      </c>
      <c r="L345" s="81">
        <f t="shared" si="338"/>
        <v>336.75105850137595</v>
      </c>
      <c r="M345" s="151"/>
      <c r="N345" s="64"/>
      <c r="O345" s="39"/>
      <c r="P345" s="39"/>
      <c r="Q345" s="39"/>
      <c r="R345" s="39"/>
      <c r="S345" s="39"/>
      <c r="T345" s="39"/>
      <c r="U345" s="39"/>
      <c r="V345" s="39"/>
      <c r="W345" s="39"/>
      <c r="IH345" s="41"/>
      <c r="II345" s="41"/>
      <c r="IJ345" s="41"/>
      <c r="IK345" s="41"/>
      <c r="IL345" s="41"/>
      <c r="IM345" s="41"/>
    </row>
    <row r="346" spans="1:247" s="40" customFormat="1" ht="20.25" customHeight="1" x14ac:dyDescent="0.25">
      <c r="A346" s="75">
        <v>42144</v>
      </c>
      <c r="B346" s="144">
        <v>469.90800000000002</v>
      </c>
      <c r="C346" s="144">
        <f t="shared" si="381"/>
        <v>468.49827600000003</v>
      </c>
      <c r="D346" s="144">
        <f t="shared" si="382"/>
        <v>471.31772399999994</v>
      </c>
      <c r="E346" s="78">
        <f>6811.012/1800.553*100</f>
        <v>378.27334157894819</v>
      </c>
      <c r="F346" s="76"/>
      <c r="G346" s="137"/>
      <c r="H346" s="78">
        <v>145.74420000000001</v>
      </c>
      <c r="I346" s="78">
        <v>154.00020000000001</v>
      </c>
      <c r="J346" s="79">
        <f t="shared" si="242"/>
        <v>251.96970750809606</v>
      </c>
      <c r="K346" s="80">
        <v>723367.75</v>
      </c>
      <c r="L346" s="81">
        <f t="shared" si="338"/>
        <v>339.91629266699999</v>
      </c>
      <c r="M346" s="151"/>
      <c r="N346" s="64"/>
      <c r="O346" s="39"/>
      <c r="P346" s="39"/>
      <c r="Q346" s="39"/>
      <c r="R346" s="39"/>
      <c r="S346" s="39"/>
      <c r="T346" s="39"/>
      <c r="U346" s="39"/>
      <c r="V346" s="39"/>
      <c r="W346" s="39"/>
      <c r="IH346" s="41"/>
      <c r="II346" s="41"/>
      <c r="IJ346" s="41"/>
      <c r="IK346" s="41"/>
      <c r="IL346" s="41"/>
      <c r="IM346" s="41"/>
    </row>
    <row r="347" spans="1:247" s="40" customFormat="1" ht="20.25" customHeight="1" x14ac:dyDescent="0.25">
      <c r="A347" s="75">
        <v>42137</v>
      </c>
      <c r="B347" s="144">
        <v>472.97649999999999</v>
      </c>
      <c r="C347" s="144">
        <f t="shared" si="381"/>
        <v>471.5575705</v>
      </c>
      <c r="D347" s="144">
        <f t="shared" si="382"/>
        <v>474.39542949999992</v>
      </c>
      <c r="E347" s="78">
        <f>6751.637/1800.553*100</f>
        <v>374.97574356322747</v>
      </c>
      <c r="F347" s="76"/>
      <c r="G347" s="137"/>
      <c r="H347" s="78">
        <v>147.3569</v>
      </c>
      <c r="I347" s="78">
        <v>153.99610000000001</v>
      </c>
      <c r="J347" s="79">
        <f t="shared" si="242"/>
        <v>252.24086814144096</v>
      </c>
      <c r="K347" s="80">
        <v>741878.99</v>
      </c>
      <c r="L347" s="81">
        <f t="shared" si="338"/>
        <v>350.89132811373497</v>
      </c>
      <c r="M347" s="151"/>
      <c r="N347" s="64"/>
      <c r="O347" s="39"/>
      <c r="P347" s="39"/>
      <c r="Q347" s="39"/>
      <c r="R347" s="39"/>
      <c r="S347" s="39"/>
      <c r="T347" s="39"/>
      <c r="U347" s="39"/>
      <c r="V347" s="39"/>
      <c r="W347" s="39"/>
      <c r="IH347" s="41"/>
      <c r="II347" s="41"/>
      <c r="IJ347" s="41"/>
      <c r="IK347" s="41"/>
      <c r="IL347" s="41"/>
      <c r="IM347" s="41"/>
    </row>
    <row r="348" spans="1:247" s="40" customFormat="1" ht="20.25" customHeight="1" x14ac:dyDescent="0.25">
      <c r="A348" s="75">
        <v>42130</v>
      </c>
      <c r="B348" s="144">
        <v>474.077</v>
      </c>
      <c r="C348" s="144">
        <f t="shared" si="381"/>
        <v>472.65476899999999</v>
      </c>
      <c r="D348" s="144">
        <f t="shared" si="382"/>
        <v>475.49923099999995</v>
      </c>
      <c r="E348" s="78">
        <f>6677.716/1800.553*100</f>
        <v>370.87028262983648</v>
      </c>
      <c r="F348" s="76"/>
      <c r="G348" s="137"/>
      <c r="H348" s="78">
        <v>146.74170000000001</v>
      </c>
      <c r="I348" s="78">
        <v>153.9915</v>
      </c>
      <c r="J348" s="79">
        <f t="shared" si="242"/>
        <v>250.33057008136075</v>
      </c>
      <c r="K348" s="80">
        <v>742387.84</v>
      </c>
      <c r="L348" s="81">
        <f t="shared" si="338"/>
        <v>351.94900002367996</v>
      </c>
      <c r="M348" s="151"/>
      <c r="N348" s="64"/>
      <c r="O348" s="39"/>
      <c r="P348" s="39"/>
      <c r="Q348" s="39"/>
      <c r="R348" s="39"/>
      <c r="S348" s="39"/>
      <c r="T348" s="39"/>
      <c r="U348" s="39"/>
      <c r="V348" s="39"/>
      <c r="W348" s="39"/>
      <c r="IH348" s="41"/>
      <c r="II348" s="41"/>
      <c r="IJ348" s="41"/>
      <c r="IK348" s="41"/>
      <c r="IL348" s="41"/>
      <c r="IM348" s="41"/>
    </row>
    <row r="349" spans="1:247" s="40" customFormat="1" ht="20.25" customHeight="1" x14ac:dyDescent="0.25">
      <c r="A349" s="75">
        <v>42123</v>
      </c>
      <c r="B349" s="144">
        <v>475.84570000000002</v>
      </c>
      <c r="C349" s="144">
        <f t="shared" si="381"/>
        <v>474.41816290000003</v>
      </c>
      <c r="D349" s="144">
        <f t="shared" si="382"/>
        <v>477.27323709999996</v>
      </c>
      <c r="E349" s="78">
        <f>6758.304/1800.553*100</f>
        <v>375.34601869536749</v>
      </c>
      <c r="F349" s="76"/>
      <c r="G349" s="137"/>
      <c r="H349" s="78">
        <v>146.26820000000001</v>
      </c>
      <c r="I349" s="78">
        <v>153.9873</v>
      </c>
      <c r="J349" s="79">
        <f t="shared" si="242"/>
        <v>251.42263554329844</v>
      </c>
      <c r="K349" s="80">
        <v>742441</v>
      </c>
      <c r="L349" s="81">
        <f t="shared" si="338"/>
        <v>353.28735735370003</v>
      </c>
      <c r="M349" s="151"/>
      <c r="N349" s="64"/>
      <c r="O349" s="39"/>
      <c r="P349" s="39"/>
      <c r="Q349" s="39"/>
      <c r="R349" s="39"/>
      <c r="S349" s="39"/>
      <c r="T349" s="39"/>
      <c r="U349" s="39"/>
      <c r="V349" s="39"/>
      <c r="W349" s="39"/>
      <c r="IH349" s="41"/>
      <c r="II349" s="41"/>
      <c r="IJ349" s="41"/>
      <c r="IK349" s="41"/>
      <c r="IL349" s="41"/>
      <c r="IM349" s="41"/>
    </row>
    <row r="350" spans="1:247" s="28" customFormat="1" ht="20.25" customHeight="1" x14ac:dyDescent="0.25">
      <c r="A350" s="75">
        <v>42116</v>
      </c>
      <c r="B350" s="144">
        <v>472.56639999999999</v>
      </c>
      <c r="C350" s="144">
        <f t="shared" ref="C350:C356" si="383">0.997*B350</f>
        <v>471.14870079999997</v>
      </c>
      <c r="D350" s="144">
        <f t="shared" si="382"/>
        <v>473.98409919999995</v>
      </c>
      <c r="E350" s="78">
        <f>6719.724/1800.553*100</f>
        <v>373.20334363942635</v>
      </c>
      <c r="F350" s="76"/>
      <c r="G350" s="137"/>
      <c r="H350" s="78">
        <v>143.96709999999999</v>
      </c>
      <c r="I350" s="78">
        <v>153.98339999999999</v>
      </c>
      <c r="J350" s="79">
        <f t="shared" si="242"/>
        <v>248.72092684391384</v>
      </c>
      <c r="K350" s="80">
        <v>743845.98</v>
      </c>
      <c r="L350" s="81">
        <f t="shared" si="338"/>
        <v>351.51661692307198</v>
      </c>
      <c r="M350" s="152"/>
      <c r="N350" s="66"/>
      <c r="O350" s="27"/>
      <c r="P350" s="27"/>
      <c r="Q350" s="27"/>
      <c r="R350" s="27"/>
      <c r="S350" s="27"/>
      <c r="T350" s="27"/>
      <c r="U350" s="27"/>
      <c r="V350" s="27"/>
      <c r="W350" s="27"/>
      <c r="IH350" s="32"/>
      <c r="II350" s="32"/>
      <c r="IJ350" s="32"/>
      <c r="IK350" s="32"/>
      <c r="IL350" s="32"/>
      <c r="IM350" s="32"/>
    </row>
    <row r="351" spans="1:247" s="40" customFormat="1" ht="20.25" customHeight="1" x14ac:dyDescent="0.25">
      <c r="A351" s="75">
        <v>42109</v>
      </c>
      <c r="B351" s="144">
        <v>474.62869999999998</v>
      </c>
      <c r="C351" s="144">
        <f t="shared" si="383"/>
        <v>473.20481389999998</v>
      </c>
      <c r="D351" s="144">
        <f t="shared" ref="D351:D356" si="384">1.003*B351</f>
        <v>476.05258609999993</v>
      </c>
      <c r="E351" s="78">
        <f>6704.771/1800.553*100</f>
        <v>372.37287655514717</v>
      </c>
      <c r="F351" s="76"/>
      <c r="G351" s="137"/>
      <c r="H351" s="78">
        <v>143.66130000000001</v>
      </c>
      <c r="I351" s="78">
        <v>153.97909999999999</v>
      </c>
      <c r="J351" s="79">
        <f t="shared" si="242"/>
        <v>248.18004068984084</v>
      </c>
      <c r="K351" s="80">
        <v>744802.67</v>
      </c>
      <c r="L351" s="81">
        <f t="shared" si="338"/>
        <v>353.50472301862902</v>
      </c>
      <c r="M351" s="151"/>
      <c r="N351" s="64"/>
      <c r="O351" s="39"/>
      <c r="P351" s="39"/>
      <c r="Q351" s="39"/>
      <c r="R351" s="39"/>
      <c r="S351" s="39"/>
      <c r="T351" s="39"/>
      <c r="U351" s="39"/>
      <c r="V351" s="39"/>
      <c r="W351" s="39"/>
      <c r="IH351" s="41"/>
      <c r="II351" s="41"/>
      <c r="IJ351" s="41"/>
      <c r="IK351" s="41"/>
      <c r="IL351" s="41"/>
      <c r="IM351" s="41"/>
    </row>
    <row r="352" spans="1:247" s="40" customFormat="1" ht="20.25" customHeight="1" x14ac:dyDescent="0.25">
      <c r="A352" s="87">
        <v>42102</v>
      </c>
      <c r="B352" s="153">
        <v>469.84350000000001</v>
      </c>
      <c r="C352" s="153">
        <f t="shared" si="383"/>
        <v>468.43396949999999</v>
      </c>
      <c r="D352" s="153">
        <f t="shared" si="384"/>
        <v>471.25303049999997</v>
      </c>
      <c r="E352" s="154">
        <f>6638.039/1800.553*100</f>
        <v>368.66668184718804</v>
      </c>
      <c r="F352" s="88"/>
      <c r="G352" s="77"/>
      <c r="H352" s="154">
        <v>143.7345</v>
      </c>
      <c r="I352" s="154">
        <v>153.97460000000001</v>
      </c>
      <c r="J352" s="155">
        <f t="shared" si="242"/>
        <v>247.0013875321639</v>
      </c>
      <c r="K352" s="156">
        <v>746111.72</v>
      </c>
      <c r="L352" s="81">
        <f t="shared" si="338"/>
        <v>350.55574191582002</v>
      </c>
      <c r="M352" s="151"/>
      <c r="N352" s="64"/>
      <c r="O352" s="39"/>
      <c r="P352" s="39"/>
      <c r="Q352" s="39"/>
      <c r="R352" s="39"/>
      <c r="S352" s="39"/>
      <c r="T352" s="39"/>
      <c r="U352" s="39"/>
      <c r="V352" s="39"/>
      <c r="W352" s="39"/>
      <c r="IH352" s="41"/>
      <c r="II352" s="41"/>
      <c r="IJ352" s="41"/>
      <c r="IK352" s="41"/>
      <c r="IL352" s="41"/>
      <c r="IM352" s="41"/>
    </row>
    <row r="353" spans="1:247" s="40" customFormat="1" ht="20.25" customHeight="1" x14ac:dyDescent="0.25">
      <c r="A353" s="75">
        <v>42095</v>
      </c>
      <c r="B353" s="144">
        <v>462.51620000000003</v>
      </c>
      <c r="C353" s="144">
        <f t="shared" si="383"/>
        <v>461.12865140000002</v>
      </c>
      <c r="D353" s="144">
        <f t="shared" si="384"/>
        <v>463.90374859999997</v>
      </c>
      <c r="E353" s="78">
        <f>6528.19/1800.553*100</f>
        <v>362.56583394101699</v>
      </c>
      <c r="F353" s="76"/>
      <c r="G353" s="137"/>
      <c r="H353" s="78">
        <v>143.56</v>
      </c>
      <c r="I353" s="78">
        <v>153.96960000000001</v>
      </c>
      <c r="J353" s="79">
        <f t="shared" si="242"/>
        <v>244.79306171515617</v>
      </c>
      <c r="K353" s="80">
        <v>747201.32</v>
      </c>
      <c r="L353" s="81">
        <f t="shared" si="338"/>
        <v>345.59271516138398</v>
      </c>
      <c r="M353" s="151"/>
      <c r="N353" s="64"/>
      <c r="O353" s="39"/>
      <c r="P353" s="39"/>
      <c r="Q353" s="39"/>
      <c r="R353" s="39"/>
      <c r="S353" s="39"/>
      <c r="T353" s="39"/>
      <c r="U353" s="39"/>
      <c r="V353" s="39"/>
      <c r="W353" s="39"/>
      <c r="IH353" s="41"/>
      <c r="II353" s="41"/>
      <c r="IJ353" s="41"/>
      <c r="IK353" s="41"/>
      <c r="IL353" s="41"/>
      <c r="IM353" s="41"/>
    </row>
    <row r="354" spans="1:247" s="40" customFormat="1" ht="20.25" customHeight="1" x14ac:dyDescent="0.25">
      <c r="A354" s="75">
        <v>42094</v>
      </c>
      <c r="B354" s="144">
        <v>461.35640000000001</v>
      </c>
      <c r="C354" s="144">
        <f t="shared" si="383"/>
        <v>459.97233080000001</v>
      </c>
      <c r="D354" s="144">
        <f t="shared" si="384"/>
        <v>462.74046919999995</v>
      </c>
      <c r="E354" s="78">
        <f>6537.619/1800.553*100</f>
        <v>363.08950639053666</v>
      </c>
      <c r="F354" s="76"/>
      <c r="G354" s="137"/>
      <c r="H354" s="78">
        <v>143.2627</v>
      </c>
      <c r="I354" s="78">
        <v>153.96889999999999</v>
      </c>
      <c r="J354" s="79">
        <f t="shared" si="242"/>
        <v>244.71561650427515</v>
      </c>
      <c r="K354" s="80">
        <v>747201.32</v>
      </c>
      <c r="L354" s="81">
        <f t="shared" si="338"/>
        <v>344.72611107044798</v>
      </c>
      <c r="M354" s="151"/>
      <c r="N354" s="64"/>
      <c r="O354" s="39"/>
      <c r="P354" s="39"/>
      <c r="Q354" s="39"/>
      <c r="R354" s="39"/>
      <c r="S354" s="39"/>
      <c r="T354" s="39"/>
      <c r="U354" s="39"/>
      <c r="V354" s="39"/>
      <c r="W354" s="39"/>
      <c r="IH354" s="41"/>
      <c r="II354" s="41"/>
      <c r="IJ354" s="41"/>
      <c r="IK354" s="41"/>
      <c r="IL354" s="41"/>
      <c r="IM354" s="41"/>
    </row>
    <row r="355" spans="1:247" s="40" customFormat="1" ht="20.25" customHeight="1" x14ac:dyDescent="0.25">
      <c r="A355" s="75">
        <v>42088</v>
      </c>
      <c r="B355" s="144">
        <v>463.80840000000001</v>
      </c>
      <c r="C355" s="144">
        <f t="shared" si="383"/>
        <v>462.41697479999999</v>
      </c>
      <c r="D355" s="144">
        <f t="shared" si="384"/>
        <v>465.19982519999996</v>
      </c>
      <c r="E355" s="78">
        <f>6588.967/1800.553*100</f>
        <v>365.9412969237784</v>
      </c>
      <c r="F355" s="76"/>
      <c r="G355" s="137"/>
      <c r="H355" s="78">
        <v>144.28819999999999</v>
      </c>
      <c r="I355" s="78">
        <v>153.96420000000001</v>
      </c>
      <c r="J355" s="79">
        <f t="shared" si="242"/>
        <v>246.55247319008515</v>
      </c>
      <c r="K355" s="80">
        <v>748173.91</v>
      </c>
      <c r="L355" s="81">
        <f t="shared" si="338"/>
        <v>347.00934411884401</v>
      </c>
      <c r="M355" s="151"/>
      <c r="N355" s="64"/>
      <c r="O355" s="39"/>
      <c r="P355" s="39"/>
      <c r="Q355" s="39"/>
      <c r="R355" s="39"/>
      <c r="S355" s="39"/>
      <c r="T355" s="39"/>
      <c r="U355" s="39"/>
      <c r="V355" s="39"/>
      <c r="W355" s="39"/>
      <c r="IH355" s="41"/>
      <c r="II355" s="41"/>
      <c r="IJ355" s="41"/>
      <c r="IK355" s="41"/>
      <c r="IL355" s="41"/>
      <c r="IM355" s="41"/>
    </row>
    <row r="356" spans="1:247" s="40" customFormat="1" ht="20.25" customHeight="1" x14ac:dyDescent="0.25">
      <c r="A356" s="75">
        <v>42081</v>
      </c>
      <c r="B356" s="144">
        <v>462.67660000000001</v>
      </c>
      <c r="C356" s="144">
        <f t="shared" si="383"/>
        <v>461.28857019999998</v>
      </c>
      <c r="D356" s="144">
        <f t="shared" si="384"/>
        <v>464.06462979999998</v>
      </c>
      <c r="E356" s="78">
        <f>6577.233/1800.553*100</f>
        <v>365.28960824813265</v>
      </c>
      <c r="F356" s="76"/>
      <c r="G356" s="137"/>
      <c r="H356" s="78">
        <v>143.77780000000001</v>
      </c>
      <c r="I356" s="78">
        <v>153.9589</v>
      </c>
      <c r="J356" s="79">
        <f t="shared" si="242"/>
        <v>245.89667229013975</v>
      </c>
      <c r="K356" s="80">
        <v>758625.46</v>
      </c>
      <c r="L356" s="81">
        <f t="shared" si="338"/>
        <v>350.998248506236</v>
      </c>
      <c r="M356" s="151"/>
      <c r="N356" s="64"/>
      <c r="O356" s="39"/>
      <c r="P356" s="39"/>
      <c r="Q356" s="39"/>
      <c r="R356" s="39"/>
      <c r="S356" s="39"/>
      <c r="T356" s="39"/>
      <c r="U356" s="39"/>
      <c r="V356" s="39"/>
      <c r="W356" s="39"/>
      <c r="IH356" s="41"/>
      <c r="II356" s="41"/>
      <c r="IJ356" s="41"/>
      <c r="IK356" s="41"/>
      <c r="IL356" s="41"/>
      <c r="IM356" s="41"/>
    </row>
    <row r="357" spans="1:247" s="40" customFormat="1" ht="20.25" customHeight="1" x14ac:dyDescent="0.25">
      <c r="A357" s="75">
        <v>42074</v>
      </c>
      <c r="B357" s="144">
        <v>460.41809999999998</v>
      </c>
      <c r="C357" s="144">
        <f t="shared" ref="C357:C362" si="385">0.997*B357</f>
        <v>459.03684569999996</v>
      </c>
      <c r="D357" s="144">
        <f t="shared" ref="D357:D362" si="386">1.003*B357</f>
        <v>461.79935429999995</v>
      </c>
      <c r="E357" s="78">
        <f>6412.375/1800.553*100</f>
        <v>356.13364338622631</v>
      </c>
      <c r="F357" s="76"/>
      <c r="G357" s="137"/>
      <c r="H357" s="78">
        <v>142.22749999999999</v>
      </c>
      <c r="I357" s="78">
        <v>153.9538</v>
      </c>
      <c r="J357" s="79">
        <f t="shared" si="242"/>
        <v>241.47650600917299</v>
      </c>
      <c r="K357" s="80">
        <v>765976.62</v>
      </c>
      <c r="L357" s="81">
        <f t="shared" si="338"/>
        <v>352.66950002482201</v>
      </c>
      <c r="M357" s="151"/>
      <c r="N357" s="64"/>
      <c r="O357" s="39"/>
      <c r="P357" s="39"/>
      <c r="Q357" s="39"/>
      <c r="R357" s="39"/>
      <c r="S357" s="39"/>
      <c r="T357" s="39"/>
      <c r="U357" s="39"/>
      <c r="V357" s="39"/>
      <c r="W357" s="39"/>
      <c r="IH357" s="41"/>
      <c r="II357" s="41"/>
      <c r="IJ357" s="41"/>
      <c r="IK357" s="41"/>
      <c r="IL357" s="41"/>
      <c r="IM357" s="41"/>
    </row>
    <row r="358" spans="1:247" s="40" customFormat="1" ht="20.25" customHeight="1" x14ac:dyDescent="0.25">
      <c r="A358" s="75">
        <v>42067</v>
      </c>
      <c r="B358" s="144">
        <v>471.02749999999997</v>
      </c>
      <c r="C358" s="144">
        <f t="shared" si="385"/>
        <v>469.6144175</v>
      </c>
      <c r="D358" s="144">
        <f t="shared" si="386"/>
        <v>472.44058249999995</v>
      </c>
      <c r="E358" s="78">
        <f>6595.118/1800.553*100</f>
        <v>366.28291419358385</v>
      </c>
      <c r="F358" s="76"/>
      <c r="G358" s="137"/>
      <c r="H358" s="78">
        <v>144.88509999999999</v>
      </c>
      <c r="I358" s="78">
        <v>153.94880000000001</v>
      </c>
      <c r="J358" s="79">
        <f t="shared" si="242"/>
        <v>247.16774609354658</v>
      </c>
      <c r="K358" s="80">
        <v>767966.48</v>
      </c>
      <c r="L358" s="81">
        <f t="shared" si="338"/>
        <v>361.73333115819997</v>
      </c>
      <c r="M358" s="151"/>
      <c r="N358" s="64"/>
      <c r="O358" s="39"/>
      <c r="P358" s="39"/>
      <c r="Q358" s="39"/>
      <c r="R358" s="39"/>
      <c r="S358" s="39"/>
      <c r="T358" s="39"/>
      <c r="U358" s="39"/>
      <c r="V358" s="39"/>
      <c r="W358" s="39"/>
      <c r="IH358" s="41"/>
      <c r="II358" s="41"/>
      <c r="IJ358" s="41"/>
      <c r="IK358" s="41"/>
      <c r="IL358" s="41"/>
      <c r="IM358" s="41"/>
    </row>
    <row r="359" spans="1:247" s="40" customFormat="1" ht="20.25" customHeight="1" x14ac:dyDescent="0.25">
      <c r="A359" s="75">
        <v>42060</v>
      </c>
      <c r="B359" s="144">
        <v>470.49380000000002</v>
      </c>
      <c r="C359" s="144">
        <f t="shared" si="385"/>
        <v>469.08231860000001</v>
      </c>
      <c r="D359" s="144">
        <f t="shared" si="386"/>
        <v>471.90528139999998</v>
      </c>
      <c r="E359" s="78">
        <f>6651.198/1800.553*100</f>
        <v>369.39751287521113</v>
      </c>
      <c r="F359" s="76"/>
      <c r="G359" s="137"/>
      <c r="H359" s="78">
        <v>146.25839999999999</v>
      </c>
      <c r="I359" s="78">
        <v>153.9444</v>
      </c>
      <c r="J359" s="79">
        <f t="shared" si="242"/>
        <v>249.38994894136462</v>
      </c>
      <c r="K359" s="80">
        <v>769306.99</v>
      </c>
      <c r="L359" s="81">
        <f t="shared" si="338"/>
        <v>361.95416909166198</v>
      </c>
      <c r="M359" s="151"/>
      <c r="N359" s="64"/>
      <c r="O359" s="39"/>
      <c r="P359" s="39"/>
      <c r="Q359" s="39"/>
      <c r="R359" s="39"/>
      <c r="S359" s="39"/>
      <c r="T359" s="39"/>
      <c r="U359" s="39"/>
      <c r="V359" s="39"/>
      <c r="W359" s="39"/>
      <c r="IH359" s="41"/>
      <c r="II359" s="41"/>
      <c r="IJ359" s="41"/>
      <c r="IK359" s="41"/>
      <c r="IL359" s="41"/>
      <c r="IM359" s="41"/>
    </row>
    <row r="360" spans="1:247" s="40" customFormat="1" ht="20.25" customHeight="1" x14ac:dyDescent="0.25">
      <c r="A360" s="75">
        <v>42053</v>
      </c>
      <c r="B360" s="144">
        <v>470.71100000000001</v>
      </c>
      <c r="C360" s="144">
        <f t="shared" si="385"/>
        <v>469.29886700000003</v>
      </c>
      <c r="D360" s="144">
        <f t="shared" si="386"/>
        <v>472.12313299999994</v>
      </c>
      <c r="E360" s="78">
        <f>6580.72/1800.553*100</f>
        <v>365.48327097286221</v>
      </c>
      <c r="F360" s="76"/>
      <c r="G360" s="137"/>
      <c r="H360" s="78">
        <v>146.25</v>
      </c>
      <c r="I360" s="78">
        <v>153.94499999999999</v>
      </c>
      <c r="J360" s="79">
        <f t="shared" si="242"/>
        <v>248.05452184155098</v>
      </c>
      <c r="K360" s="80">
        <v>781527.87</v>
      </c>
      <c r="L360" s="81">
        <f t="shared" si="338"/>
        <v>367.87376521557002</v>
      </c>
      <c r="M360" s="151"/>
      <c r="N360" s="64"/>
      <c r="O360" s="39"/>
      <c r="P360" s="39"/>
      <c r="Q360" s="39"/>
      <c r="R360" s="39"/>
      <c r="S360" s="39"/>
      <c r="T360" s="39"/>
      <c r="U360" s="39"/>
      <c r="V360" s="39"/>
      <c r="W360" s="39"/>
      <c r="IH360" s="41"/>
      <c r="II360" s="41"/>
      <c r="IJ360" s="41"/>
      <c r="IK360" s="41"/>
      <c r="IL360" s="41"/>
      <c r="IM360" s="41"/>
    </row>
    <row r="361" spans="1:247" s="40" customFormat="1" ht="20.25" customHeight="1" x14ac:dyDescent="0.25">
      <c r="A361" s="75">
        <v>42046</v>
      </c>
      <c r="B361" s="144">
        <v>471.22680000000003</v>
      </c>
      <c r="C361" s="144">
        <f t="shared" si="385"/>
        <v>469.81311960000005</v>
      </c>
      <c r="D361" s="144">
        <f t="shared" si="386"/>
        <v>472.6404804</v>
      </c>
      <c r="E361" s="78">
        <f>6436.941/1800.553*100</f>
        <v>357.49800200271807</v>
      </c>
      <c r="F361" s="76"/>
      <c r="G361" s="137"/>
      <c r="H361" s="78">
        <v>145.64580000000001</v>
      </c>
      <c r="I361" s="78">
        <v>153.93700000000001</v>
      </c>
      <c r="J361" s="79">
        <f t="shared" si="242"/>
        <v>244.81259570899715</v>
      </c>
      <c r="K361" s="80">
        <v>785361.93</v>
      </c>
      <c r="L361" s="81">
        <f t="shared" si="338"/>
        <v>370.08358911572401</v>
      </c>
      <c r="M361" s="151"/>
      <c r="N361" s="64"/>
      <c r="O361" s="39"/>
      <c r="P361" s="39"/>
      <c r="Q361" s="39"/>
      <c r="R361" s="39"/>
      <c r="S361" s="39"/>
      <c r="T361" s="39"/>
      <c r="U361" s="39"/>
      <c r="V361" s="39"/>
      <c r="W361" s="39"/>
      <c r="IH361" s="41"/>
      <c r="II361" s="41"/>
      <c r="IJ361" s="41"/>
      <c r="IK361" s="41"/>
      <c r="IL361" s="41"/>
      <c r="IM361" s="41"/>
    </row>
    <row r="362" spans="1:247" s="40" customFormat="1" ht="20.25" customHeight="1" x14ac:dyDescent="0.25">
      <c r="A362" s="75">
        <v>42039</v>
      </c>
      <c r="B362" s="144">
        <v>475.85590000000002</v>
      </c>
      <c r="C362" s="144">
        <f t="shared" si="385"/>
        <v>474.42833230000002</v>
      </c>
      <c r="D362" s="144">
        <f t="shared" si="386"/>
        <v>477.28346769999996</v>
      </c>
      <c r="E362" s="78">
        <f>6408.666/1800.553*100</f>
        <v>355.92765111607378</v>
      </c>
      <c r="F362" s="76"/>
      <c r="G362" s="137"/>
      <c r="H362" s="78">
        <v>146.18600000000001</v>
      </c>
      <c r="I362" s="78">
        <v>153.9331</v>
      </c>
      <c r="J362" s="79">
        <f t="shared" si="242"/>
        <v>244.72489825603185</v>
      </c>
      <c r="K362" s="80">
        <v>787930.73</v>
      </c>
      <c r="L362" s="81">
        <f t="shared" si="338"/>
        <v>374.94148666180701</v>
      </c>
      <c r="M362" s="151"/>
      <c r="N362" s="64"/>
      <c r="O362" s="39"/>
      <c r="P362" s="39"/>
      <c r="Q362" s="39"/>
      <c r="R362" s="39"/>
      <c r="S362" s="39"/>
      <c r="T362" s="39"/>
      <c r="U362" s="39"/>
      <c r="V362" s="39"/>
      <c r="W362" s="39"/>
      <c r="IH362" s="41"/>
      <c r="II362" s="41"/>
      <c r="IJ362" s="41"/>
      <c r="IK362" s="41"/>
      <c r="IL362" s="41"/>
      <c r="IM362" s="41"/>
    </row>
    <row r="363" spans="1:247" s="40" customFormat="1" ht="20.25" customHeight="1" x14ac:dyDescent="0.25">
      <c r="A363" s="75">
        <v>42032</v>
      </c>
      <c r="B363" s="144">
        <v>473.28309999999999</v>
      </c>
      <c r="C363" s="144">
        <f t="shared" ref="C363:C369" si="387">0.997*B363</f>
        <v>471.86325069999998</v>
      </c>
      <c r="D363" s="144">
        <f t="shared" ref="D363:D368" si="388">1.003*B363</f>
        <v>474.70294929999994</v>
      </c>
      <c r="E363" s="78">
        <f>6310.014/1800.553*100</f>
        <v>350.44866771486312</v>
      </c>
      <c r="F363" s="76"/>
      <c r="G363" s="137"/>
      <c r="H363" s="78">
        <v>146.149</v>
      </c>
      <c r="I363" s="78">
        <v>153.92930000000001</v>
      </c>
      <c r="J363" s="79">
        <f t="shared" si="242"/>
        <v>242.79620255590225</v>
      </c>
      <c r="K363" s="80">
        <v>789587.22</v>
      </c>
      <c r="L363" s="81">
        <f t="shared" si="338"/>
        <v>373.69828720198194</v>
      </c>
      <c r="M363" s="151"/>
      <c r="N363" s="64"/>
      <c r="O363" s="39"/>
      <c r="P363" s="39"/>
      <c r="Q363" s="39"/>
      <c r="R363" s="39"/>
      <c r="S363" s="39"/>
      <c r="T363" s="39"/>
      <c r="U363" s="39"/>
      <c r="V363" s="39"/>
      <c r="W363" s="39"/>
      <c r="IH363" s="41"/>
      <c r="II363" s="41"/>
      <c r="IJ363" s="41"/>
      <c r="IK363" s="41"/>
      <c r="IL363" s="41"/>
      <c r="IM363" s="41"/>
    </row>
    <row r="364" spans="1:247" s="40" customFormat="1" ht="20.25" customHeight="1" x14ac:dyDescent="0.25">
      <c r="A364" s="75">
        <v>42025</v>
      </c>
      <c r="B364" s="144">
        <v>474.10809999999998</v>
      </c>
      <c r="C364" s="144">
        <f t="shared" si="387"/>
        <v>472.68577569999997</v>
      </c>
      <c r="D364" s="144">
        <f t="shared" si="388"/>
        <v>475.53042429999994</v>
      </c>
      <c r="E364" s="78">
        <f>6327.811/1800.553*100</f>
        <v>351.43708627293944</v>
      </c>
      <c r="F364" s="76"/>
      <c r="G364" s="137"/>
      <c r="H364" s="78">
        <v>147.63560000000001</v>
      </c>
      <c r="I364" s="78">
        <v>153.92490000000001</v>
      </c>
      <c r="J364" s="79">
        <f t="shared" si="242"/>
        <v>244.37017768000769</v>
      </c>
      <c r="K364" s="80">
        <v>790843.5</v>
      </c>
      <c r="L364" s="81">
        <f t="shared" si="338"/>
        <v>374.94530918235</v>
      </c>
      <c r="M364" s="151"/>
      <c r="N364" s="64"/>
      <c r="O364" s="39"/>
      <c r="P364" s="39"/>
      <c r="Q364" s="39"/>
      <c r="R364" s="39"/>
      <c r="S364" s="39"/>
      <c r="T364" s="39"/>
      <c r="U364" s="39"/>
      <c r="V364" s="39"/>
      <c r="W364" s="39"/>
      <c r="IH364" s="41"/>
      <c r="II364" s="41"/>
      <c r="IJ364" s="41"/>
      <c r="IK364" s="41"/>
      <c r="IL364" s="41"/>
      <c r="IM364" s="41"/>
    </row>
    <row r="365" spans="1:247" s="40" customFormat="1" ht="20.25" customHeight="1" x14ac:dyDescent="0.25">
      <c r="A365" s="75">
        <v>42018</v>
      </c>
      <c r="B365" s="144">
        <v>464.11</v>
      </c>
      <c r="C365" s="144">
        <f t="shared" si="387"/>
        <v>462.71767</v>
      </c>
      <c r="D365" s="144">
        <f t="shared" si="388"/>
        <v>465.50232999999997</v>
      </c>
      <c r="E365" s="78">
        <f>6218.626/1800.553*100</f>
        <v>345.37311592605158</v>
      </c>
      <c r="F365" s="76"/>
      <c r="G365" s="137"/>
      <c r="H365" s="78">
        <v>147.30600000000001</v>
      </c>
      <c r="I365" s="78">
        <v>153.92080000000001</v>
      </c>
      <c r="J365" s="79">
        <f t="shared" si="242"/>
        <v>241.97519716799576</v>
      </c>
      <c r="K365" s="80">
        <v>792064.83</v>
      </c>
      <c r="L365" s="81">
        <f t="shared" si="338"/>
        <v>367.60520825129998</v>
      </c>
      <c r="M365" s="151"/>
      <c r="N365" s="64"/>
      <c r="O365" s="39"/>
      <c r="P365" s="39"/>
      <c r="Q365" s="39"/>
      <c r="R365" s="39"/>
      <c r="S365" s="39"/>
      <c r="T365" s="39"/>
      <c r="U365" s="39"/>
      <c r="V365" s="39"/>
      <c r="W365" s="39"/>
      <c r="IH365" s="41"/>
      <c r="II365" s="41"/>
      <c r="IJ365" s="41"/>
      <c r="IK365" s="41"/>
      <c r="IL365" s="41"/>
      <c r="IM365" s="41"/>
    </row>
    <row r="366" spans="1:247" s="40" customFormat="1" ht="20.25" customHeight="1" x14ac:dyDescent="0.25">
      <c r="A366" s="75">
        <v>42011</v>
      </c>
      <c r="B366" s="144">
        <v>463.75779171758819</v>
      </c>
      <c r="C366" s="144">
        <f t="shared" si="387"/>
        <v>462.36651834243543</v>
      </c>
      <c r="D366" s="144">
        <f t="shared" si="388"/>
        <v>465.1490650927409</v>
      </c>
      <c r="E366" s="78">
        <f>6206.094/1800.553*100</f>
        <v>344.67710753307455</v>
      </c>
      <c r="F366" s="76"/>
      <c r="G366" s="137"/>
      <c r="H366" s="78">
        <v>146.78569999999999</v>
      </c>
      <c r="I366" s="78">
        <v>153.91589999999999</v>
      </c>
      <c r="J366" s="79">
        <f t="shared" si="242"/>
        <v>241.30389831851994</v>
      </c>
      <c r="K366" s="80">
        <v>791743</v>
      </c>
      <c r="L366" s="81">
        <f t="shared" si="338"/>
        <v>367.17698528785843</v>
      </c>
      <c r="M366" s="151"/>
      <c r="N366" s="64"/>
      <c r="O366" s="39"/>
      <c r="P366" s="39"/>
      <c r="Q366" s="39"/>
      <c r="R366" s="39"/>
      <c r="S366" s="39"/>
      <c r="T366" s="39"/>
      <c r="U366" s="39"/>
      <c r="V366" s="39"/>
      <c r="W366" s="39"/>
      <c r="IH366" s="41"/>
      <c r="II366" s="41"/>
      <c r="IJ366" s="41"/>
      <c r="IK366" s="41"/>
      <c r="IL366" s="41"/>
      <c r="IM366" s="41"/>
    </row>
    <row r="367" spans="1:247" s="28" customFormat="1" ht="20.25" customHeight="1" x14ac:dyDescent="0.25">
      <c r="A367" s="75">
        <v>42004</v>
      </c>
      <c r="B367" s="144">
        <v>456.73739999999998</v>
      </c>
      <c r="C367" s="144">
        <f t="shared" si="387"/>
        <v>455.36718779999995</v>
      </c>
      <c r="D367" s="144">
        <f t="shared" si="388"/>
        <v>458.10761219999995</v>
      </c>
      <c r="E367" s="78">
        <f>6381.054/1800.553*100</f>
        <v>354.39412225021977</v>
      </c>
      <c r="F367" s="76"/>
      <c r="G367" s="137"/>
      <c r="H367" s="78">
        <v>148.20320000000001</v>
      </c>
      <c r="I367" s="78">
        <v>153.911</v>
      </c>
      <c r="J367" s="79">
        <f t="shared" ref="J367:J406" si="389">(E367/E368)*0.5*J368+(H367/H368)*0.5*J368</f>
        <v>245.85006411273281</v>
      </c>
      <c r="K367" s="80">
        <v>790241</v>
      </c>
      <c r="L367" s="81">
        <f t="shared" ref="L367:L454" si="390">K367*B367/1000000</f>
        <v>360.93261971340002</v>
      </c>
      <c r="M367" s="152"/>
      <c r="N367" s="66"/>
      <c r="O367" s="27"/>
      <c r="P367" s="27"/>
      <c r="Q367" s="27"/>
      <c r="R367" s="27"/>
      <c r="S367" s="27"/>
      <c r="T367" s="27"/>
      <c r="U367" s="27"/>
      <c r="V367" s="27"/>
      <c r="W367" s="27"/>
      <c r="IH367" s="32"/>
      <c r="II367" s="32"/>
      <c r="IJ367" s="32"/>
      <c r="IK367" s="32"/>
      <c r="IL367" s="32"/>
      <c r="IM367" s="32"/>
    </row>
    <row r="368" spans="1:247" s="28" customFormat="1" ht="20.25" customHeight="1" x14ac:dyDescent="0.25">
      <c r="A368" s="75">
        <v>41997</v>
      </c>
      <c r="B368" s="144">
        <v>454.13295900000003</v>
      </c>
      <c r="C368" s="144">
        <f t="shared" si="387"/>
        <v>452.77056012300005</v>
      </c>
      <c r="D368" s="144">
        <f t="shared" si="388"/>
        <v>455.495357877</v>
      </c>
      <c r="E368" s="78">
        <f>6440.3/1800.553*100</f>
        <v>357.68455580035686</v>
      </c>
      <c r="F368" s="76"/>
      <c r="G368" s="137"/>
      <c r="H368" s="78">
        <v>148.37440000000001</v>
      </c>
      <c r="I368" s="78">
        <v>153.90610000000001</v>
      </c>
      <c r="J368" s="79">
        <f t="shared" si="389"/>
        <v>247.12934135183554</v>
      </c>
      <c r="K368" s="80">
        <v>793940</v>
      </c>
      <c r="L368" s="81">
        <f t="shared" si="390"/>
        <v>360.55432146846005</v>
      </c>
      <c r="M368" s="152"/>
      <c r="N368" s="66"/>
      <c r="O368" s="27"/>
      <c r="P368" s="27"/>
      <c r="Q368" s="27"/>
      <c r="R368" s="27"/>
      <c r="S368" s="27"/>
      <c r="T368" s="27"/>
      <c r="U368" s="27"/>
      <c r="V368" s="27"/>
      <c r="W368" s="27"/>
      <c r="IH368" s="32"/>
      <c r="II368" s="32"/>
      <c r="IJ368" s="32"/>
      <c r="IK368" s="32"/>
      <c r="IL368" s="32"/>
      <c r="IM368" s="32"/>
    </row>
    <row r="369" spans="1:247" s="28" customFormat="1" ht="20.25" customHeight="1" x14ac:dyDescent="0.25">
      <c r="A369" s="75">
        <v>41990</v>
      </c>
      <c r="B369" s="144">
        <v>451.09710000000001</v>
      </c>
      <c r="C369" s="144">
        <f t="shared" si="387"/>
        <v>449.74380869999999</v>
      </c>
      <c r="D369" s="144">
        <f t="shared" ref="D369:D374" si="391">1.003*B369</f>
        <v>452.45039129999998</v>
      </c>
      <c r="E369" s="78">
        <f>6238.131/1800.553*100</f>
        <v>346.45639422999488</v>
      </c>
      <c r="F369" s="76"/>
      <c r="G369" s="137"/>
      <c r="H369" s="78">
        <v>149.2045</v>
      </c>
      <c r="I369" s="78">
        <v>153.90090000000001</v>
      </c>
      <c r="J369" s="79">
        <f t="shared" si="389"/>
        <v>243.85617211789014</v>
      </c>
      <c r="K369" s="80">
        <v>798239.32</v>
      </c>
      <c r="L369" s="81">
        <f t="shared" si="390"/>
        <v>360.08344235797199</v>
      </c>
      <c r="M369" s="152"/>
      <c r="N369" s="66"/>
      <c r="O369" s="27"/>
      <c r="P369" s="27"/>
      <c r="Q369" s="27"/>
      <c r="R369" s="27"/>
      <c r="S369" s="27"/>
      <c r="T369" s="27"/>
      <c r="U369" s="27"/>
      <c r="V369" s="27"/>
      <c r="W369" s="27"/>
      <c r="IH369" s="32"/>
      <c r="II369" s="32"/>
      <c r="IJ369" s="32"/>
      <c r="IK369" s="32"/>
      <c r="IL369" s="32"/>
      <c r="IM369" s="32"/>
    </row>
    <row r="370" spans="1:247" s="40" customFormat="1" ht="20.25" customHeight="1" x14ac:dyDescent="0.25">
      <c r="A370" s="75">
        <v>41983</v>
      </c>
      <c r="B370" s="144">
        <v>456.70890000000003</v>
      </c>
      <c r="C370" s="144">
        <f t="shared" ref="C370:C376" si="392">0.997*B370</f>
        <v>455.33877330000001</v>
      </c>
      <c r="D370" s="144">
        <f t="shared" si="391"/>
        <v>458.07902669999999</v>
      </c>
      <c r="E370" s="78">
        <f>6332.732/1800.553*100</f>
        <v>351.71039119648236</v>
      </c>
      <c r="F370" s="76"/>
      <c r="G370" s="137"/>
      <c r="H370" s="78">
        <v>149.87989999999999</v>
      </c>
      <c r="I370" s="78">
        <v>153.89510000000001</v>
      </c>
      <c r="J370" s="79">
        <f t="shared" si="389"/>
        <v>246.25030289502837</v>
      </c>
      <c r="K370" s="80">
        <v>846190.97</v>
      </c>
      <c r="L370" s="81">
        <f t="shared" si="390"/>
        <v>386.46294709863298</v>
      </c>
      <c r="M370" s="151"/>
      <c r="N370" s="64"/>
      <c r="O370" s="39"/>
      <c r="P370" s="39"/>
      <c r="Q370" s="39"/>
      <c r="R370" s="39"/>
      <c r="S370" s="39"/>
      <c r="T370" s="39"/>
      <c r="U370" s="39"/>
      <c r="V370" s="39"/>
      <c r="W370" s="39"/>
      <c r="IH370" s="41"/>
      <c r="II370" s="41"/>
      <c r="IJ370" s="41"/>
      <c r="IK370" s="41"/>
      <c r="IL370" s="41"/>
      <c r="IM370" s="41"/>
    </row>
    <row r="371" spans="1:247" s="40" customFormat="1" ht="20.25" customHeight="1" x14ac:dyDescent="0.25">
      <c r="A371" s="75">
        <v>41976</v>
      </c>
      <c r="B371" s="144">
        <v>458.48320000000001</v>
      </c>
      <c r="C371" s="144">
        <f t="shared" si="392"/>
        <v>457.10775039999999</v>
      </c>
      <c r="D371" s="144">
        <f t="shared" si="391"/>
        <v>459.85864959999998</v>
      </c>
      <c r="E371" s="78">
        <f>6485.317/1800.553*100</f>
        <v>360.18473213507184</v>
      </c>
      <c r="F371" s="76"/>
      <c r="G371" s="137"/>
      <c r="H371" s="78">
        <v>149.23929999999999</v>
      </c>
      <c r="I371" s="78">
        <v>153.88929999999999</v>
      </c>
      <c r="J371" s="79">
        <f t="shared" si="389"/>
        <v>248.64165475646985</v>
      </c>
      <c r="K371" s="80">
        <v>856404.78</v>
      </c>
      <c r="L371" s="81">
        <f t="shared" si="390"/>
        <v>392.64720402969607</v>
      </c>
      <c r="M371" s="151"/>
      <c r="N371" s="64"/>
      <c r="O371" s="39"/>
      <c r="P371" s="39"/>
      <c r="Q371" s="39"/>
      <c r="R371" s="39"/>
      <c r="S371" s="39"/>
      <c r="T371" s="39"/>
      <c r="U371" s="39"/>
      <c r="V371" s="39"/>
      <c r="W371" s="39"/>
      <c r="IH371" s="41"/>
      <c r="II371" s="41"/>
      <c r="IJ371" s="41"/>
      <c r="IK371" s="41"/>
      <c r="IL371" s="41"/>
      <c r="IM371" s="41"/>
    </row>
    <row r="372" spans="1:247" s="40" customFormat="1" ht="20.25" customHeight="1" x14ac:dyDescent="0.25">
      <c r="A372" s="75">
        <v>41969</v>
      </c>
      <c r="B372" s="144">
        <v>461.57339999999999</v>
      </c>
      <c r="C372" s="144">
        <f t="shared" si="392"/>
        <v>460.18867979999999</v>
      </c>
      <c r="D372" s="144">
        <f t="shared" si="391"/>
        <v>462.95812019999994</v>
      </c>
      <c r="E372" s="78">
        <f>6514.333/1800.553*100</f>
        <v>361.79623704495225</v>
      </c>
      <c r="F372" s="76"/>
      <c r="G372" s="137"/>
      <c r="H372" s="78">
        <v>150.45750000000001</v>
      </c>
      <c r="I372" s="78">
        <v>153.88390000000001</v>
      </c>
      <c r="J372" s="79">
        <f t="shared" si="389"/>
        <v>250.21183621272894</v>
      </c>
      <c r="K372" s="80">
        <v>884679.02</v>
      </c>
      <c r="L372" s="81">
        <f t="shared" si="390"/>
        <v>408.34430317006803</v>
      </c>
      <c r="M372" s="151"/>
      <c r="N372" s="64"/>
      <c r="O372" s="39"/>
      <c r="P372" s="39"/>
      <c r="Q372" s="39"/>
      <c r="R372" s="39"/>
      <c r="S372" s="39"/>
      <c r="T372" s="39"/>
      <c r="U372" s="39"/>
      <c r="V372" s="39"/>
      <c r="W372" s="39"/>
      <c r="IH372" s="41"/>
      <c r="II372" s="41"/>
      <c r="IJ372" s="41"/>
      <c r="IK372" s="41"/>
      <c r="IL372" s="41"/>
      <c r="IM372" s="41"/>
    </row>
    <row r="373" spans="1:247" s="40" customFormat="1" ht="20.25" customHeight="1" x14ac:dyDescent="0.25">
      <c r="A373" s="75">
        <v>41962</v>
      </c>
      <c r="B373" s="144">
        <v>454.45150000000001</v>
      </c>
      <c r="C373" s="144">
        <f t="shared" si="392"/>
        <v>453.0881455</v>
      </c>
      <c r="D373" s="144">
        <f t="shared" si="391"/>
        <v>455.81485449999997</v>
      </c>
      <c r="E373" s="78">
        <f>6424.626/1800.553*100</f>
        <v>356.81404546269954</v>
      </c>
      <c r="F373" s="76"/>
      <c r="G373" s="137"/>
      <c r="H373" s="78">
        <v>150.3734</v>
      </c>
      <c r="I373" s="78">
        <v>153.8785</v>
      </c>
      <c r="J373" s="79">
        <f t="shared" si="389"/>
        <v>248.40811184677557</v>
      </c>
      <c r="K373" s="80">
        <v>908593</v>
      </c>
      <c r="L373" s="81">
        <f t="shared" si="390"/>
        <v>412.91145173949997</v>
      </c>
      <c r="M373" s="151"/>
      <c r="N373" s="64"/>
      <c r="O373" s="39"/>
      <c r="P373" s="39"/>
      <c r="Q373" s="39"/>
      <c r="R373" s="39"/>
      <c r="S373" s="39"/>
      <c r="T373" s="39"/>
      <c r="U373" s="39"/>
      <c r="V373" s="39"/>
      <c r="W373" s="39"/>
      <c r="IH373" s="41"/>
      <c r="II373" s="41"/>
      <c r="IJ373" s="41"/>
      <c r="IK373" s="41"/>
      <c r="IL373" s="41"/>
      <c r="IM373" s="41"/>
    </row>
    <row r="374" spans="1:247" s="28" customFormat="1" ht="20.25" customHeight="1" x14ac:dyDescent="0.25">
      <c r="A374" s="75">
        <v>41955</v>
      </c>
      <c r="B374" s="144">
        <v>452.78789999999998</v>
      </c>
      <c r="C374" s="144">
        <f t="shared" si="392"/>
        <v>451.4295363</v>
      </c>
      <c r="D374" s="144">
        <f t="shared" si="391"/>
        <v>454.14626369999991</v>
      </c>
      <c r="E374" s="78">
        <f>6385.575/1800.553*100</f>
        <v>354.64521177660419</v>
      </c>
      <c r="F374" s="76"/>
      <c r="G374" s="137"/>
      <c r="H374" s="78">
        <v>150.65530000000001</v>
      </c>
      <c r="I374" s="78">
        <v>153.87309999999999</v>
      </c>
      <c r="J374" s="79">
        <f t="shared" si="389"/>
        <v>247.88206351499511</v>
      </c>
      <c r="K374" s="80">
        <v>927711.83</v>
      </c>
      <c r="L374" s="81">
        <f t="shared" si="390"/>
        <v>420.05669131085693</v>
      </c>
      <c r="M374" s="152"/>
      <c r="N374" s="66"/>
      <c r="O374" s="27"/>
      <c r="P374" s="27"/>
      <c r="Q374" s="27"/>
      <c r="R374" s="27"/>
      <c r="S374" s="27"/>
      <c r="T374" s="27"/>
      <c r="U374" s="27"/>
      <c r="V374" s="27"/>
      <c r="W374" s="27"/>
      <c r="IH374" s="32"/>
      <c r="II374" s="32"/>
      <c r="IJ374" s="32"/>
      <c r="IK374" s="32"/>
      <c r="IL374" s="32"/>
      <c r="IM374" s="32"/>
    </row>
    <row r="375" spans="1:247" s="40" customFormat="1" ht="20.25" customHeight="1" x14ac:dyDescent="0.25">
      <c r="A375" s="75">
        <v>41948</v>
      </c>
      <c r="B375" s="144">
        <v>447.57600000000002</v>
      </c>
      <c r="C375" s="144">
        <f t="shared" si="392"/>
        <v>446.233272</v>
      </c>
      <c r="D375" s="144">
        <f t="shared" ref="D375:D380" si="393">1.003*B375</f>
        <v>448.91872799999999</v>
      </c>
      <c r="E375" s="78">
        <f>6348.179/1800.553*100</f>
        <v>352.5682942962523</v>
      </c>
      <c r="F375" s="76"/>
      <c r="G375" s="137"/>
      <c r="H375" s="78">
        <v>150.9599</v>
      </c>
      <c r="I375" s="78">
        <v>153.86770000000001</v>
      </c>
      <c r="J375" s="79">
        <f t="shared" si="389"/>
        <v>247.40295917443734</v>
      </c>
      <c r="K375" s="80">
        <v>928555.1</v>
      </c>
      <c r="L375" s="81">
        <f t="shared" si="390"/>
        <v>415.59897743760001</v>
      </c>
      <c r="M375" s="151"/>
      <c r="N375" s="64"/>
      <c r="O375" s="39"/>
      <c r="P375" s="39"/>
      <c r="Q375" s="39"/>
      <c r="R375" s="39"/>
      <c r="S375" s="39"/>
      <c r="T375" s="39"/>
      <c r="U375" s="39"/>
      <c r="V375" s="39"/>
      <c r="W375" s="39"/>
      <c r="IH375" s="41"/>
      <c r="II375" s="41"/>
      <c r="IJ375" s="41"/>
      <c r="IK375" s="41"/>
      <c r="IL375" s="41"/>
      <c r="IM375" s="41"/>
    </row>
    <row r="376" spans="1:247" s="40" customFormat="1" ht="20.25" customHeight="1" x14ac:dyDescent="0.25">
      <c r="A376" s="75">
        <v>41941</v>
      </c>
      <c r="B376" s="144">
        <v>460.78629999999998</v>
      </c>
      <c r="C376" s="144">
        <f t="shared" si="392"/>
        <v>459.4039411</v>
      </c>
      <c r="D376" s="144">
        <f t="shared" si="393"/>
        <v>462.16865889999991</v>
      </c>
      <c r="E376" s="78">
        <f>6271.31/1800.553*100</f>
        <v>348.29910588580287</v>
      </c>
      <c r="F376" s="76"/>
      <c r="G376" s="137"/>
      <c r="H376" s="78">
        <v>152.5179</v>
      </c>
      <c r="I376" s="78">
        <v>153.8623</v>
      </c>
      <c r="J376" s="79">
        <f t="shared" si="389"/>
        <v>247.150611816294</v>
      </c>
      <c r="K376" s="80">
        <v>929495.33</v>
      </c>
      <c r="L376" s="81">
        <f t="shared" si="390"/>
        <v>428.29871397797893</v>
      </c>
      <c r="M376" s="151"/>
      <c r="N376" s="64"/>
      <c r="O376" s="39"/>
      <c r="P376" s="39"/>
      <c r="Q376" s="39"/>
      <c r="R376" s="39"/>
      <c r="S376" s="39"/>
      <c r="T376" s="39"/>
      <c r="U376" s="39"/>
      <c r="V376" s="39"/>
      <c r="W376" s="39"/>
      <c r="IH376" s="41"/>
      <c r="II376" s="41"/>
      <c r="IJ376" s="41"/>
      <c r="IK376" s="41"/>
      <c r="IL376" s="41"/>
      <c r="IM376" s="41"/>
    </row>
    <row r="377" spans="1:247" s="40" customFormat="1" ht="20.25" customHeight="1" x14ac:dyDescent="0.25">
      <c r="A377" s="75">
        <v>41934</v>
      </c>
      <c r="B377" s="144">
        <v>463.33580000000001</v>
      </c>
      <c r="C377" s="144">
        <f t="shared" ref="C377:C383" si="394">0.997*B377</f>
        <v>461.9457926</v>
      </c>
      <c r="D377" s="144">
        <f t="shared" si="393"/>
        <v>464.72580739999995</v>
      </c>
      <c r="E377" s="78">
        <f>6124.32/1800.553*100</f>
        <v>340.1355028149685</v>
      </c>
      <c r="F377" s="76"/>
      <c r="G377" s="137"/>
      <c r="H377" s="78">
        <v>152.87780000000001</v>
      </c>
      <c r="I377" s="78">
        <v>153.8569</v>
      </c>
      <c r="J377" s="79">
        <f t="shared" si="389"/>
        <v>244.50423682156901</v>
      </c>
      <c r="K377" s="80">
        <v>936039.77</v>
      </c>
      <c r="L377" s="81">
        <f t="shared" si="390"/>
        <v>433.700735664766</v>
      </c>
      <c r="M377" s="151"/>
      <c r="N377" s="64"/>
      <c r="O377" s="39"/>
      <c r="P377" s="39"/>
      <c r="Q377" s="39"/>
      <c r="R377" s="39"/>
      <c r="S377" s="39"/>
      <c r="T377" s="39"/>
      <c r="U377" s="39"/>
      <c r="V377" s="39"/>
      <c r="W377" s="39"/>
      <c r="IH377" s="41"/>
      <c r="II377" s="41"/>
      <c r="IJ377" s="41"/>
      <c r="IK377" s="41"/>
      <c r="IL377" s="41"/>
      <c r="IM377" s="41"/>
    </row>
    <row r="378" spans="1:247" s="40" customFormat="1" ht="20.25" customHeight="1" x14ac:dyDescent="0.25">
      <c r="A378" s="75">
        <v>41927</v>
      </c>
      <c r="B378" s="144">
        <v>468.85579999999999</v>
      </c>
      <c r="C378" s="144">
        <f t="shared" si="394"/>
        <v>467.44923259999996</v>
      </c>
      <c r="D378" s="144">
        <f t="shared" si="393"/>
        <v>470.26236739999996</v>
      </c>
      <c r="E378" s="78">
        <f>5930.303/1800.553*100</f>
        <v>329.36009103869753</v>
      </c>
      <c r="F378" s="76"/>
      <c r="G378" s="137"/>
      <c r="H378" s="78">
        <v>153.61150000000001</v>
      </c>
      <c r="I378" s="78">
        <v>153.85149999999999</v>
      </c>
      <c r="J378" s="79">
        <f t="shared" si="389"/>
        <v>241.13558851260223</v>
      </c>
      <c r="K378" s="80">
        <v>938100.65</v>
      </c>
      <c r="L378" s="81">
        <f t="shared" si="390"/>
        <v>439.83393073627002</v>
      </c>
      <c r="M378" s="151"/>
      <c r="N378" s="64"/>
      <c r="O378" s="39"/>
      <c r="P378" s="39"/>
      <c r="Q378" s="39"/>
      <c r="R378" s="39"/>
      <c r="S378" s="39"/>
      <c r="T378" s="39"/>
      <c r="U378" s="39"/>
      <c r="V378" s="39"/>
      <c r="W378" s="39"/>
      <c r="IH378" s="41"/>
      <c r="II378" s="41"/>
      <c r="IJ378" s="41"/>
      <c r="IK378" s="41"/>
      <c r="IL378" s="41"/>
      <c r="IM378" s="41"/>
    </row>
    <row r="379" spans="1:247" s="40" customFormat="1" ht="20.25" customHeight="1" x14ac:dyDescent="0.25">
      <c r="A379" s="75">
        <v>41920</v>
      </c>
      <c r="B379" s="144">
        <v>474.6644</v>
      </c>
      <c r="C379" s="144">
        <f t="shared" si="394"/>
        <v>473.24040680000002</v>
      </c>
      <c r="D379" s="144">
        <f t="shared" si="393"/>
        <v>476.08839319999993</v>
      </c>
      <c r="E379" s="78">
        <f>6219.977/1800.553*100</f>
        <v>345.44814842995453</v>
      </c>
      <c r="F379" s="76"/>
      <c r="G379" s="137"/>
      <c r="H379" s="78">
        <v>153.13050000000001</v>
      </c>
      <c r="I379" s="78">
        <v>153.84630000000001</v>
      </c>
      <c r="J379" s="79">
        <f t="shared" si="389"/>
        <v>246.48813293872024</v>
      </c>
      <c r="K379" s="80">
        <v>942994.03</v>
      </c>
      <c r="L379" s="81">
        <f t="shared" si="390"/>
        <v>447.60569545353206</v>
      </c>
      <c r="M379" s="151"/>
      <c r="N379" s="64"/>
      <c r="O379" s="39"/>
      <c r="P379" s="39"/>
      <c r="Q379" s="39"/>
      <c r="R379" s="39"/>
      <c r="S379" s="39"/>
      <c r="T379" s="39"/>
      <c r="U379" s="39"/>
      <c r="V379" s="39"/>
      <c r="W379" s="39"/>
      <c r="IH379" s="41"/>
      <c r="II379" s="41"/>
      <c r="IJ379" s="41"/>
      <c r="IK379" s="41"/>
      <c r="IL379" s="41"/>
      <c r="IM379" s="41"/>
    </row>
    <row r="380" spans="1:247" s="40" customFormat="1" ht="20.25" customHeight="1" x14ac:dyDescent="0.25">
      <c r="A380" s="75">
        <v>41913</v>
      </c>
      <c r="B380" s="144">
        <v>477.61649999999997</v>
      </c>
      <c r="C380" s="144">
        <f t="shared" si="394"/>
        <v>476.1836505</v>
      </c>
      <c r="D380" s="144">
        <f t="shared" si="393"/>
        <v>479.04934949999995</v>
      </c>
      <c r="E380" s="78">
        <f>6239.373/1800.553*100</f>
        <v>346.52537303817212</v>
      </c>
      <c r="F380" s="76"/>
      <c r="G380" s="137"/>
      <c r="H380" s="78">
        <v>152.67529999999999</v>
      </c>
      <c r="I380" s="78">
        <v>153.8408</v>
      </c>
      <c r="J380" s="79">
        <f t="shared" si="389"/>
        <v>246.50380502301437</v>
      </c>
      <c r="K380" s="80">
        <v>949687.59</v>
      </c>
      <c r="L380" s="81">
        <f t="shared" si="390"/>
        <v>453.58646282923496</v>
      </c>
      <c r="M380" s="151"/>
      <c r="N380" s="64"/>
      <c r="O380" s="39"/>
      <c r="P380" s="39"/>
      <c r="Q380" s="39"/>
      <c r="R380" s="39"/>
      <c r="S380" s="39"/>
      <c r="T380" s="39"/>
      <c r="U380" s="39"/>
      <c r="V380" s="39"/>
      <c r="W380" s="39"/>
      <c r="IH380" s="41"/>
      <c r="II380" s="41"/>
      <c r="IJ380" s="41"/>
      <c r="IK380" s="41"/>
      <c r="IL380" s="41"/>
      <c r="IM380" s="41"/>
    </row>
    <row r="381" spans="1:247" s="40" customFormat="1" ht="20.25" customHeight="1" x14ac:dyDescent="0.25">
      <c r="A381" s="75">
        <v>41906</v>
      </c>
      <c r="B381" s="144">
        <v>483.4477</v>
      </c>
      <c r="C381" s="144">
        <f t="shared" si="394"/>
        <v>481.9973569</v>
      </c>
      <c r="D381" s="144">
        <f t="shared" ref="D381:D386" si="395">1.003*B381</f>
        <v>484.89804309999994</v>
      </c>
      <c r="E381" s="78">
        <f>6398.668/1800.553*100</f>
        <v>355.37237726409603</v>
      </c>
      <c r="F381" s="76"/>
      <c r="G381" s="137"/>
      <c r="H381" s="78">
        <v>153.4092</v>
      </c>
      <c r="I381" s="78">
        <v>153.83510000000001</v>
      </c>
      <c r="J381" s="79">
        <f t="shared" si="389"/>
        <v>250.21689391187755</v>
      </c>
      <c r="K381" s="80">
        <v>951211.11</v>
      </c>
      <c r="L381" s="81">
        <f t="shared" si="390"/>
        <v>459.860823343947</v>
      </c>
      <c r="M381" s="151"/>
      <c r="N381" s="64"/>
      <c r="O381" s="39"/>
      <c r="P381" s="39"/>
      <c r="Q381" s="39"/>
      <c r="R381" s="39"/>
      <c r="S381" s="39"/>
      <c r="T381" s="39"/>
      <c r="U381" s="39"/>
      <c r="V381" s="39"/>
      <c r="W381" s="39"/>
      <c r="IH381" s="41"/>
      <c r="II381" s="41"/>
      <c r="IJ381" s="41"/>
      <c r="IK381" s="41"/>
      <c r="IL381" s="41"/>
      <c r="IM381" s="41"/>
    </row>
    <row r="382" spans="1:247" s="40" customFormat="1" ht="20.25" customHeight="1" x14ac:dyDescent="0.25">
      <c r="A382" s="75">
        <v>41899</v>
      </c>
      <c r="B382" s="144">
        <v>486.17669999999998</v>
      </c>
      <c r="C382" s="144">
        <f t="shared" si="394"/>
        <v>484.71816989999996</v>
      </c>
      <c r="D382" s="144">
        <f t="shared" si="395"/>
        <v>487.63523009999994</v>
      </c>
      <c r="E382" s="78">
        <f>6439.896/1800.553*100</f>
        <v>357.66211824922675</v>
      </c>
      <c r="F382" s="76"/>
      <c r="G382" s="137"/>
      <c r="H382" s="78">
        <v>153.72559999999999</v>
      </c>
      <c r="I382" s="78">
        <v>153.8296</v>
      </c>
      <c r="J382" s="79">
        <f t="shared" si="389"/>
        <v>251.27983015274862</v>
      </c>
      <c r="K382" s="80">
        <v>952133.4</v>
      </c>
      <c r="L382" s="81">
        <f t="shared" si="390"/>
        <v>462.90507437177996</v>
      </c>
      <c r="M382" s="151"/>
      <c r="N382" s="64"/>
      <c r="O382" s="39"/>
      <c r="P382" s="39"/>
      <c r="Q382" s="39"/>
      <c r="R382" s="39"/>
      <c r="S382" s="39"/>
      <c r="T382" s="39"/>
      <c r="U382" s="39"/>
      <c r="V382" s="39"/>
      <c r="W382" s="39"/>
      <c r="IH382" s="41"/>
      <c r="II382" s="41"/>
      <c r="IJ382" s="41"/>
      <c r="IK382" s="41"/>
      <c r="IL382" s="41"/>
      <c r="IM382" s="41"/>
    </row>
    <row r="383" spans="1:247" s="40" customFormat="1" ht="20.25" customHeight="1" x14ac:dyDescent="0.25">
      <c r="A383" s="75">
        <v>41892</v>
      </c>
      <c r="B383" s="144">
        <v>490.3639</v>
      </c>
      <c r="C383" s="144">
        <f t="shared" si="394"/>
        <v>488.89280830000001</v>
      </c>
      <c r="D383" s="144">
        <f t="shared" si="395"/>
        <v>491.83499169999993</v>
      </c>
      <c r="E383" s="78">
        <f>6439.908/1800.553*100</f>
        <v>357.66278471114151</v>
      </c>
      <c r="F383" s="76"/>
      <c r="G383" s="137"/>
      <c r="H383" s="78">
        <v>154.19329999999999</v>
      </c>
      <c r="I383" s="78">
        <v>153.82419999999999</v>
      </c>
      <c r="J383" s="79">
        <f t="shared" si="389"/>
        <v>251.6617355317845</v>
      </c>
      <c r="K383" s="80">
        <v>977066.5</v>
      </c>
      <c r="L383" s="81">
        <f t="shared" si="390"/>
        <v>479.11813949935004</v>
      </c>
      <c r="M383" s="151"/>
      <c r="N383" s="64"/>
      <c r="O383" s="39"/>
      <c r="P383" s="39"/>
      <c r="Q383" s="39"/>
      <c r="R383" s="39"/>
      <c r="S383" s="39"/>
      <c r="T383" s="39"/>
      <c r="U383" s="39"/>
      <c r="V383" s="39"/>
      <c r="W383" s="39"/>
      <c r="IH383" s="41"/>
      <c r="II383" s="41"/>
      <c r="IJ383" s="41"/>
      <c r="IK383" s="41"/>
      <c r="IL383" s="41"/>
      <c r="IM383" s="41"/>
    </row>
    <row r="384" spans="1:247" s="40" customFormat="1" ht="20.25" customHeight="1" x14ac:dyDescent="0.25">
      <c r="A384" s="75">
        <v>41885</v>
      </c>
      <c r="B384" s="144">
        <v>498.39139999999998</v>
      </c>
      <c r="C384" s="144">
        <f t="shared" ref="C384:C390" si="396">0.997*B384</f>
        <v>496.89622579999997</v>
      </c>
      <c r="D384" s="144">
        <f t="shared" si="395"/>
        <v>499.88657419999993</v>
      </c>
      <c r="E384" s="78">
        <f>6497.889/1800.553*100</f>
        <v>360.88296206776471</v>
      </c>
      <c r="F384" s="76"/>
      <c r="G384" s="137"/>
      <c r="H384" s="78">
        <v>155.67410000000001</v>
      </c>
      <c r="I384" s="78">
        <v>153.81880000000001</v>
      </c>
      <c r="J384" s="79">
        <f t="shared" si="389"/>
        <v>254.00303792069229</v>
      </c>
      <c r="K384" s="80">
        <v>989497.82</v>
      </c>
      <c r="L384" s="81">
        <f t="shared" si="390"/>
        <v>493.15720380674799</v>
      </c>
      <c r="M384" s="151"/>
      <c r="N384" s="64"/>
      <c r="O384" s="39"/>
      <c r="P384" s="39"/>
      <c r="Q384" s="39"/>
      <c r="R384" s="39"/>
      <c r="S384" s="39"/>
      <c r="T384" s="39"/>
      <c r="U384" s="39"/>
      <c r="V384" s="39"/>
      <c r="W384" s="39"/>
      <c r="IH384" s="41"/>
      <c r="II384" s="41"/>
      <c r="IJ384" s="41"/>
      <c r="IK384" s="41"/>
      <c r="IL384" s="41"/>
      <c r="IM384" s="41"/>
    </row>
    <row r="385" spans="1:247" s="40" customFormat="1" ht="20.25" customHeight="1" x14ac:dyDescent="0.25">
      <c r="A385" s="75">
        <v>41878</v>
      </c>
      <c r="B385" s="144">
        <v>499.4513</v>
      </c>
      <c r="C385" s="144">
        <f t="shared" si="396"/>
        <v>497.95294610000002</v>
      </c>
      <c r="D385" s="144">
        <f t="shared" si="395"/>
        <v>500.94965389999993</v>
      </c>
      <c r="E385" s="78">
        <f>6489.817/1800.553*100</f>
        <v>360.43465535310537</v>
      </c>
      <c r="F385" s="76"/>
      <c r="G385" s="137"/>
      <c r="H385" s="78">
        <v>156.08940000000001</v>
      </c>
      <c r="I385" s="78">
        <v>153.81290000000001</v>
      </c>
      <c r="J385" s="79">
        <f t="shared" si="389"/>
        <v>254.18310886375741</v>
      </c>
      <c r="K385" s="80">
        <v>990268.69</v>
      </c>
      <c r="L385" s="81">
        <f t="shared" si="390"/>
        <v>494.590984569797</v>
      </c>
      <c r="M385" s="151"/>
      <c r="N385" s="64"/>
      <c r="O385" s="39"/>
      <c r="P385" s="39"/>
      <c r="Q385" s="39"/>
      <c r="R385" s="39"/>
      <c r="S385" s="39"/>
      <c r="T385" s="39"/>
      <c r="U385" s="39"/>
      <c r="V385" s="39"/>
      <c r="W385" s="39"/>
      <c r="IH385" s="41"/>
      <c r="II385" s="41"/>
      <c r="IJ385" s="41"/>
      <c r="IK385" s="41"/>
      <c r="IL385" s="41"/>
      <c r="IM385" s="41"/>
    </row>
    <row r="386" spans="1:247" s="40" customFormat="1" ht="20.25" customHeight="1" x14ac:dyDescent="0.25">
      <c r="A386" s="75">
        <v>41871</v>
      </c>
      <c r="B386" s="144">
        <v>497.53557999999998</v>
      </c>
      <c r="C386" s="144">
        <f t="shared" si="396"/>
        <v>496.04297326</v>
      </c>
      <c r="D386" s="144">
        <f t="shared" si="395"/>
        <v>499.02818673999991</v>
      </c>
      <c r="E386" s="78">
        <f>6432.098/1800.553*100</f>
        <v>357.22902908162098</v>
      </c>
      <c r="F386" s="76"/>
      <c r="G386" s="137"/>
      <c r="H386" s="78">
        <v>156.1823</v>
      </c>
      <c r="I386" s="78">
        <v>153.80719999999999</v>
      </c>
      <c r="J386" s="79">
        <f t="shared" si="389"/>
        <v>253.12268041753572</v>
      </c>
      <c r="K386" s="80">
        <v>991107</v>
      </c>
      <c r="L386" s="81">
        <f t="shared" si="390"/>
        <v>493.11099608705996</v>
      </c>
      <c r="M386" s="151"/>
      <c r="N386" s="64"/>
      <c r="O386" s="39"/>
      <c r="P386" s="39"/>
      <c r="Q386" s="39"/>
      <c r="R386" s="39"/>
      <c r="S386" s="39"/>
      <c r="T386" s="39"/>
      <c r="U386" s="39"/>
      <c r="V386" s="39"/>
      <c r="W386" s="39"/>
      <c r="IH386" s="41"/>
      <c r="II386" s="41"/>
      <c r="IJ386" s="41"/>
      <c r="IK386" s="41"/>
      <c r="IL386" s="41"/>
      <c r="IM386" s="41"/>
    </row>
    <row r="387" spans="1:247" s="28" customFormat="1" ht="20.25" customHeight="1" x14ac:dyDescent="0.25">
      <c r="A387" s="75">
        <v>41864</v>
      </c>
      <c r="B387" s="144">
        <v>497.73648300000002</v>
      </c>
      <c r="C387" s="144">
        <f t="shared" si="396"/>
        <v>496.24327355100002</v>
      </c>
      <c r="D387" s="144">
        <f t="shared" ref="D387:D392" si="397">1.003*B387</f>
        <v>499.22969244899997</v>
      </c>
      <c r="E387" s="78">
        <f>6328.167/1800.553*100</f>
        <v>351.45685797641056</v>
      </c>
      <c r="F387" s="76"/>
      <c r="G387" s="137"/>
      <c r="H387" s="78">
        <v>156.81630000000001</v>
      </c>
      <c r="I387" s="78">
        <v>153.80119999999999</v>
      </c>
      <c r="J387" s="79">
        <f t="shared" si="389"/>
        <v>251.56541401284824</v>
      </c>
      <c r="K387" s="80">
        <v>991507</v>
      </c>
      <c r="L387" s="81">
        <f t="shared" si="390"/>
        <v>493.50920704988101</v>
      </c>
      <c r="M387" s="152"/>
      <c r="N387" s="66"/>
      <c r="O387" s="27"/>
      <c r="P387" s="27"/>
      <c r="Q387" s="27"/>
      <c r="R387" s="27"/>
      <c r="S387" s="27"/>
      <c r="T387" s="27"/>
      <c r="U387" s="27"/>
      <c r="V387" s="27"/>
      <c r="W387" s="27"/>
      <c r="IH387" s="32"/>
      <c r="II387" s="32"/>
      <c r="IJ387" s="32"/>
      <c r="IK387" s="32"/>
      <c r="IL387" s="32"/>
      <c r="IM387" s="32"/>
    </row>
    <row r="388" spans="1:247" s="28" customFormat="1" ht="20.25" customHeight="1" x14ac:dyDescent="0.25">
      <c r="A388" s="75">
        <v>41857</v>
      </c>
      <c r="B388" s="144">
        <v>499.15379999999999</v>
      </c>
      <c r="C388" s="144">
        <f t="shared" si="396"/>
        <v>497.65633859999997</v>
      </c>
      <c r="D388" s="144">
        <f t="shared" si="397"/>
        <v>500.65126139999995</v>
      </c>
      <c r="E388" s="78">
        <f>6265.639/1800.553*100</f>
        <v>347.98414709258765</v>
      </c>
      <c r="F388" s="76"/>
      <c r="G388" s="137"/>
      <c r="H388" s="78">
        <v>157.0874</v>
      </c>
      <c r="I388" s="78">
        <v>153.79519999999999</v>
      </c>
      <c r="J388" s="79">
        <f t="shared" si="389"/>
        <v>250.53150581227007</v>
      </c>
      <c r="K388" s="80">
        <v>993314.31</v>
      </c>
      <c r="L388" s="81">
        <f t="shared" si="390"/>
        <v>495.81661243087802</v>
      </c>
      <c r="M388" s="152"/>
      <c r="N388" s="66"/>
      <c r="O388" s="27"/>
      <c r="P388" s="27"/>
      <c r="Q388" s="27"/>
      <c r="R388" s="27"/>
      <c r="S388" s="27"/>
      <c r="T388" s="27"/>
      <c r="U388" s="27"/>
      <c r="V388" s="27"/>
      <c r="W388" s="27"/>
      <c r="IH388" s="32"/>
      <c r="II388" s="32"/>
      <c r="IJ388" s="32"/>
      <c r="IK388" s="32"/>
      <c r="IL388" s="32"/>
      <c r="IM388" s="32"/>
    </row>
    <row r="389" spans="1:247" s="40" customFormat="1" ht="20.25" customHeight="1" x14ac:dyDescent="0.25">
      <c r="A389" s="75">
        <v>41850</v>
      </c>
      <c r="B389" s="144">
        <v>498.57850000000002</v>
      </c>
      <c r="C389" s="144">
        <f t="shared" si="396"/>
        <v>497.0827645</v>
      </c>
      <c r="D389" s="144">
        <f t="shared" si="397"/>
        <v>500.07423549999999</v>
      </c>
      <c r="E389" s="78">
        <f>6436.578/1800.553*100</f>
        <v>357.47784152979671</v>
      </c>
      <c r="F389" s="76"/>
      <c r="G389" s="137"/>
      <c r="H389" s="78">
        <v>157.102</v>
      </c>
      <c r="I389" s="78">
        <v>153.78919999999999</v>
      </c>
      <c r="J389" s="79">
        <f t="shared" si="389"/>
        <v>253.91496949672236</v>
      </c>
      <c r="K389" s="80">
        <v>992517</v>
      </c>
      <c r="L389" s="81">
        <f t="shared" si="390"/>
        <v>494.84763708450004</v>
      </c>
      <c r="M389" s="151"/>
      <c r="N389" s="64"/>
      <c r="O389" s="39"/>
      <c r="P389" s="39"/>
      <c r="Q389" s="39"/>
      <c r="R389" s="39"/>
      <c r="S389" s="39"/>
      <c r="T389" s="39"/>
      <c r="U389" s="39"/>
      <c r="V389" s="39"/>
      <c r="W389" s="39"/>
      <c r="IH389" s="41"/>
      <c r="II389" s="41"/>
      <c r="IJ389" s="41"/>
      <c r="IK389" s="41"/>
      <c r="IL389" s="41"/>
      <c r="IM389" s="41"/>
    </row>
    <row r="390" spans="1:247" s="40" customFormat="1" ht="20.25" customHeight="1" x14ac:dyDescent="0.25">
      <c r="A390" s="75">
        <v>41843</v>
      </c>
      <c r="B390" s="144">
        <v>502.18220000000002</v>
      </c>
      <c r="C390" s="144">
        <f t="shared" si="396"/>
        <v>500.67565340000004</v>
      </c>
      <c r="D390" s="144">
        <f t="shared" si="397"/>
        <v>503.68874659999994</v>
      </c>
      <c r="E390" s="78">
        <f>6486.901/1800.553*100</f>
        <v>360.2727051078196</v>
      </c>
      <c r="F390" s="76"/>
      <c r="G390" s="137"/>
      <c r="H390" s="78">
        <v>157.84</v>
      </c>
      <c r="I390" s="78">
        <v>153.78309999999999</v>
      </c>
      <c r="J390" s="79">
        <f t="shared" si="389"/>
        <v>255.50333848812699</v>
      </c>
      <c r="K390" s="80">
        <v>994590.99</v>
      </c>
      <c r="L390" s="81">
        <f t="shared" si="390"/>
        <v>499.465891458378</v>
      </c>
      <c r="M390" s="151"/>
      <c r="N390" s="64"/>
      <c r="O390" s="39"/>
      <c r="P390" s="39"/>
      <c r="Q390" s="39"/>
      <c r="R390" s="39"/>
      <c r="S390" s="39"/>
      <c r="T390" s="39"/>
      <c r="U390" s="39"/>
      <c r="V390" s="39"/>
      <c r="W390" s="39"/>
      <c r="IH390" s="41"/>
      <c r="II390" s="41"/>
      <c r="IJ390" s="41"/>
      <c r="IK390" s="41"/>
      <c r="IL390" s="41"/>
      <c r="IM390" s="41"/>
    </row>
    <row r="391" spans="1:247" s="40" customFormat="1" ht="20.25" customHeight="1" x14ac:dyDescent="0.25">
      <c r="A391" s="75">
        <v>41836</v>
      </c>
      <c r="B391" s="144">
        <v>501.86219999999997</v>
      </c>
      <c r="C391" s="144">
        <f t="shared" ref="C391:C397" si="398">0.997*B391</f>
        <v>500.35661339999996</v>
      </c>
      <c r="D391" s="144">
        <f t="shared" si="397"/>
        <v>503.36778659999993</v>
      </c>
      <c r="E391" s="78">
        <f>6476.301/1800.553*100</f>
        <v>359.68399708311836</v>
      </c>
      <c r="F391" s="76"/>
      <c r="G391" s="137"/>
      <c r="H391" s="78">
        <v>157.953</v>
      </c>
      <c r="I391" s="78">
        <v>153.77699999999999</v>
      </c>
      <c r="J391" s="79">
        <f t="shared" si="389"/>
        <v>255.38569071665344</v>
      </c>
      <c r="K391" s="80">
        <v>995929.1</v>
      </c>
      <c r="L391" s="81">
        <f t="shared" si="390"/>
        <v>499.81916917001996</v>
      </c>
      <c r="M391" s="151"/>
      <c r="N391" s="64"/>
      <c r="O391" s="39"/>
      <c r="P391" s="39"/>
      <c r="Q391" s="39"/>
      <c r="R391" s="39"/>
      <c r="S391" s="39"/>
      <c r="T391" s="39"/>
      <c r="U391" s="39"/>
      <c r="V391" s="39"/>
      <c r="W391" s="39"/>
      <c r="IH391" s="41"/>
      <c r="II391" s="41"/>
      <c r="IJ391" s="41"/>
      <c r="IK391" s="41"/>
      <c r="IL391" s="41"/>
      <c r="IM391" s="41"/>
    </row>
    <row r="392" spans="1:247" s="40" customFormat="1" ht="20.25" customHeight="1" x14ac:dyDescent="0.25">
      <c r="A392" s="75">
        <v>41829</v>
      </c>
      <c r="B392" s="144">
        <v>504.81099999999998</v>
      </c>
      <c r="C392" s="144">
        <f t="shared" si="398"/>
        <v>503.29656699999998</v>
      </c>
      <c r="D392" s="144">
        <f t="shared" si="397"/>
        <v>506.32543299999992</v>
      </c>
      <c r="E392" s="78">
        <f>6455.141/1800.553*100</f>
        <v>358.50880257343158</v>
      </c>
      <c r="F392" s="76"/>
      <c r="G392" s="137"/>
      <c r="H392" s="78">
        <v>158.37010000000001</v>
      </c>
      <c r="I392" s="78">
        <v>153.7706</v>
      </c>
      <c r="J392" s="79">
        <f t="shared" si="389"/>
        <v>255.30344430490899</v>
      </c>
      <c r="K392" s="80">
        <v>999712.61924922548</v>
      </c>
      <c r="L392" s="81">
        <f t="shared" si="390"/>
        <v>504.66592703582074</v>
      </c>
      <c r="M392" s="151"/>
      <c r="N392" s="64"/>
      <c r="O392" s="39"/>
      <c r="P392" s="39"/>
      <c r="Q392" s="39"/>
      <c r="R392" s="39"/>
      <c r="S392" s="39"/>
      <c r="T392" s="39"/>
      <c r="U392" s="39"/>
      <c r="V392" s="39"/>
      <c r="W392" s="39"/>
      <c r="IH392" s="41"/>
      <c r="II392" s="41"/>
      <c r="IJ392" s="41"/>
      <c r="IK392" s="41"/>
      <c r="IL392" s="41"/>
      <c r="IM392" s="41"/>
    </row>
    <row r="393" spans="1:247" s="40" customFormat="1" ht="20.25" customHeight="1" x14ac:dyDescent="0.25">
      <c r="A393" s="75">
        <v>41822</v>
      </c>
      <c r="B393" s="144">
        <v>504.51420000000002</v>
      </c>
      <c r="C393" s="144">
        <f t="shared" si="398"/>
        <v>503.00065740000002</v>
      </c>
      <c r="D393" s="144">
        <f t="shared" ref="D393:D398" si="399">1.003*B393</f>
        <v>506.02774259999995</v>
      </c>
      <c r="E393" s="78">
        <f>6493.642/1800.553*100</f>
        <v>360.64709008843391</v>
      </c>
      <c r="F393" s="76"/>
      <c r="G393" s="137"/>
      <c r="H393" s="78">
        <v>158.34289999999999</v>
      </c>
      <c r="I393" s="78">
        <v>153.7646</v>
      </c>
      <c r="J393" s="79">
        <f t="shared" si="389"/>
        <v>256.04048900843816</v>
      </c>
      <c r="K393" s="80">
        <v>1000265.86</v>
      </c>
      <c r="L393" s="81">
        <f t="shared" si="390"/>
        <v>504.64833014521201</v>
      </c>
      <c r="M393" s="151"/>
      <c r="N393" s="64"/>
      <c r="O393" s="39"/>
      <c r="P393" s="39"/>
      <c r="Q393" s="39"/>
      <c r="R393" s="39"/>
      <c r="S393" s="39"/>
      <c r="T393" s="39"/>
      <c r="U393" s="39"/>
      <c r="V393" s="39"/>
      <c r="W393" s="39"/>
      <c r="IH393" s="41"/>
      <c r="II393" s="41"/>
      <c r="IJ393" s="41"/>
      <c r="IK393" s="41"/>
      <c r="IL393" s="41"/>
      <c r="IM393" s="41"/>
    </row>
    <row r="394" spans="1:247" s="40" customFormat="1" ht="20.25" customHeight="1" x14ac:dyDescent="0.25">
      <c r="A394" s="75">
        <v>41815</v>
      </c>
      <c r="B394" s="144">
        <v>497.03050000000002</v>
      </c>
      <c r="C394" s="144">
        <f t="shared" si="398"/>
        <v>495.53940850000004</v>
      </c>
      <c r="D394" s="144">
        <f t="shared" si="399"/>
        <v>498.52159149999994</v>
      </c>
      <c r="E394" s="78">
        <f>6420.768/1800.553*100</f>
        <v>356.5997779571054</v>
      </c>
      <c r="F394" s="76"/>
      <c r="G394" s="137"/>
      <c r="H394" s="78">
        <v>157.98230000000001</v>
      </c>
      <c r="I394" s="78">
        <v>153.75800000000001</v>
      </c>
      <c r="J394" s="79">
        <f t="shared" si="389"/>
        <v>254.3070979045182</v>
      </c>
      <c r="K394" s="80">
        <v>999539.45</v>
      </c>
      <c r="L394" s="81">
        <f t="shared" si="390"/>
        <v>496.801592603225</v>
      </c>
      <c r="M394" s="151"/>
      <c r="N394" s="64"/>
      <c r="O394" s="39"/>
      <c r="P394" s="39"/>
      <c r="Q394" s="39"/>
      <c r="R394" s="39"/>
      <c r="S394" s="39"/>
      <c r="T394" s="39"/>
      <c r="U394" s="39"/>
      <c r="V394" s="39"/>
      <c r="W394" s="39"/>
      <c r="IH394" s="41"/>
      <c r="II394" s="41"/>
      <c r="IJ394" s="41"/>
      <c r="IK394" s="41"/>
      <c r="IL394" s="41"/>
      <c r="IM394" s="41"/>
    </row>
    <row r="395" spans="1:247" s="40" customFormat="1" ht="20.25" customHeight="1" x14ac:dyDescent="0.25">
      <c r="A395" s="75">
        <v>41808</v>
      </c>
      <c r="B395" s="144">
        <v>496.22800000000001</v>
      </c>
      <c r="C395" s="144">
        <f t="shared" si="398"/>
        <v>494.73931600000003</v>
      </c>
      <c r="D395" s="144">
        <f t="shared" si="399"/>
        <v>497.71668399999993</v>
      </c>
      <c r="E395" s="78">
        <f>6417.417/1800.553*100</f>
        <v>356.41366846740976</v>
      </c>
      <c r="F395" s="76"/>
      <c r="G395" s="137"/>
      <c r="H395" s="78">
        <v>157.84469999999999</v>
      </c>
      <c r="I395" s="78">
        <v>153.75239999999999</v>
      </c>
      <c r="J395" s="79">
        <f t="shared" si="389"/>
        <v>254.12998002917368</v>
      </c>
      <c r="K395" s="80">
        <v>1006392.16</v>
      </c>
      <c r="L395" s="81">
        <f t="shared" si="390"/>
        <v>499.39996877248001</v>
      </c>
      <c r="M395" s="151"/>
      <c r="N395" s="64"/>
      <c r="O395" s="39"/>
      <c r="P395" s="39"/>
      <c r="Q395" s="39"/>
      <c r="R395" s="39"/>
      <c r="S395" s="39"/>
      <c r="T395" s="39"/>
      <c r="U395" s="39"/>
      <c r="V395" s="39"/>
      <c r="W395" s="39"/>
      <c r="IH395" s="41"/>
      <c r="II395" s="41"/>
      <c r="IJ395" s="41"/>
      <c r="IK395" s="41"/>
      <c r="IL395" s="41"/>
      <c r="IM395" s="41"/>
    </row>
    <row r="396" spans="1:247" s="40" customFormat="1" ht="20.25" customHeight="1" x14ac:dyDescent="0.25">
      <c r="A396" s="87">
        <v>41801</v>
      </c>
      <c r="B396" s="153">
        <v>493.97789999999998</v>
      </c>
      <c r="C396" s="153">
        <f t="shared" si="398"/>
        <v>492.49596629999996</v>
      </c>
      <c r="D396" s="153">
        <f t="shared" si="399"/>
        <v>495.45983369999993</v>
      </c>
      <c r="E396" s="154">
        <f>6391.168/1800.553*100</f>
        <v>354.95583856737346</v>
      </c>
      <c r="F396" s="88"/>
      <c r="G396" s="77"/>
      <c r="H396" s="154">
        <v>157.39410000000001</v>
      </c>
      <c r="I396" s="154">
        <v>153.7465</v>
      </c>
      <c r="J396" s="155">
        <f t="shared" si="389"/>
        <v>253.24741893603675</v>
      </c>
      <c r="K396" s="156">
        <v>1115420.46</v>
      </c>
      <c r="L396" s="81">
        <f t="shared" si="390"/>
        <v>550.99305644783396</v>
      </c>
      <c r="M396" s="151"/>
      <c r="N396" s="64"/>
      <c r="O396" s="39"/>
      <c r="P396" s="39"/>
      <c r="Q396" s="39"/>
      <c r="R396" s="39"/>
      <c r="S396" s="39"/>
      <c r="T396" s="39"/>
      <c r="U396" s="39"/>
      <c r="V396" s="39"/>
      <c r="W396" s="39"/>
      <c r="IH396" s="41"/>
      <c r="II396" s="41"/>
      <c r="IJ396" s="41"/>
      <c r="IK396" s="41"/>
      <c r="IL396" s="41"/>
      <c r="IM396" s="41"/>
    </row>
    <row r="397" spans="1:247" s="40" customFormat="1" ht="20.25" customHeight="1" x14ac:dyDescent="0.25">
      <c r="A397" s="75">
        <v>41794</v>
      </c>
      <c r="B397" s="144">
        <v>489.80119999999999</v>
      </c>
      <c r="C397" s="144">
        <f t="shared" si="398"/>
        <v>488.33179639999997</v>
      </c>
      <c r="D397" s="144">
        <f t="shared" si="399"/>
        <v>491.27060359999996</v>
      </c>
      <c r="E397" s="78">
        <f>6338.588/1800.553*100</f>
        <v>352.03562461088336</v>
      </c>
      <c r="F397" s="76">
        <v>6338.5879999999997</v>
      </c>
      <c r="G397" s="137"/>
      <c r="H397" s="78">
        <v>157.2491</v>
      </c>
      <c r="I397" s="78">
        <v>153.7407</v>
      </c>
      <c r="J397" s="79">
        <f t="shared" si="389"/>
        <v>252.08564108162369</v>
      </c>
      <c r="K397" s="80">
        <v>1115636.1100000001</v>
      </c>
      <c r="L397" s="81">
        <f t="shared" si="390"/>
        <v>546.43990544133214</v>
      </c>
      <c r="M397" s="151"/>
      <c r="N397" s="64"/>
      <c r="O397" s="39"/>
      <c r="P397" s="39"/>
      <c r="Q397" s="39"/>
      <c r="R397" s="39"/>
      <c r="S397" s="39"/>
      <c r="T397" s="39"/>
      <c r="U397" s="39"/>
      <c r="V397" s="39"/>
      <c r="W397" s="39"/>
      <c r="IH397" s="41"/>
      <c r="II397" s="41"/>
      <c r="IJ397" s="41"/>
      <c r="IK397" s="41"/>
      <c r="IL397" s="41"/>
      <c r="IM397" s="41"/>
    </row>
    <row r="398" spans="1:247" s="40" customFormat="1" ht="20.25" customHeight="1" x14ac:dyDescent="0.25">
      <c r="A398" s="87">
        <v>41787</v>
      </c>
      <c r="B398" s="153">
        <v>489.05610000000001</v>
      </c>
      <c r="C398" s="153">
        <f t="shared" ref="C398:C403" si="400">0.997*B398</f>
        <v>487.58893169999999</v>
      </c>
      <c r="D398" s="153">
        <f t="shared" si="399"/>
        <v>490.52326829999998</v>
      </c>
      <c r="E398" s="154">
        <f>6292.372/1800.553*100</f>
        <v>349.46885762318578</v>
      </c>
      <c r="F398" s="88">
        <v>6292.3720000000003</v>
      </c>
      <c r="G398" s="77"/>
      <c r="H398" s="154">
        <v>158.51</v>
      </c>
      <c r="I398" s="154">
        <v>153.73480000000001</v>
      </c>
      <c r="J398" s="155">
        <f t="shared" si="389"/>
        <v>252.16254273438392</v>
      </c>
      <c r="K398" s="156">
        <v>1117251.5</v>
      </c>
      <c r="L398" s="81">
        <f t="shared" si="390"/>
        <v>546.39866130914993</v>
      </c>
      <c r="M398" s="151"/>
      <c r="N398" s="64"/>
      <c r="O398" s="39"/>
      <c r="P398" s="39"/>
      <c r="Q398" s="39"/>
      <c r="R398" s="39"/>
      <c r="S398" s="39"/>
      <c r="T398" s="39"/>
      <c r="U398" s="39"/>
      <c r="V398" s="39"/>
      <c r="W398" s="39"/>
      <c r="IH398" s="41"/>
      <c r="II398" s="41"/>
      <c r="IJ398" s="41"/>
      <c r="IK398" s="41"/>
      <c r="IL398" s="41"/>
      <c r="IM398" s="41"/>
    </row>
    <row r="399" spans="1:247" s="40" customFormat="1" ht="20.25" customHeight="1" x14ac:dyDescent="0.25">
      <c r="A399" s="75">
        <v>41780</v>
      </c>
      <c r="B399" s="144">
        <v>496.44490000000002</v>
      </c>
      <c r="C399" s="144">
        <f t="shared" si="400"/>
        <v>494.95556529999999</v>
      </c>
      <c r="D399" s="144">
        <f t="shared" ref="D399:D404" si="401">1.003*B399</f>
        <v>497.93423469999999</v>
      </c>
      <c r="E399" s="78">
        <f>6217.118/1800.553*100</f>
        <v>345.28936387876394</v>
      </c>
      <c r="F399" s="76">
        <v>6217.1180000000004</v>
      </c>
      <c r="G399" s="137"/>
      <c r="H399" s="78">
        <v>158.19460000000001</v>
      </c>
      <c r="I399" s="78">
        <v>153.7236</v>
      </c>
      <c r="J399" s="79">
        <f t="shared" si="389"/>
        <v>250.39748221422684</v>
      </c>
      <c r="K399" s="80">
        <v>1115039.73</v>
      </c>
      <c r="L399" s="81">
        <f t="shared" si="390"/>
        <v>553.55578725587702</v>
      </c>
      <c r="M399" s="151"/>
      <c r="N399" s="64"/>
      <c r="O399" s="39"/>
      <c r="P399" s="39"/>
      <c r="Q399" s="39"/>
      <c r="R399" s="39"/>
      <c r="S399" s="39"/>
      <c r="T399" s="39"/>
      <c r="U399" s="39"/>
      <c r="V399" s="39"/>
      <c r="W399" s="39"/>
      <c r="IH399" s="41"/>
      <c r="II399" s="41"/>
      <c r="IJ399" s="41"/>
      <c r="IK399" s="41"/>
      <c r="IL399" s="41"/>
      <c r="IM399" s="41"/>
    </row>
    <row r="400" spans="1:247" s="40" customFormat="1" ht="20.25" customHeight="1" x14ac:dyDescent="0.25">
      <c r="A400" s="75">
        <v>41773</v>
      </c>
      <c r="B400" s="144">
        <v>499.15030000000002</v>
      </c>
      <c r="C400" s="144">
        <f t="shared" si="400"/>
        <v>497.65284910000003</v>
      </c>
      <c r="D400" s="144">
        <f t="shared" si="401"/>
        <v>500.64775089999995</v>
      </c>
      <c r="E400" s="78">
        <f>6241.758/1800.553*100</f>
        <v>346.65783234372992</v>
      </c>
      <c r="F400" s="76">
        <v>6241.7579999999998</v>
      </c>
      <c r="G400" s="137"/>
      <c r="H400" s="78">
        <v>158.1439</v>
      </c>
      <c r="I400" s="78">
        <v>153.7122</v>
      </c>
      <c r="J400" s="79">
        <f t="shared" si="389"/>
        <v>250.85240451666044</v>
      </c>
      <c r="K400" s="80">
        <v>1112841.1100000001</v>
      </c>
      <c r="L400" s="81">
        <f t="shared" si="390"/>
        <v>555.47497390883302</v>
      </c>
      <c r="M400" s="151"/>
      <c r="N400" s="64"/>
      <c r="O400" s="39"/>
      <c r="P400" s="39"/>
      <c r="Q400" s="39"/>
      <c r="R400" s="39"/>
      <c r="S400" s="39"/>
      <c r="T400" s="39"/>
      <c r="U400" s="39"/>
      <c r="V400" s="39"/>
      <c r="W400" s="39"/>
      <c r="IH400" s="41"/>
      <c r="II400" s="41"/>
      <c r="IJ400" s="41"/>
      <c r="IK400" s="41"/>
      <c r="IL400" s="41"/>
      <c r="IM400" s="41"/>
    </row>
    <row r="401" spans="1:247" s="40" customFormat="1" ht="20.25" customHeight="1" x14ac:dyDescent="0.25">
      <c r="A401" s="75">
        <v>41766</v>
      </c>
      <c r="B401" s="144">
        <v>502.28609999999998</v>
      </c>
      <c r="C401" s="144">
        <f t="shared" si="400"/>
        <v>500.7792417</v>
      </c>
      <c r="D401" s="144">
        <f t="shared" si="401"/>
        <v>503.7929582999999</v>
      </c>
      <c r="E401" s="78">
        <f>6191.914/1800.553*100</f>
        <v>343.88957170380428</v>
      </c>
      <c r="F401" s="76">
        <v>6191.9139999999998</v>
      </c>
      <c r="G401" s="137"/>
      <c r="H401" s="78">
        <v>159.74459999999999</v>
      </c>
      <c r="I401" s="78">
        <v>153.70070000000001</v>
      </c>
      <c r="J401" s="79">
        <f t="shared" si="389"/>
        <v>251.09980268264371</v>
      </c>
      <c r="K401" s="80">
        <v>1109655.3</v>
      </c>
      <c r="L401" s="81">
        <f t="shared" si="390"/>
        <v>557.36443298133008</v>
      </c>
      <c r="M401" s="151"/>
      <c r="N401" s="64"/>
      <c r="O401" s="39"/>
      <c r="P401" s="39"/>
      <c r="Q401" s="39"/>
      <c r="R401" s="39"/>
      <c r="S401" s="39"/>
      <c r="T401" s="39"/>
      <c r="U401" s="39"/>
      <c r="V401" s="39"/>
      <c r="W401" s="39"/>
      <c r="IH401" s="41"/>
      <c r="II401" s="41"/>
      <c r="IJ401" s="41"/>
      <c r="IK401" s="41"/>
      <c r="IL401" s="41"/>
      <c r="IM401" s="41"/>
    </row>
    <row r="402" spans="1:247" s="40" customFormat="1" ht="20.25" customHeight="1" x14ac:dyDescent="0.25">
      <c r="A402" s="75">
        <v>41759</v>
      </c>
      <c r="B402" s="144">
        <v>503.09350000000001</v>
      </c>
      <c r="C402" s="144">
        <f t="shared" si="400"/>
        <v>501.58421950000002</v>
      </c>
      <c r="D402" s="144">
        <f t="shared" si="401"/>
        <v>504.60278049999994</v>
      </c>
      <c r="E402" s="78">
        <f>6198.798/1800.553*100</f>
        <v>344.27189868890275</v>
      </c>
      <c r="F402" s="76">
        <v>6198.7979999999998</v>
      </c>
      <c r="G402" s="137"/>
      <c r="H402" s="78">
        <v>158.49019999999999</v>
      </c>
      <c r="I402" s="78">
        <v>153.6892</v>
      </c>
      <c r="J402" s="79">
        <f t="shared" si="389"/>
        <v>250.24843909157082</v>
      </c>
      <c r="K402" s="80">
        <v>1108819.74</v>
      </c>
      <c r="L402" s="81">
        <f t="shared" si="390"/>
        <v>557.84000386568994</v>
      </c>
      <c r="M402" s="151"/>
      <c r="N402" s="64"/>
      <c r="O402" s="39"/>
      <c r="P402" s="39"/>
      <c r="Q402" s="39"/>
      <c r="R402" s="39"/>
      <c r="S402" s="39"/>
      <c r="T402" s="39"/>
      <c r="U402" s="39"/>
      <c r="V402" s="39"/>
      <c r="W402" s="39"/>
      <c r="IH402" s="41"/>
      <c r="II402" s="41"/>
      <c r="IJ402" s="41"/>
      <c r="IK402" s="41"/>
      <c r="IL402" s="41"/>
      <c r="IM402" s="41"/>
    </row>
    <row r="403" spans="1:247" s="40" customFormat="1" ht="20.25" customHeight="1" x14ac:dyDescent="0.25">
      <c r="A403" s="75">
        <v>41752</v>
      </c>
      <c r="B403" s="144">
        <v>502.62380000000002</v>
      </c>
      <c r="C403" s="144">
        <f t="shared" si="400"/>
        <v>501.11592860000002</v>
      </c>
      <c r="D403" s="144">
        <f t="shared" si="401"/>
        <v>504.13167139999996</v>
      </c>
      <c r="E403" s="78">
        <f>6163.326/1800.553*100</f>
        <v>342.3018372688835</v>
      </c>
      <c r="F403" s="76">
        <v>6163.326</v>
      </c>
      <c r="G403" s="137"/>
      <c r="H403" s="78">
        <v>158.1499</v>
      </c>
      <c r="I403" s="78">
        <v>153.67779999999999</v>
      </c>
      <c r="J403" s="79">
        <f t="shared" si="389"/>
        <v>249.2629667263563</v>
      </c>
      <c r="K403" s="80">
        <v>1110690.1000000001</v>
      </c>
      <c r="L403" s="81">
        <f t="shared" si="390"/>
        <v>558.25927868438009</v>
      </c>
      <c r="M403" s="151"/>
      <c r="N403" s="64"/>
      <c r="O403" s="39"/>
      <c r="P403" s="39"/>
      <c r="Q403" s="39"/>
      <c r="R403" s="39"/>
      <c r="S403" s="39"/>
      <c r="T403" s="39"/>
      <c r="U403" s="39"/>
      <c r="V403" s="39"/>
      <c r="W403" s="39"/>
      <c r="IH403" s="41"/>
      <c r="II403" s="41"/>
      <c r="IJ403" s="41"/>
      <c r="IK403" s="41"/>
      <c r="IL403" s="41"/>
      <c r="IM403" s="41"/>
    </row>
    <row r="404" spans="1:247" s="40" customFormat="1" ht="20.25" customHeight="1" x14ac:dyDescent="0.25">
      <c r="A404" s="75">
        <v>41745</v>
      </c>
      <c r="B404" s="144">
        <v>499.87</v>
      </c>
      <c r="C404" s="144">
        <f t="shared" ref="C404:C410" si="402">0.997*B404</f>
        <v>498.37038999999999</v>
      </c>
      <c r="D404" s="144">
        <f t="shared" si="401"/>
        <v>501.36960999999997</v>
      </c>
      <c r="E404" s="78">
        <f>6108.127/1800.553*100</f>
        <v>339.23616799949792</v>
      </c>
      <c r="F404" s="76">
        <v>6108.1270000000004</v>
      </c>
      <c r="G404" s="137"/>
      <c r="H404" s="78">
        <v>158.3202</v>
      </c>
      <c r="I404" s="78">
        <v>153.6661</v>
      </c>
      <c r="J404" s="79">
        <f t="shared" si="389"/>
        <v>248.27467112603637</v>
      </c>
      <c r="K404" s="80">
        <v>1113065.43</v>
      </c>
      <c r="L404" s="81">
        <f t="shared" si="390"/>
        <v>556.38801649409993</v>
      </c>
      <c r="M404" s="151"/>
      <c r="N404" s="64"/>
      <c r="O404" s="39"/>
      <c r="P404" s="39"/>
      <c r="Q404" s="39"/>
      <c r="R404" s="39"/>
      <c r="S404" s="39"/>
      <c r="T404" s="39"/>
      <c r="U404" s="39"/>
      <c r="V404" s="39"/>
      <c r="W404" s="39"/>
      <c r="IH404" s="41"/>
      <c r="II404" s="41"/>
      <c r="IJ404" s="41"/>
      <c r="IK404" s="41"/>
      <c r="IL404" s="41"/>
      <c r="IM404" s="41"/>
    </row>
    <row r="405" spans="1:247" s="40" customFormat="1" ht="20.25" customHeight="1" x14ac:dyDescent="0.25">
      <c r="A405" s="75">
        <v>41738</v>
      </c>
      <c r="B405" s="144">
        <v>499.37900000000002</v>
      </c>
      <c r="C405" s="144">
        <f t="shared" si="402"/>
        <v>497.88086300000003</v>
      </c>
      <c r="D405" s="144">
        <f t="shared" ref="D405:D410" si="403">1.003*B405</f>
        <v>500.87713699999995</v>
      </c>
      <c r="E405" s="78">
        <f>6142.728/1800.553*100</f>
        <v>341.15785539220445</v>
      </c>
      <c r="F405" s="76">
        <v>6142.7280000000001</v>
      </c>
      <c r="G405" s="137"/>
      <c r="H405" s="78">
        <v>158.55680000000001</v>
      </c>
      <c r="I405" s="78">
        <v>153.65430000000001</v>
      </c>
      <c r="J405" s="79">
        <f t="shared" si="389"/>
        <v>249.1623179986783</v>
      </c>
      <c r="K405" s="80">
        <v>1113491.93</v>
      </c>
      <c r="L405" s="81">
        <f t="shared" si="390"/>
        <v>556.05448651146992</v>
      </c>
      <c r="M405" s="151"/>
      <c r="N405" s="64"/>
      <c r="O405" s="39"/>
      <c r="P405" s="39"/>
      <c r="Q405" s="39"/>
      <c r="R405" s="39"/>
      <c r="S405" s="39"/>
      <c r="T405" s="39"/>
      <c r="U405" s="39"/>
      <c r="V405" s="39"/>
      <c r="W405" s="39"/>
      <c r="IH405" s="41"/>
      <c r="II405" s="41"/>
      <c r="IJ405" s="41"/>
      <c r="IK405" s="41"/>
      <c r="IL405" s="41"/>
      <c r="IM405" s="41"/>
    </row>
    <row r="406" spans="1:247" s="40" customFormat="1" ht="20.25" customHeight="1" x14ac:dyDescent="0.25">
      <c r="A406" s="75">
        <v>41731</v>
      </c>
      <c r="B406" s="144">
        <v>496.75119999999998</v>
      </c>
      <c r="C406" s="144">
        <f t="shared" si="402"/>
        <v>495.26094639999997</v>
      </c>
      <c r="D406" s="144">
        <f t="shared" si="403"/>
        <v>498.24145359999994</v>
      </c>
      <c r="E406" s="78">
        <f>6183.726/1800.553*100</f>
        <v>343.43482252396899</v>
      </c>
      <c r="F406" s="76">
        <v>6183.7259999999997</v>
      </c>
      <c r="G406" s="137"/>
      <c r="H406" s="78">
        <v>157.51580000000001</v>
      </c>
      <c r="I406" s="78">
        <v>153.64269999999999</v>
      </c>
      <c r="J406" s="79">
        <f t="shared" si="389"/>
        <v>249.16494948658595</v>
      </c>
      <c r="K406" s="80">
        <v>1117285.1599999999</v>
      </c>
      <c r="L406" s="81">
        <f t="shared" si="390"/>
        <v>555.01274397219197</v>
      </c>
      <c r="M406" s="151"/>
      <c r="N406" s="64"/>
      <c r="O406" s="39"/>
      <c r="P406" s="39"/>
      <c r="Q406" s="39"/>
      <c r="R406" s="39"/>
      <c r="S406" s="39"/>
      <c r="T406" s="39"/>
      <c r="U406" s="39"/>
      <c r="V406" s="39"/>
      <c r="W406" s="39"/>
      <c r="IH406" s="41"/>
      <c r="II406" s="41"/>
      <c r="IJ406" s="41"/>
      <c r="IK406" s="41"/>
      <c r="IL406" s="41"/>
      <c r="IM406" s="41"/>
    </row>
    <row r="407" spans="1:247" s="40" customFormat="1" ht="20.25" customHeight="1" x14ac:dyDescent="0.25">
      <c r="A407" s="75">
        <v>41724</v>
      </c>
      <c r="B407" s="144">
        <v>493.3356</v>
      </c>
      <c r="C407" s="144">
        <f t="shared" si="402"/>
        <v>491.85559319999999</v>
      </c>
      <c r="D407" s="144">
        <f t="shared" si="403"/>
        <v>494.81560679999996</v>
      </c>
      <c r="E407" s="78">
        <f>6054.943/1800.553*100</f>
        <v>336.28240879329849</v>
      </c>
      <c r="F407" s="76">
        <v>6054.9430000000002</v>
      </c>
      <c r="G407" s="137"/>
      <c r="H407" s="78">
        <v>157.69</v>
      </c>
      <c r="I407" s="78">
        <v>153.6311</v>
      </c>
      <c r="J407" s="79">
        <f t="shared" ref="J407:J454" si="404">(E407/E408)*0.5*J408+(H407/H408)*0.5*J408</f>
        <v>246.67789731130313</v>
      </c>
      <c r="K407" s="80">
        <v>1122719.1818836282</v>
      </c>
      <c r="L407" s="81">
        <f t="shared" si="390"/>
        <v>553.87734122606889</v>
      </c>
      <c r="M407" s="151"/>
      <c r="N407" s="64"/>
      <c r="O407" s="39"/>
      <c r="P407" s="39"/>
      <c r="Q407" s="39"/>
      <c r="R407" s="39"/>
      <c r="S407" s="39"/>
      <c r="T407" s="39"/>
      <c r="U407" s="39"/>
      <c r="V407" s="39"/>
      <c r="W407" s="39"/>
      <c r="IH407" s="41"/>
      <c r="II407" s="41"/>
      <c r="IJ407" s="41"/>
      <c r="IK407" s="41"/>
      <c r="IL407" s="41"/>
      <c r="IM407" s="41"/>
    </row>
    <row r="408" spans="1:247" s="40" customFormat="1" ht="20.25" customHeight="1" x14ac:dyDescent="0.25">
      <c r="A408" s="87">
        <v>41717</v>
      </c>
      <c r="B408" s="153">
        <v>496.02179999999998</v>
      </c>
      <c r="C408" s="153">
        <f t="shared" si="402"/>
        <v>494.5337346</v>
      </c>
      <c r="D408" s="153">
        <f t="shared" si="403"/>
        <v>497.50986539999991</v>
      </c>
      <c r="E408" s="78">
        <f>6065.883/1800.553*100</f>
        <v>336.88999990558455</v>
      </c>
      <c r="F408" s="88">
        <v>6065.8829999999998</v>
      </c>
      <c r="G408" s="77"/>
      <c r="H408" s="154">
        <v>157.548</v>
      </c>
      <c r="I408" s="154">
        <v>153.61920000000001</v>
      </c>
      <c r="J408" s="155">
        <f t="shared" si="404"/>
        <v>246.78922603626677</v>
      </c>
      <c r="K408" s="156">
        <v>1125976.68</v>
      </c>
      <c r="L408" s="81">
        <f t="shared" si="390"/>
        <v>558.50897957162397</v>
      </c>
      <c r="M408" s="151"/>
      <c r="N408" s="64"/>
      <c r="O408" s="39"/>
      <c r="P408" s="39"/>
      <c r="Q408" s="39"/>
      <c r="R408" s="39"/>
      <c r="S408" s="39"/>
      <c r="T408" s="39"/>
      <c r="U408" s="39"/>
      <c r="V408" s="39"/>
      <c r="W408" s="39"/>
      <c r="IH408" s="41"/>
      <c r="II408" s="41"/>
      <c r="IJ408" s="41"/>
      <c r="IK408" s="41"/>
      <c r="IL408" s="41"/>
      <c r="IM408" s="41"/>
    </row>
    <row r="409" spans="1:247" s="40" customFormat="1" ht="20.25" customHeight="1" x14ac:dyDescent="0.25">
      <c r="A409" s="75">
        <v>41710</v>
      </c>
      <c r="B409" s="144">
        <v>504.64510000000001</v>
      </c>
      <c r="C409" s="144">
        <f t="shared" si="402"/>
        <v>503.1311647</v>
      </c>
      <c r="D409" s="144">
        <f t="shared" si="403"/>
        <v>506.15903529999997</v>
      </c>
      <c r="E409" s="78">
        <f>6091.955/1800.553*100</f>
        <v>338.33799949237817</v>
      </c>
      <c r="F409" s="76">
        <v>6091.9549999999999</v>
      </c>
      <c r="G409" s="137"/>
      <c r="H409" s="78">
        <v>157.86609999999999</v>
      </c>
      <c r="I409" s="78">
        <v>153.60720000000001</v>
      </c>
      <c r="J409" s="79">
        <f t="shared" si="404"/>
        <v>247.56841562583517</v>
      </c>
      <c r="K409" s="80">
        <v>1118895.79</v>
      </c>
      <c r="L409" s="81">
        <f t="shared" si="390"/>
        <v>564.64527783412893</v>
      </c>
      <c r="M409" s="151"/>
      <c r="N409" s="64"/>
      <c r="O409" s="39"/>
      <c r="P409" s="39"/>
      <c r="Q409" s="39"/>
      <c r="R409" s="39"/>
      <c r="S409" s="39"/>
      <c r="T409" s="39"/>
      <c r="U409" s="39"/>
      <c r="V409" s="39"/>
      <c r="W409" s="39"/>
      <c r="IH409" s="41"/>
      <c r="II409" s="41"/>
      <c r="IJ409" s="41"/>
      <c r="IK409" s="41"/>
      <c r="IL409" s="41"/>
      <c r="IM409" s="41"/>
    </row>
    <row r="410" spans="1:247" s="40" customFormat="1" ht="20.25" customHeight="1" x14ac:dyDescent="0.25">
      <c r="A410" s="75">
        <v>41703</v>
      </c>
      <c r="B410" s="144">
        <v>497.08975563663984</v>
      </c>
      <c r="C410" s="144">
        <f t="shared" si="402"/>
        <v>495.59848636972993</v>
      </c>
      <c r="D410" s="144">
        <f t="shared" si="403"/>
        <v>498.58102490354969</v>
      </c>
      <c r="E410" s="78">
        <f>6135.859/1800.553*100</f>
        <v>340.77636148449949</v>
      </c>
      <c r="F410" s="76">
        <v>6135.8590000000004</v>
      </c>
      <c r="G410" s="137"/>
      <c r="H410" s="78">
        <v>157.4975</v>
      </c>
      <c r="I410" s="78">
        <v>153.59460000000001</v>
      </c>
      <c r="J410" s="79">
        <f t="shared" si="404"/>
        <v>248.16586996330648</v>
      </c>
      <c r="K410" s="80">
        <v>1118561</v>
      </c>
      <c r="L410" s="81">
        <f t="shared" si="390"/>
        <v>556.0252141546755</v>
      </c>
      <c r="M410" s="151"/>
      <c r="N410" s="64"/>
      <c r="O410" s="39"/>
      <c r="P410" s="39"/>
      <c r="Q410" s="39"/>
      <c r="R410" s="39"/>
      <c r="S410" s="39"/>
      <c r="T410" s="39"/>
      <c r="U410" s="39"/>
      <c r="V410" s="39"/>
      <c r="W410" s="39"/>
      <c r="IH410" s="41"/>
      <c r="II410" s="41"/>
      <c r="IJ410" s="41"/>
      <c r="IK410" s="41"/>
      <c r="IL410" s="41"/>
      <c r="IM410" s="41"/>
    </row>
    <row r="411" spans="1:247" s="28" customFormat="1" ht="20.25" customHeight="1" x14ac:dyDescent="0.25">
      <c r="A411" s="75">
        <v>41696</v>
      </c>
      <c r="B411" s="144">
        <v>495.76278100000002</v>
      </c>
      <c r="C411" s="144">
        <f t="shared" ref="C411:C416" si="405">0.997*B411</f>
        <v>494.27549265700003</v>
      </c>
      <c r="D411" s="144">
        <f t="shared" ref="D411:D416" si="406">1.003*B411</f>
        <v>497.25006934299995</v>
      </c>
      <c r="E411" s="78">
        <f>6079.656/1800.553*100</f>
        <v>337.65493156824596</v>
      </c>
      <c r="F411" s="76">
        <v>6079.6559999999999</v>
      </c>
      <c r="G411" s="137"/>
      <c r="H411" s="78">
        <v>157.28639999999999</v>
      </c>
      <c r="I411" s="78">
        <v>153.58240000000001</v>
      </c>
      <c r="J411" s="79">
        <f t="shared" si="404"/>
        <v>246.85917336582767</v>
      </c>
      <c r="K411" s="80">
        <v>1119492.94</v>
      </c>
      <c r="L411" s="81">
        <f t="shared" si="390"/>
        <v>555.00293324426616</v>
      </c>
      <c r="M411" s="152"/>
      <c r="N411" s="66"/>
      <c r="O411" s="27"/>
      <c r="P411" s="27"/>
      <c r="Q411" s="27"/>
      <c r="R411" s="27"/>
      <c r="S411" s="27"/>
      <c r="T411" s="27"/>
      <c r="U411" s="27"/>
      <c r="V411" s="27"/>
      <c r="W411" s="27"/>
      <c r="IH411" s="32"/>
      <c r="II411" s="32"/>
      <c r="IJ411" s="32"/>
      <c r="IK411" s="32"/>
      <c r="IL411" s="32"/>
      <c r="IM411" s="32"/>
    </row>
    <row r="412" spans="1:247" s="28" customFormat="1" ht="20.25" customHeight="1" x14ac:dyDescent="0.25">
      <c r="A412" s="75">
        <v>41689</v>
      </c>
      <c r="B412" s="144">
        <v>498.41489999999999</v>
      </c>
      <c r="C412" s="144">
        <f t="shared" si="405"/>
        <v>496.91965529999999</v>
      </c>
      <c r="D412" s="144">
        <f t="shared" si="406"/>
        <v>499.91014469999993</v>
      </c>
      <c r="E412" s="78">
        <f>6040.905/1800.553*100</f>
        <v>335.50275943001952</v>
      </c>
      <c r="F412" s="76">
        <v>6040.9049999999997</v>
      </c>
      <c r="G412" s="137"/>
      <c r="H412" s="78">
        <v>157.48849999999999</v>
      </c>
      <c r="I412" s="78">
        <v>153.5702</v>
      </c>
      <c r="J412" s="79">
        <f t="shared" si="404"/>
        <v>246.22741549497096</v>
      </c>
      <c r="K412" s="80">
        <v>1121835.21</v>
      </c>
      <c r="L412" s="81">
        <f t="shared" si="390"/>
        <v>559.13938400862901</v>
      </c>
      <c r="M412" s="152"/>
      <c r="N412" s="66"/>
      <c r="O412" s="27"/>
      <c r="P412" s="27"/>
      <c r="Q412" s="27"/>
      <c r="R412" s="27"/>
      <c r="S412" s="27"/>
      <c r="T412" s="27"/>
      <c r="U412" s="27"/>
      <c r="V412" s="27"/>
      <c r="W412" s="27"/>
      <c r="IH412" s="32"/>
      <c r="II412" s="32"/>
      <c r="IJ412" s="32"/>
      <c r="IK412" s="32"/>
      <c r="IL412" s="32"/>
      <c r="IM412" s="32"/>
    </row>
    <row r="413" spans="1:247" s="40" customFormat="1" ht="20.25" customHeight="1" x14ac:dyDescent="0.25">
      <c r="A413" s="75">
        <v>41682</v>
      </c>
      <c r="B413" s="144">
        <v>495.45549999999997</v>
      </c>
      <c r="C413" s="144">
        <f t="shared" si="405"/>
        <v>493.9691335</v>
      </c>
      <c r="D413" s="144">
        <f t="shared" si="406"/>
        <v>496.94186649999995</v>
      </c>
      <c r="E413" s="78">
        <f>5974.522/1800.553*100</f>
        <v>331.81594765608116</v>
      </c>
      <c r="F413" s="76">
        <v>5974.5219999999999</v>
      </c>
      <c r="G413" s="137"/>
      <c r="H413" s="78">
        <v>156.9417</v>
      </c>
      <c r="I413" s="78">
        <v>153.55779999999999</v>
      </c>
      <c r="J413" s="79">
        <f t="shared" si="404"/>
        <v>244.44357497325015</v>
      </c>
      <c r="K413" s="80">
        <v>1125071.6299999999</v>
      </c>
      <c r="L413" s="81">
        <f t="shared" si="390"/>
        <v>557.42292697746495</v>
      </c>
      <c r="M413" s="151"/>
      <c r="N413" s="64"/>
      <c r="O413" s="39"/>
      <c r="P413" s="39"/>
      <c r="Q413" s="39"/>
      <c r="R413" s="39"/>
      <c r="S413" s="39"/>
      <c r="T413" s="39"/>
      <c r="U413" s="39"/>
      <c r="V413" s="39"/>
      <c r="W413" s="39"/>
      <c r="IH413" s="41"/>
      <c r="II413" s="41"/>
      <c r="IJ413" s="41"/>
      <c r="IK413" s="41"/>
      <c r="IL413" s="41"/>
      <c r="IM413" s="41"/>
    </row>
    <row r="414" spans="1:247" s="40" customFormat="1" ht="20.25" customHeight="1" x14ac:dyDescent="0.25">
      <c r="A414" s="75">
        <v>41675</v>
      </c>
      <c r="B414" s="144">
        <v>484.16120000000001</v>
      </c>
      <c r="C414" s="144">
        <f t="shared" si="405"/>
        <v>482.70871640000001</v>
      </c>
      <c r="D414" s="144">
        <f t="shared" si="406"/>
        <v>485.61368359999994</v>
      </c>
      <c r="E414" s="78">
        <f>5731.751/1800.553*100</f>
        <v>318.33281219714166</v>
      </c>
      <c r="F414" s="76">
        <v>5731.7510000000002</v>
      </c>
      <c r="G414" s="137"/>
      <c r="H414" s="78">
        <v>156.54939999999999</v>
      </c>
      <c r="I414" s="78">
        <v>153.5454</v>
      </c>
      <c r="J414" s="79">
        <f t="shared" si="404"/>
        <v>239.08082624445493</v>
      </c>
      <c r="K414" s="80">
        <v>1125021.98</v>
      </c>
      <c r="L414" s="81">
        <f t="shared" si="390"/>
        <v>544.69199186317599</v>
      </c>
      <c r="M414" s="151"/>
      <c r="N414" s="64"/>
      <c r="O414" s="39"/>
      <c r="P414" s="39"/>
      <c r="Q414" s="39"/>
      <c r="R414" s="39"/>
      <c r="S414" s="39"/>
      <c r="T414" s="39"/>
      <c r="U414" s="39"/>
      <c r="V414" s="39"/>
      <c r="W414" s="39"/>
      <c r="IH414" s="41"/>
      <c r="II414" s="41"/>
      <c r="IJ414" s="41"/>
      <c r="IK414" s="41"/>
      <c r="IL414" s="41"/>
      <c r="IM414" s="41"/>
    </row>
    <row r="415" spans="1:247" s="40" customFormat="1" ht="20.25" customHeight="1" x14ac:dyDescent="0.25">
      <c r="A415" s="75">
        <v>41668</v>
      </c>
      <c r="B415" s="144">
        <v>491.90530000000001</v>
      </c>
      <c r="C415" s="144">
        <f t="shared" si="405"/>
        <v>490.4295841</v>
      </c>
      <c r="D415" s="144">
        <f t="shared" si="406"/>
        <v>493.38101589999997</v>
      </c>
      <c r="E415" s="78">
        <f>5844.175/1800.553*100</f>
        <v>324.57667172252076</v>
      </c>
      <c r="F415" s="76">
        <v>5844.1750000000002</v>
      </c>
      <c r="G415" s="137"/>
      <c r="H415" s="78">
        <v>156.80500000000001</v>
      </c>
      <c r="I415" s="78">
        <v>153.5334</v>
      </c>
      <c r="J415" s="79">
        <f t="shared" si="404"/>
        <v>241.60157416211365</v>
      </c>
      <c r="K415" s="80">
        <v>1148625.53</v>
      </c>
      <c r="L415" s="81">
        <f t="shared" si="390"/>
        <v>565.01498592230905</v>
      </c>
      <c r="M415" s="151"/>
      <c r="N415" s="64"/>
      <c r="O415" s="39"/>
      <c r="P415" s="39"/>
      <c r="Q415" s="39"/>
      <c r="R415" s="39"/>
      <c r="S415" s="39"/>
      <c r="T415" s="39"/>
      <c r="U415" s="39"/>
      <c r="V415" s="39"/>
      <c r="W415" s="39"/>
      <c r="IH415" s="41"/>
      <c r="II415" s="41"/>
      <c r="IJ415" s="41"/>
      <c r="IK415" s="41"/>
      <c r="IL415" s="41"/>
      <c r="IM415" s="41"/>
    </row>
    <row r="416" spans="1:247" s="40" customFormat="1" ht="20.25" customHeight="1" x14ac:dyDescent="0.25">
      <c r="A416" s="75">
        <v>41661</v>
      </c>
      <c r="B416" s="144">
        <v>489.19200000000001</v>
      </c>
      <c r="C416" s="144">
        <f t="shared" si="405"/>
        <v>487.724424</v>
      </c>
      <c r="D416" s="144">
        <f t="shared" si="406"/>
        <v>490.65957599999996</v>
      </c>
      <c r="E416" s="78">
        <f>6054.233/1800.553*100</f>
        <v>336.24297646334207</v>
      </c>
      <c r="F416" s="76">
        <v>6054.2330000000002</v>
      </c>
      <c r="G416" s="137"/>
      <c r="H416" s="78">
        <v>156.10249999999999</v>
      </c>
      <c r="I416" s="78">
        <v>153.52109999999999</v>
      </c>
      <c r="J416" s="79">
        <f t="shared" si="404"/>
        <v>245.305167862497</v>
      </c>
      <c r="K416" s="80">
        <v>1156928.07</v>
      </c>
      <c r="L416" s="81">
        <f t="shared" si="390"/>
        <v>565.95995641944</v>
      </c>
      <c r="M416" s="151"/>
      <c r="N416" s="64"/>
      <c r="O416" s="39"/>
      <c r="P416" s="39"/>
      <c r="Q416" s="39"/>
      <c r="R416" s="39"/>
      <c r="S416" s="39"/>
      <c r="T416" s="39"/>
      <c r="U416" s="39"/>
      <c r="V416" s="39"/>
      <c r="W416" s="39"/>
      <c r="IH416" s="41"/>
      <c r="II416" s="41"/>
      <c r="IJ416" s="41"/>
      <c r="IK416" s="41"/>
      <c r="IL416" s="41"/>
      <c r="IM416" s="41"/>
    </row>
    <row r="417" spans="1:247" s="40" customFormat="1" ht="20.25" customHeight="1" x14ac:dyDescent="0.25">
      <c r="A417" s="87">
        <v>41654</v>
      </c>
      <c r="B417" s="153">
        <v>490.35149999999999</v>
      </c>
      <c r="C417" s="153">
        <f t="shared" ref="C417:C422" si="407">0.997*B417</f>
        <v>488.88044550000001</v>
      </c>
      <c r="D417" s="153">
        <f t="shared" ref="D417:D422" si="408">1.003*B417</f>
        <v>491.82255449999991</v>
      </c>
      <c r="E417" s="78">
        <f>6047.049/1800.553*100</f>
        <v>335.84398793037468</v>
      </c>
      <c r="F417" s="88">
        <v>6047.049</v>
      </c>
      <c r="G417" s="77"/>
      <c r="H417" s="154">
        <v>156.20230000000001</v>
      </c>
      <c r="I417" s="154">
        <v>153.50880000000001</v>
      </c>
      <c r="J417" s="155">
        <f t="shared" si="404"/>
        <v>245.23783751426112</v>
      </c>
      <c r="K417" s="156">
        <v>1156297</v>
      </c>
      <c r="L417" s="81">
        <f t="shared" si="390"/>
        <v>566.99196839549995</v>
      </c>
      <c r="M417" s="151"/>
      <c r="N417" s="64"/>
      <c r="O417" s="39"/>
      <c r="P417" s="39"/>
      <c r="Q417" s="39"/>
      <c r="R417" s="39"/>
      <c r="S417" s="39"/>
      <c r="T417" s="39"/>
      <c r="U417" s="39"/>
      <c r="V417" s="39"/>
      <c r="W417" s="39"/>
      <c r="IH417" s="41"/>
      <c r="II417" s="41"/>
      <c r="IJ417" s="41"/>
      <c r="IK417" s="41"/>
      <c r="IL417" s="41"/>
      <c r="IM417" s="41"/>
    </row>
    <row r="418" spans="1:247" s="28" customFormat="1" ht="20.25" customHeight="1" x14ac:dyDescent="0.25">
      <c r="A418" s="75">
        <v>41647</v>
      </c>
      <c r="B418" s="144">
        <v>484.56849999999997</v>
      </c>
      <c r="C418" s="144">
        <f t="shared" si="407"/>
        <v>483.11479449999996</v>
      </c>
      <c r="D418" s="144">
        <f t="shared" si="408"/>
        <v>486.02220549999993</v>
      </c>
      <c r="E418" s="78">
        <f>6010.408/1800.553*100</f>
        <v>333.80900201215962</v>
      </c>
      <c r="F418" s="76">
        <v>6010.4080000000004</v>
      </c>
      <c r="G418" s="137"/>
      <c r="H418" s="78">
        <v>156.14709999999999</v>
      </c>
      <c r="I418" s="78">
        <v>153.49639999999999</v>
      </c>
      <c r="J418" s="79">
        <f t="shared" si="404"/>
        <v>244.44951579493357</v>
      </c>
      <c r="K418" s="80">
        <v>1168907.43</v>
      </c>
      <c r="L418" s="81">
        <f t="shared" si="390"/>
        <v>566.41571999395489</v>
      </c>
      <c r="M418" s="152"/>
      <c r="N418" s="66"/>
      <c r="O418" s="27"/>
      <c r="P418" s="27"/>
      <c r="Q418" s="27"/>
      <c r="R418" s="27"/>
      <c r="S418" s="27"/>
      <c r="T418" s="27"/>
      <c r="U418" s="27"/>
      <c r="V418" s="27"/>
      <c r="W418" s="27"/>
      <c r="IH418" s="32"/>
      <c r="II418" s="32"/>
      <c r="IJ418" s="32"/>
      <c r="IK418" s="32"/>
      <c r="IL418" s="32"/>
      <c r="IM418" s="32"/>
    </row>
    <row r="419" spans="1:247" s="40" customFormat="1" ht="20.25" customHeight="1" x14ac:dyDescent="0.25">
      <c r="A419" s="75">
        <v>41639</v>
      </c>
      <c r="B419" s="144">
        <v>484.4282</v>
      </c>
      <c r="C419" s="144">
        <f t="shared" si="407"/>
        <v>482.97491539999999</v>
      </c>
      <c r="D419" s="144">
        <f t="shared" si="408"/>
        <v>485.88148459999996</v>
      </c>
      <c r="E419" s="78">
        <f>6048.181/1800.553*100</f>
        <v>335.90685750433335</v>
      </c>
      <c r="F419" s="76">
        <v>6048.1809999999996</v>
      </c>
      <c r="G419" s="137"/>
      <c r="H419" s="78">
        <v>156.93270000000001</v>
      </c>
      <c r="I419" s="78">
        <v>153.48410000000001</v>
      </c>
      <c r="J419" s="79">
        <f t="shared" si="404"/>
        <v>245.83248532375649</v>
      </c>
      <c r="K419" s="80">
        <v>1168907.43</v>
      </c>
      <c r="L419" s="81">
        <f t="shared" si="390"/>
        <v>566.25172228152599</v>
      </c>
      <c r="M419" s="151"/>
      <c r="N419" s="64"/>
      <c r="O419" s="39"/>
      <c r="P419" s="39"/>
      <c r="Q419" s="39"/>
      <c r="R419" s="39"/>
      <c r="S419" s="39"/>
      <c r="T419" s="39"/>
      <c r="U419" s="39"/>
      <c r="V419" s="39"/>
      <c r="W419" s="39"/>
      <c r="IH419" s="41"/>
      <c r="II419" s="41"/>
      <c r="IJ419" s="41"/>
      <c r="IK419" s="41"/>
      <c r="IL419" s="41"/>
      <c r="IM419" s="41"/>
    </row>
    <row r="420" spans="1:247" s="40" customFormat="1" ht="20.25" customHeight="1" x14ac:dyDescent="0.25">
      <c r="A420" s="75">
        <v>41633</v>
      </c>
      <c r="B420" s="144">
        <v>475.28182199999998</v>
      </c>
      <c r="C420" s="144">
        <f t="shared" si="407"/>
        <v>473.85597653399998</v>
      </c>
      <c r="D420" s="144">
        <f t="shared" si="408"/>
        <v>476.70766746599992</v>
      </c>
      <c r="E420" s="78">
        <f>5968.56/1800.553*100</f>
        <v>331.4848271614332</v>
      </c>
      <c r="F420" s="76">
        <v>5968.56</v>
      </c>
      <c r="G420" s="137"/>
      <c r="H420" s="78">
        <v>156.65530000000001</v>
      </c>
      <c r="I420" s="78">
        <v>153.47139999999999</v>
      </c>
      <c r="J420" s="79">
        <f t="shared" si="404"/>
        <v>243.9890461658803</v>
      </c>
      <c r="K420" s="80">
        <v>1190921</v>
      </c>
      <c r="L420" s="81">
        <f t="shared" si="390"/>
        <v>566.02310273806199</v>
      </c>
      <c r="M420" s="151"/>
      <c r="N420" s="64"/>
      <c r="O420" s="39"/>
      <c r="P420" s="39"/>
      <c r="Q420" s="39"/>
      <c r="R420" s="39"/>
      <c r="S420" s="39"/>
      <c r="T420" s="39"/>
      <c r="U420" s="39"/>
      <c r="V420" s="39"/>
      <c r="W420" s="39"/>
      <c r="IH420" s="41"/>
      <c r="II420" s="41"/>
      <c r="IJ420" s="41"/>
      <c r="IK420" s="41"/>
      <c r="IL420" s="41"/>
      <c r="IM420" s="41"/>
    </row>
    <row r="421" spans="1:247" s="28" customFormat="1" ht="20.25" customHeight="1" x14ac:dyDescent="0.25">
      <c r="A421" s="75">
        <v>41626</v>
      </c>
      <c r="B421" s="144">
        <v>475.99720000000002</v>
      </c>
      <c r="C421" s="144">
        <f t="shared" si="407"/>
        <v>474.56920840000004</v>
      </c>
      <c r="D421" s="144">
        <f t="shared" si="408"/>
        <v>477.42519159999995</v>
      </c>
      <c r="E421" s="78">
        <f>5872.125/1800.553*100</f>
        <v>326.12897259897375</v>
      </c>
      <c r="F421" s="76">
        <v>5872.125</v>
      </c>
      <c r="G421" s="137"/>
      <c r="H421" s="78">
        <v>156.72579999999999</v>
      </c>
      <c r="I421" s="78">
        <v>153.4588</v>
      </c>
      <c r="J421" s="79">
        <f t="shared" si="404"/>
        <v>242.05590607665476</v>
      </c>
      <c r="K421" s="80">
        <v>1195805.81</v>
      </c>
      <c r="L421" s="81">
        <f t="shared" si="390"/>
        <v>569.20021730373207</v>
      </c>
      <c r="M421" s="152"/>
      <c r="N421" s="66"/>
      <c r="O421" s="27"/>
      <c r="P421" s="27"/>
      <c r="Q421" s="27"/>
      <c r="R421" s="27"/>
      <c r="S421" s="27"/>
      <c r="T421" s="27"/>
      <c r="U421" s="27"/>
      <c r="V421" s="27"/>
      <c r="W421" s="27"/>
      <c r="IH421" s="32"/>
      <c r="II421" s="32"/>
      <c r="IJ421" s="32"/>
      <c r="IK421" s="32"/>
      <c r="IL421" s="32"/>
      <c r="IM421" s="32"/>
    </row>
    <row r="422" spans="1:247" s="28" customFormat="1" ht="20.25" customHeight="1" x14ac:dyDescent="0.25">
      <c r="A422" s="75">
        <v>41619</v>
      </c>
      <c r="B422" s="144">
        <v>481.21010000000001</v>
      </c>
      <c r="C422" s="144">
        <f t="shared" si="407"/>
        <v>479.76646970000002</v>
      </c>
      <c r="D422" s="144">
        <f t="shared" si="408"/>
        <v>482.65373029999995</v>
      </c>
      <c r="E422" s="78">
        <f>5820.861/1800.553*100</f>
        <v>323.28184729913534</v>
      </c>
      <c r="F422" s="76">
        <v>5820.8609999999999</v>
      </c>
      <c r="G422" s="137"/>
      <c r="H422" s="78">
        <v>157.5086</v>
      </c>
      <c r="I422" s="78">
        <v>153.4461</v>
      </c>
      <c r="J422" s="79">
        <f t="shared" si="404"/>
        <v>241.59240414204655</v>
      </c>
      <c r="K422" s="80">
        <v>1201401.3799999999</v>
      </c>
      <c r="L422" s="81">
        <f t="shared" si="390"/>
        <v>578.12647820993789</v>
      </c>
      <c r="M422" s="152"/>
      <c r="N422" s="66"/>
      <c r="O422" s="27"/>
      <c r="P422" s="27"/>
      <c r="Q422" s="27"/>
      <c r="R422" s="27"/>
      <c r="S422" s="27"/>
      <c r="T422" s="27"/>
      <c r="U422" s="27"/>
      <c r="V422" s="27"/>
      <c r="W422" s="27"/>
      <c r="IH422" s="32"/>
      <c r="II422" s="32"/>
      <c r="IJ422" s="32"/>
      <c r="IK422" s="32"/>
      <c r="IL422" s="32"/>
      <c r="IM422" s="32"/>
    </row>
    <row r="423" spans="1:247" s="40" customFormat="1" ht="20.25" customHeight="1" x14ac:dyDescent="0.25">
      <c r="A423" s="75">
        <v>41612</v>
      </c>
      <c r="B423" s="144">
        <v>479.79160000000002</v>
      </c>
      <c r="C423" s="144">
        <f t="shared" ref="C423:C429" si="409">0.997*B423</f>
        <v>478.35222520000002</v>
      </c>
      <c r="D423" s="144">
        <f t="shared" ref="D423:D428" si="410">1.003*B423</f>
        <v>481.23097479999996</v>
      </c>
      <c r="E423" s="78">
        <f>5836.249/1800.553*100</f>
        <v>324.13647362782433</v>
      </c>
      <c r="F423" s="76">
        <v>5836.2489999999998</v>
      </c>
      <c r="G423" s="137"/>
      <c r="H423" s="78">
        <v>156.8545</v>
      </c>
      <c r="I423" s="78">
        <v>153.43340000000001</v>
      </c>
      <c r="J423" s="79">
        <f t="shared" si="404"/>
        <v>241.40730729870444</v>
      </c>
      <c r="K423" s="80">
        <v>1227981.1599999999</v>
      </c>
      <c r="L423" s="81">
        <f t="shared" si="390"/>
        <v>589.17504552625599</v>
      </c>
      <c r="M423" s="151"/>
      <c r="N423" s="64"/>
      <c r="O423" s="39"/>
      <c r="P423" s="39"/>
      <c r="Q423" s="39"/>
      <c r="R423" s="39"/>
      <c r="S423" s="39"/>
      <c r="T423" s="39"/>
      <c r="U423" s="39"/>
      <c r="V423" s="39"/>
      <c r="W423" s="39"/>
      <c r="IH423" s="41"/>
      <c r="II423" s="41"/>
      <c r="IJ423" s="41"/>
      <c r="IK423" s="41"/>
      <c r="IL423" s="41"/>
      <c r="IM423" s="41"/>
    </row>
    <row r="424" spans="1:247" s="40" customFormat="1" ht="20.25" customHeight="1" x14ac:dyDescent="0.25">
      <c r="A424" s="75">
        <v>41605</v>
      </c>
      <c r="B424" s="144">
        <v>482.80700000000002</v>
      </c>
      <c r="C424" s="144">
        <f t="shared" si="409"/>
        <v>481.35857900000002</v>
      </c>
      <c r="D424" s="144">
        <f t="shared" si="410"/>
        <v>484.25542099999996</v>
      </c>
      <c r="E424" s="78">
        <f>5907.213/1800.553*100</f>
        <v>328.0777072377208</v>
      </c>
      <c r="F424" s="76">
        <v>5907.2129999999997</v>
      </c>
      <c r="G424" s="137"/>
      <c r="H424" s="78">
        <v>156.74719999999999</v>
      </c>
      <c r="I424" s="78">
        <v>153.4211</v>
      </c>
      <c r="J424" s="79">
        <f t="shared" si="404"/>
        <v>242.78249634960741</v>
      </c>
      <c r="K424" s="80">
        <v>1245344.3600000001</v>
      </c>
      <c r="L424" s="81">
        <f t="shared" si="390"/>
        <v>601.26097441852005</v>
      </c>
      <c r="M424" s="151"/>
      <c r="N424" s="64"/>
      <c r="O424" s="39"/>
      <c r="P424" s="39"/>
      <c r="Q424" s="39"/>
      <c r="R424" s="39"/>
      <c r="S424" s="39"/>
      <c r="T424" s="39"/>
      <c r="U424" s="39"/>
      <c r="V424" s="39"/>
      <c r="W424" s="39"/>
      <c r="IH424" s="41"/>
      <c r="II424" s="41"/>
      <c r="IJ424" s="41"/>
      <c r="IK424" s="41"/>
      <c r="IL424" s="41"/>
      <c r="IM424" s="41"/>
    </row>
    <row r="425" spans="1:247" s="40" customFormat="1" ht="20.25" customHeight="1" x14ac:dyDescent="0.25">
      <c r="A425" s="87">
        <v>41598</v>
      </c>
      <c r="B425" s="153">
        <v>484.65109999999999</v>
      </c>
      <c r="C425" s="153">
        <f t="shared" si="409"/>
        <v>483.19714669999996</v>
      </c>
      <c r="D425" s="153">
        <f t="shared" si="410"/>
        <v>486.10505329999995</v>
      </c>
      <c r="E425" s="78">
        <f>5856.155/1800.553*100</f>
        <v>325.242022867419</v>
      </c>
      <c r="F425" s="88">
        <v>5856.1549999999997</v>
      </c>
      <c r="G425" s="77"/>
      <c r="H425" s="154">
        <v>156.7491</v>
      </c>
      <c r="I425" s="154">
        <v>153.40799999999999</v>
      </c>
      <c r="J425" s="155">
        <f t="shared" si="404"/>
        <v>241.73017615538032</v>
      </c>
      <c r="K425" s="156">
        <v>1248196.6100000001</v>
      </c>
      <c r="L425" s="81">
        <f t="shared" si="390"/>
        <v>604.939860052771</v>
      </c>
      <c r="M425" s="151"/>
      <c r="N425" s="64"/>
      <c r="O425" s="39"/>
      <c r="P425" s="39"/>
      <c r="Q425" s="39"/>
      <c r="R425" s="39"/>
      <c r="S425" s="39"/>
      <c r="T425" s="39"/>
      <c r="U425" s="39"/>
      <c r="V425" s="39"/>
      <c r="W425" s="39"/>
      <c r="IH425" s="41"/>
      <c r="II425" s="41"/>
      <c r="IJ425" s="41"/>
      <c r="IK425" s="41"/>
      <c r="IL425" s="41"/>
      <c r="IM425" s="41"/>
    </row>
    <row r="426" spans="1:247" s="40" customFormat="1" ht="20.25" customHeight="1" x14ac:dyDescent="0.25">
      <c r="A426" s="75">
        <v>41591</v>
      </c>
      <c r="B426" s="144">
        <v>487.82560000000001</v>
      </c>
      <c r="C426" s="144">
        <f t="shared" si="409"/>
        <v>486.36212319999998</v>
      </c>
      <c r="D426" s="144">
        <f t="shared" si="410"/>
        <v>489.28907679999998</v>
      </c>
      <c r="E426" s="78">
        <f>5817.831/1800.553*100</f>
        <v>323.11356566565934</v>
      </c>
      <c r="F426" s="76">
        <v>5817.8310000000001</v>
      </c>
      <c r="G426" s="137"/>
      <c r="H426" s="78">
        <v>156.95650000000001</v>
      </c>
      <c r="I426" s="78">
        <v>153.39510000000001</v>
      </c>
      <c r="J426" s="79">
        <f t="shared" si="404"/>
        <v>241.09537811593981</v>
      </c>
      <c r="K426" s="80">
        <v>1281110.19</v>
      </c>
      <c r="L426" s="81">
        <f t="shared" si="390"/>
        <v>624.95834710286408</v>
      </c>
      <c r="M426" s="151"/>
      <c r="N426" s="64"/>
      <c r="O426" s="39"/>
      <c r="P426" s="39"/>
      <c r="Q426" s="39"/>
      <c r="R426" s="39"/>
      <c r="S426" s="39"/>
      <c r="T426" s="39"/>
      <c r="U426" s="39"/>
      <c r="V426" s="39"/>
      <c r="W426" s="39"/>
      <c r="IH426" s="41"/>
      <c r="II426" s="41"/>
      <c r="IJ426" s="41"/>
      <c r="IK426" s="41"/>
      <c r="IL426" s="41"/>
      <c r="IM426" s="41"/>
    </row>
    <row r="427" spans="1:247" s="40" customFormat="1" ht="20.25" customHeight="1" x14ac:dyDescent="0.25">
      <c r="A427" s="75">
        <v>41584</v>
      </c>
      <c r="B427" s="144">
        <v>490.33150000000001</v>
      </c>
      <c r="C427" s="144">
        <f t="shared" si="409"/>
        <v>488.86050549999999</v>
      </c>
      <c r="D427" s="144">
        <f t="shared" si="410"/>
        <v>491.80249449999997</v>
      </c>
      <c r="E427" s="78">
        <f>5835.466/1800.553*100</f>
        <v>324.09298698788649</v>
      </c>
      <c r="F427" s="76">
        <v>5835.4660000000003</v>
      </c>
      <c r="G427" s="137"/>
      <c r="H427" s="78">
        <v>157.26130000000001</v>
      </c>
      <c r="I427" s="78">
        <v>153.38220000000001</v>
      </c>
      <c r="J427" s="79">
        <f t="shared" si="404"/>
        <v>241.69480703927823</v>
      </c>
      <c r="K427" s="80">
        <v>1292419.68</v>
      </c>
      <c r="L427" s="81">
        <f t="shared" si="390"/>
        <v>633.71408032392003</v>
      </c>
      <c r="M427" s="151"/>
      <c r="N427" s="64"/>
      <c r="O427" s="39"/>
      <c r="P427" s="39"/>
      <c r="Q427" s="39"/>
      <c r="R427" s="39"/>
      <c r="S427" s="39"/>
      <c r="T427" s="39"/>
      <c r="U427" s="39"/>
      <c r="V427" s="39"/>
      <c r="W427" s="39"/>
      <c r="IH427" s="41"/>
      <c r="II427" s="41"/>
      <c r="IJ427" s="41"/>
      <c r="IK427" s="41"/>
      <c r="IL427" s="41"/>
      <c r="IM427" s="41"/>
    </row>
    <row r="428" spans="1:247" s="40" customFormat="1" ht="20.25" customHeight="1" x14ac:dyDescent="0.25">
      <c r="A428" s="87">
        <v>41577</v>
      </c>
      <c r="B428" s="153">
        <v>493.0027</v>
      </c>
      <c r="C428" s="153">
        <f t="shared" si="409"/>
        <v>491.52369190000002</v>
      </c>
      <c r="D428" s="153">
        <f t="shared" si="410"/>
        <v>494.48170809999993</v>
      </c>
      <c r="E428" s="78">
        <f>5846.966/1800.553*100</f>
        <v>324.7316796561945</v>
      </c>
      <c r="F428" s="88">
        <v>5846.9660000000003</v>
      </c>
      <c r="G428" s="77"/>
      <c r="H428" s="154">
        <v>157.8595</v>
      </c>
      <c r="I428" s="154">
        <v>153.36949999999999</v>
      </c>
      <c r="J428" s="155">
        <f t="shared" si="404"/>
        <v>242.39244615632444</v>
      </c>
      <c r="K428" s="156">
        <v>1293988</v>
      </c>
      <c r="L428" s="81">
        <f t="shared" si="390"/>
        <v>637.9395777676001</v>
      </c>
      <c r="M428" s="151"/>
      <c r="N428" s="64"/>
      <c r="O428" s="39"/>
      <c r="P428" s="39"/>
      <c r="Q428" s="39"/>
      <c r="R428" s="39"/>
      <c r="S428" s="39"/>
      <c r="T428" s="39"/>
      <c r="U428" s="39"/>
      <c r="V428" s="39"/>
      <c r="W428" s="39"/>
      <c r="IH428" s="41"/>
      <c r="II428" s="41"/>
      <c r="IJ428" s="41"/>
      <c r="IK428" s="41"/>
      <c r="IL428" s="41"/>
      <c r="IM428" s="41"/>
    </row>
    <row r="429" spans="1:247" s="28" customFormat="1" ht="20.25" customHeight="1" x14ac:dyDescent="0.25">
      <c r="A429" s="75">
        <v>41570</v>
      </c>
      <c r="B429" s="144">
        <v>491.67860000000002</v>
      </c>
      <c r="C429" s="144">
        <f t="shared" si="409"/>
        <v>490.20356420000002</v>
      </c>
      <c r="D429" s="144">
        <f t="shared" ref="D429:D434" si="411">1.003*B429</f>
        <v>493.15363579999996</v>
      </c>
      <c r="E429" s="78">
        <f>5809.217/1800.553*100</f>
        <v>322.63515708785019</v>
      </c>
      <c r="F429" s="76">
        <v>5809.2169999999996</v>
      </c>
      <c r="G429" s="137"/>
      <c r="H429" s="78">
        <v>158.4</v>
      </c>
      <c r="I429" s="78">
        <v>153.35679999999999</v>
      </c>
      <c r="J429" s="79">
        <f t="shared" si="404"/>
        <v>242.01902599931162</v>
      </c>
      <c r="K429" s="80">
        <v>1301116.45</v>
      </c>
      <c r="L429" s="81">
        <f t="shared" si="390"/>
        <v>639.73111457297</v>
      </c>
      <c r="M429" s="152"/>
      <c r="N429" s="66"/>
      <c r="O429" s="27"/>
      <c r="P429" s="27"/>
      <c r="Q429" s="27"/>
      <c r="R429" s="27"/>
      <c r="S429" s="27"/>
      <c r="T429" s="27"/>
      <c r="U429" s="27"/>
      <c r="V429" s="27"/>
      <c r="W429" s="27"/>
      <c r="IH429" s="32"/>
      <c r="II429" s="32"/>
      <c r="IJ429" s="32"/>
      <c r="IK429" s="32"/>
      <c r="IL429" s="32"/>
      <c r="IM429" s="32"/>
    </row>
    <row r="430" spans="1:247" s="40" customFormat="1" ht="20.25" customHeight="1" x14ac:dyDescent="0.25">
      <c r="A430" s="75">
        <v>41563</v>
      </c>
      <c r="B430" s="144">
        <v>485.57859999999999</v>
      </c>
      <c r="C430" s="144">
        <f t="shared" ref="C430:C436" si="412">0.997*B430</f>
        <v>484.1218642</v>
      </c>
      <c r="D430" s="144">
        <f t="shared" si="411"/>
        <v>487.03533579999993</v>
      </c>
      <c r="E430" s="78">
        <f>5694.532/1800.553*100</f>
        <v>316.26572503003246</v>
      </c>
      <c r="F430" s="76">
        <v>5694.5320000000002</v>
      </c>
      <c r="G430" s="137"/>
      <c r="H430" s="78">
        <v>157.14250000000001</v>
      </c>
      <c r="I430" s="78">
        <v>153.3442</v>
      </c>
      <c r="J430" s="79">
        <f t="shared" si="404"/>
        <v>238.660854634315</v>
      </c>
      <c r="K430" s="80">
        <v>1320568.6100000001</v>
      </c>
      <c r="L430" s="81">
        <f t="shared" si="390"/>
        <v>641.23985684774607</v>
      </c>
      <c r="M430" s="151"/>
      <c r="N430" s="64"/>
      <c r="O430" s="39"/>
      <c r="P430" s="39"/>
      <c r="Q430" s="39"/>
      <c r="R430" s="39"/>
      <c r="S430" s="39"/>
      <c r="T430" s="39"/>
      <c r="U430" s="39"/>
      <c r="V430" s="39"/>
      <c r="W430" s="39"/>
      <c r="IH430" s="41"/>
      <c r="II430" s="41"/>
      <c r="IJ430" s="41"/>
      <c r="IK430" s="41"/>
      <c r="IL430" s="41"/>
      <c r="IM430" s="41"/>
    </row>
    <row r="431" spans="1:247" s="40" customFormat="1" ht="20.25" customHeight="1" x14ac:dyDescent="0.25">
      <c r="A431" s="75">
        <v>41556</v>
      </c>
      <c r="B431" s="144">
        <v>484.15339999999998</v>
      </c>
      <c r="C431" s="144">
        <f t="shared" si="412"/>
        <v>482.70093979999996</v>
      </c>
      <c r="D431" s="144">
        <f t="shared" si="411"/>
        <v>485.60586019999994</v>
      </c>
      <c r="E431" s="78">
        <f>5510.307/1800.553*100</f>
        <v>306.03414617620246</v>
      </c>
      <c r="F431" s="76">
        <v>5510.3069999999998</v>
      </c>
      <c r="G431" s="137"/>
      <c r="H431" s="78">
        <v>157.2114</v>
      </c>
      <c r="I431" s="78">
        <v>153.33070000000001</v>
      </c>
      <c r="J431" s="79">
        <f t="shared" si="404"/>
        <v>234.78750204438541</v>
      </c>
      <c r="K431" s="80">
        <v>1324952.8600000001</v>
      </c>
      <c r="L431" s="81">
        <f t="shared" si="390"/>
        <v>641.48043200872394</v>
      </c>
      <c r="M431" s="151"/>
      <c r="N431" s="64"/>
      <c r="O431" s="39"/>
      <c r="P431" s="39"/>
      <c r="Q431" s="39"/>
      <c r="R431" s="39"/>
      <c r="S431" s="39"/>
      <c r="T431" s="39"/>
      <c r="U431" s="39"/>
      <c r="V431" s="39"/>
      <c r="W431" s="39"/>
      <c r="IH431" s="41"/>
      <c r="II431" s="41"/>
      <c r="IJ431" s="41"/>
      <c r="IK431" s="41"/>
      <c r="IL431" s="41"/>
      <c r="IM431" s="41"/>
    </row>
    <row r="432" spans="1:247" s="40" customFormat="1" ht="20.25" customHeight="1" x14ac:dyDescent="0.25">
      <c r="A432" s="87">
        <v>41549</v>
      </c>
      <c r="B432" s="153">
        <v>484.88979999999998</v>
      </c>
      <c r="C432" s="153">
        <f t="shared" si="412"/>
        <v>483.43513059999998</v>
      </c>
      <c r="D432" s="153">
        <f t="shared" si="411"/>
        <v>486.34446939999992</v>
      </c>
      <c r="E432" s="78">
        <f>5621.932/1800.553*100</f>
        <v>312.23363044575746</v>
      </c>
      <c r="F432" s="88">
        <v>5621.9319999999998</v>
      </c>
      <c r="G432" s="77"/>
      <c r="H432" s="154">
        <v>157.66720000000001</v>
      </c>
      <c r="I432" s="154">
        <v>153.31790000000001</v>
      </c>
      <c r="J432" s="155">
        <f t="shared" si="404"/>
        <v>237.48847909119803</v>
      </c>
      <c r="K432" s="156">
        <v>1331041.06</v>
      </c>
      <c r="L432" s="81">
        <f t="shared" si="390"/>
        <v>645.40823337518805</v>
      </c>
      <c r="M432" s="151"/>
      <c r="N432" s="64"/>
      <c r="O432" s="39"/>
      <c r="P432" s="39"/>
      <c r="Q432" s="39"/>
      <c r="R432" s="39"/>
      <c r="S432" s="39"/>
      <c r="T432" s="39"/>
      <c r="U432" s="39"/>
      <c r="V432" s="39"/>
      <c r="W432" s="39"/>
      <c r="IH432" s="41"/>
      <c r="II432" s="41"/>
      <c r="IJ432" s="41"/>
      <c r="IK432" s="41"/>
      <c r="IL432" s="41"/>
      <c r="IM432" s="41"/>
    </row>
    <row r="433" spans="1:247" s="40" customFormat="1" ht="20.25" customHeight="1" x14ac:dyDescent="0.25">
      <c r="A433" s="75">
        <v>41542</v>
      </c>
      <c r="B433" s="144">
        <v>487.35629999999998</v>
      </c>
      <c r="C433" s="144">
        <f t="shared" si="412"/>
        <v>485.89423109999996</v>
      </c>
      <c r="D433" s="144">
        <f t="shared" si="411"/>
        <v>488.81836889999994</v>
      </c>
      <c r="E433" s="78">
        <f>5626.041/1800.553*100</f>
        <v>312.46183811306861</v>
      </c>
      <c r="F433" s="76">
        <v>5626.0410000000002</v>
      </c>
      <c r="G433" s="137"/>
      <c r="H433" s="78">
        <v>157.0866</v>
      </c>
      <c r="I433" s="78">
        <v>153.3057</v>
      </c>
      <c r="J433" s="79">
        <f t="shared" si="404"/>
        <v>237.13684111359345</v>
      </c>
      <c r="K433" s="80">
        <v>1334104.6000000001</v>
      </c>
      <c r="L433" s="81">
        <f t="shared" si="390"/>
        <v>650.18428166898002</v>
      </c>
      <c r="M433" s="151"/>
      <c r="N433" s="64"/>
      <c r="O433" s="39"/>
      <c r="P433" s="39"/>
      <c r="Q433" s="39"/>
      <c r="R433" s="39"/>
      <c r="S433" s="39"/>
      <c r="T433" s="39"/>
      <c r="U433" s="39"/>
      <c r="V433" s="39"/>
      <c r="W433" s="39"/>
      <c r="IH433" s="41"/>
      <c r="II433" s="41"/>
      <c r="IJ433" s="41"/>
      <c r="IK433" s="41"/>
      <c r="IL433" s="41"/>
      <c r="IM433" s="41"/>
    </row>
    <row r="434" spans="1:247" s="40" customFormat="1" ht="20.25" customHeight="1" x14ac:dyDescent="0.25">
      <c r="A434" s="75">
        <v>41535</v>
      </c>
      <c r="B434" s="144">
        <v>490.34640000000002</v>
      </c>
      <c r="C434" s="144">
        <f t="shared" si="412"/>
        <v>488.87536080000001</v>
      </c>
      <c r="D434" s="144">
        <f t="shared" si="411"/>
        <v>491.81743919999997</v>
      </c>
      <c r="E434" s="78">
        <f>5652.343/1800.553*100</f>
        <v>313.92261155322836</v>
      </c>
      <c r="F434" s="76">
        <v>5652.3429999999998</v>
      </c>
      <c r="G434" s="137"/>
      <c r="H434" s="78">
        <v>157.3785</v>
      </c>
      <c r="I434" s="78">
        <v>153.29349999999999</v>
      </c>
      <c r="J434" s="79">
        <f t="shared" si="404"/>
        <v>237.91101016836063</v>
      </c>
      <c r="K434" s="80">
        <v>1342868.96</v>
      </c>
      <c r="L434" s="81">
        <f t="shared" si="390"/>
        <v>658.47096020774404</v>
      </c>
      <c r="M434" s="151"/>
      <c r="N434" s="64"/>
      <c r="O434" s="39"/>
      <c r="P434" s="39"/>
      <c r="Q434" s="39"/>
      <c r="R434" s="39"/>
      <c r="S434" s="39"/>
      <c r="T434" s="39"/>
      <c r="U434" s="39"/>
      <c r="V434" s="39"/>
      <c r="W434" s="39"/>
      <c r="IH434" s="41"/>
      <c r="II434" s="41"/>
      <c r="IJ434" s="41"/>
      <c r="IK434" s="41"/>
      <c r="IL434" s="41"/>
      <c r="IM434" s="41"/>
    </row>
    <row r="435" spans="1:247" s="40" customFormat="1" ht="20.25" customHeight="1" x14ac:dyDescent="0.25">
      <c r="A435" s="75">
        <v>41528</v>
      </c>
      <c r="B435" s="144">
        <v>486.73759999999999</v>
      </c>
      <c r="C435" s="144">
        <f t="shared" si="412"/>
        <v>485.27738719999996</v>
      </c>
      <c r="D435" s="144">
        <f t="shared" ref="D435:D440" si="413">1.003*B435</f>
        <v>488.19781279999995</v>
      </c>
      <c r="E435" s="78">
        <f>5557.602/1800.553*100</f>
        <v>308.6608391977353</v>
      </c>
      <c r="F435" s="76">
        <v>5557.6019999999999</v>
      </c>
      <c r="G435" s="137"/>
      <c r="H435" s="78">
        <v>155.72380000000001</v>
      </c>
      <c r="I435" s="78">
        <v>153.28120000000001</v>
      </c>
      <c r="J435" s="79">
        <f t="shared" si="404"/>
        <v>234.66408466268388</v>
      </c>
      <c r="K435" s="80">
        <v>1350860.35</v>
      </c>
      <c r="L435" s="81">
        <f t="shared" si="390"/>
        <v>657.51452469415995</v>
      </c>
      <c r="M435" s="151"/>
      <c r="N435" s="64"/>
      <c r="O435" s="39"/>
      <c r="P435" s="39"/>
      <c r="Q435" s="39"/>
      <c r="R435" s="39"/>
      <c r="S435" s="39"/>
      <c r="T435" s="39"/>
      <c r="U435" s="39"/>
      <c r="V435" s="39"/>
      <c r="W435" s="39"/>
      <c r="IH435" s="41"/>
      <c r="II435" s="41"/>
      <c r="IJ435" s="41"/>
      <c r="IK435" s="41"/>
      <c r="IL435" s="41"/>
      <c r="IM435" s="41"/>
    </row>
    <row r="436" spans="1:247" s="40" customFormat="1" ht="20.25" customHeight="1" x14ac:dyDescent="0.25">
      <c r="A436" s="87">
        <v>41521</v>
      </c>
      <c r="B436" s="153">
        <v>485.77780000000001</v>
      </c>
      <c r="C436" s="153">
        <f t="shared" si="412"/>
        <v>484.32046660000003</v>
      </c>
      <c r="D436" s="153">
        <f t="shared" si="413"/>
        <v>487.23513339999994</v>
      </c>
      <c r="E436" s="78">
        <f>5413.005/1800.553*100</f>
        <v>300.63013974040194</v>
      </c>
      <c r="F436" s="88">
        <v>5413.0050000000001</v>
      </c>
      <c r="G436" s="77"/>
      <c r="H436" s="154">
        <v>155.01830000000001</v>
      </c>
      <c r="I436" s="154">
        <v>153.2689</v>
      </c>
      <c r="J436" s="155">
        <f t="shared" si="404"/>
        <v>231.05227955701349</v>
      </c>
      <c r="K436" s="156">
        <v>1352762.17</v>
      </c>
      <c r="L436" s="81">
        <f t="shared" si="390"/>
        <v>657.14183086582602</v>
      </c>
      <c r="M436" s="151"/>
      <c r="N436" s="64"/>
      <c r="O436" s="39"/>
      <c r="P436" s="39"/>
      <c r="Q436" s="39"/>
      <c r="R436" s="39"/>
      <c r="S436" s="39"/>
      <c r="T436" s="39"/>
      <c r="U436" s="39"/>
      <c r="V436" s="39"/>
      <c r="W436" s="39"/>
      <c r="IH436" s="41"/>
      <c r="II436" s="41"/>
      <c r="IJ436" s="41"/>
      <c r="IK436" s="41"/>
      <c r="IL436" s="41"/>
      <c r="IM436" s="41"/>
    </row>
    <row r="437" spans="1:247" s="40" customFormat="1" ht="20.25" customHeight="1" x14ac:dyDescent="0.25">
      <c r="A437" s="75">
        <v>41514</v>
      </c>
      <c r="B437" s="144">
        <v>487.15460000000002</v>
      </c>
      <c r="C437" s="144">
        <f t="shared" ref="C437:C443" si="414">0.997*B437</f>
        <v>485.69313620000003</v>
      </c>
      <c r="D437" s="144">
        <f t="shared" si="413"/>
        <v>488.61606379999995</v>
      </c>
      <c r="E437" s="78">
        <f>5351.425/1800.553*100</f>
        <v>297.21007934784478</v>
      </c>
      <c r="F437" s="76">
        <v>5351.4250000000002</v>
      </c>
      <c r="G437" s="137"/>
      <c r="H437" s="78">
        <v>155.53579999999999</v>
      </c>
      <c r="I437" s="78">
        <v>153.25640000000001</v>
      </c>
      <c r="J437" s="79">
        <f t="shared" si="404"/>
        <v>230.11112424218325</v>
      </c>
      <c r="K437" s="80">
        <v>1355092.45</v>
      </c>
      <c r="L437" s="81">
        <f t="shared" si="390"/>
        <v>660.13952044277005</v>
      </c>
      <c r="M437" s="151"/>
      <c r="N437" s="64"/>
      <c r="O437" s="39"/>
      <c r="P437" s="39"/>
      <c r="Q437" s="39"/>
      <c r="R437" s="39"/>
      <c r="S437" s="39"/>
      <c r="T437" s="39"/>
      <c r="U437" s="39"/>
      <c r="V437" s="39"/>
      <c r="W437" s="39"/>
      <c r="IH437" s="41"/>
      <c r="II437" s="41"/>
      <c r="IJ437" s="41"/>
      <c r="IK437" s="41"/>
      <c r="IL437" s="41"/>
      <c r="IM437" s="41"/>
    </row>
    <row r="438" spans="1:247" s="40" customFormat="1" ht="20.25" customHeight="1" x14ac:dyDescent="0.25">
      <c r="A438" s="75">
        <v>41507</v>
      </c>
      <c r="B438" s="144">
        <v>486.7765</v>
      </c>
      <c r="C438" s="144">
        <f t="shared" si="414"/>
        <v>485.3161705</v>
      </c>
      <c r="D438" s="144">
        <f t="shared" si="413"/>
        <v>488.23682949999994</v>
      </c>
      <c r="E438" s="78">
        <f>5384.11/1800.553*100</f>
        <v>299.02535498816195</v>
      </c>
      <c r="F438" s="76">
        <v>5384.11</v>
      </c>
      <c r="G438" s="137"/>
      <c r="H438" s="78">
        <v>155.61189999999999</v>
      </c>
      <c r="I438" s="78">
        <v>153.2439</v>
      </c>
      <c r="J438" s="79">
        <f t="shared" si="404"/>
        <v>230.8683352525365</v>
      </c>
      <c r="K438" s="80">
        <v>1358538.33</v>
      </c>
      <c r="L438" s="81">
        <f t="shared" si="390"/>
        <v>661.30453339324504</v>
      </c>
      <c r="M438" s="151"/>
      <c r="N438" s="64"/>
      <c r="O438" s="39"/>
      <c r="P438" s="39"/>
      <c r="Q438" s="39"/>
      <c r="R438" s="39"/>
      <c r="S438" s="39"/>
      <c r="T438" s="39"/>
      <c r="U438" s="39"/>
      <c r="V438" s="39"/>
      <c r="W438" s="39"/>
      <c r="IH438" s="41"/>
      <c r="II438" s="41"/>
      <c r="IJ438" s="41"/>
      <c r="IK438" s="41"/>
      <c r="IL438" s="41"/>
      <c r="IM438" s="41"/>
    </row>
    <row r="439" spans="1:247" s="40" customFormat="1" ht="20.25" customHeight="1" x14ac:dyDescent="0.25">
      <c r="A439" s="75">
        <v>41500</v>
      </c>
      <c r="B439" s="144">
        <v>487.84429999999998</v>
      </c>
      <c r="C439" s="144">
        <f t="shared" si="414"/>
        <v>486.38076709999996</v>
      </c>
      <c r="D439" s="144">
        <f t="shared" si="413"/>
        <v>489.30783289999994</v>
      </c>
      <c r="E439" s="78">
        <f>5516.024/1800.553*100</f>
        <v>306.35165974009095</v>
      </c>
      <c r="F439" s="76">
        <v>5516.0240000000003</v>
      </c>
      <c r="G439" s="137"/>
      <c r="H439" s="78">
        <v>155.30000000000001</v>
      </c>
      <c r="I439" s="78">
        <v>153.2312</v>
      </c>
      <c r="J439" s="79">
        <f t="shared" si="404"/>
        <v>233.4250772830901</v>
      </c>
      <c r="K439" s="80">
        <v>1362816.87</v>
      </c>
      <c r="L439" s="81">
        <f t="shared" si="390"/>
        <v>664.84244197334101</v>
      </c>
      <c r="M439" s="151"/>
      <c r="N439" s="64"/>
      <c r="O439" s="39"/>
      <c r="P439" s="39"/>
      <c r="Q439" s="39"/>
      <c r="R439" s="39"/>
      <c r="S439" s="39"/>
      <c r="T439" s="39"/>
      <c r="U439" s="39"/>
      <c r="V439" s="39"/>
      <c r="W439" s="39"/>
      <c r="IH439" s="41"/>
      <c r="II439" s="41"/>
      <c r="IJ439" s="41"/>
      <c r="IK439" s="41"/>
      <c r="IL439" s="41"/>
      <c r="IM439" s="41"/>
    </row>
    <row r="440" spans="1:247" s="40" customFormat="1" ht="20.25" customHeight="1" x14ac:dyDescent="0.25">
      <c r="A440" s="75">
        <v>41493</v>
      </c>
      <c r="B440" s="144">
        <v>480.97149999999999</v>
      </c>
      <c r="C440" s="144">
        <f t="shared" si="414"/>
        <v>479.52858549999996</v>
      </c>
      <c r="D440" s="144">
        <f t="shared" si="413"/>
        <v>482.41441449999996</v>
      </c>
      <c r="E440" s="78">
        <f>5483.591/1800.553*100</f>
        <v>304.55037979998366</v>
      </c>
      <c r="F440" s="76">
        <v>5483.5910000000003</v>
      </c>
      <c r="G440" s="137"/>
      <c r="H440" s="78">
        <v>155.8193</v>
      </c>
      <c r="I440" s="78">
        <v>153.2184</v>
      </c>
      <c r="J440" s="79">
        <f t="shared" si="404"/>
        <v>233.12413170480136</v>
      </c>
      <c r="K440" s="80">
        <v>1382527.13</v>
      </c>
      <c r="L440" s="81">
        <f t="shared" si="390"/>
        <v>664.95614750679488</v>
      </c>
      <c r="M440" s="151"/>
      <c r="N440" s="64"/>
      <c r="O440" s="39"/>
      <c r="P440" s="39"/>
      <c r="Q440" s="39"/>
      <c r="R440" s="39"/>
      <c r="S440" s="39"/>
      <c r="T440" s="39"/>
      <c r="U440" s="39"/>
      <c r="V440" s="39"/>
      <c r="W440" s="39"/>
      <c r="IH440" s="41"/>
      <c r="II440" s="41"/>
      <c r="IJ440" s="41"/>
      <c r="IK440" s="41"/>
      <c r="IL440" s="41"/>
      <c r="IM440" s="41"/>
    </row>
    <row r="441" spans="1:247" s="40" customFormat="1" ht="20.25" customHeight="1" x14ac:dyDescent="0.25">
      <c r="A441" s="75">
        <v>41486</v>
      </c>
      <c r="B441" s="144">
        <v>482.72269999999997</v>
      </c>
      <c r="C441" s="144">
        <f t="shared" si="414"/>
        <v>481.2745319</v>
      </c>
      <c r="D441" s="144">
        <f t="shared" ref="D441:D446" si="415">1.003*B441</f>
        <v>484.17086809999995</v>
      </c>
      <c r="E441" s="78">
        <f>5439.347/1800.553*100</f>
        <v>302.09313472027759</v>
      </c>
      <c r="F441" s="76">
        <v>5439.3469999999998</v>
      </c>
      <c r="G441" s="137"/>
      <c r="H441" s="78">
        <v>155.14930000000001</v>
      </c>
      <c r="I441" s="78">
        <v>153.20599999999999</v>
      </c>
      <c r="J441" s="79">
        <f t="shared" si="404"/>
        <v>231.68162564513395</v>
      </c>
      <c r="K441" s="80">
        <v>1385892.49</v>
      </c>
      <c r="L441" s="81">
        <f t="shared" si="390"/>
        <v>669.001764682523</v>
      </c>
      <c r="M441" s="151"/>
      <c r="N441" s="64"/>
      <c r="O441" s="39"/>
      <c r="P441" s="39"/>
      <c r="Q441" s="39"/>
      <c r="R441" s="39"/>
      <c r="S441" s="39"/>
      <c r="T441" s="39"/>
      <c r="U441" s="39"/>
      <c r="V441" s="39"/>
      <c r="W441" s="39"/>
      <c r="IH441" s="41"/>
      <c r="II441" s="41"/>
      <c r="IJ441" s="41"/>
      <c r="IK441" s="41"/>
      <c r="IL441" s="41"/>
      <c r="IM441" s="41"/>
    </row>
    <row r="442" spans="1:247" s="40" customFormat="1" ht="20.25" customHeight="1" x14ac:dyDescent="0.25">
      <c r="A442" s="75">
        <v>41479</v>
      </c>
      <c r="B442" s="144">
        <v>484.37430000000001</v>
      </c>
      <c r="C442" s="144">
        <f t="shared" si="414"/>
        <v>482.92117710000002</v>
      </c>
      <c r="D442" s="144">
        <f t="shared" si="415"/>
        <v>485.82742289999993</v>
      </c>
      <c r="E442" s="78">
        <f>5475.891/1800.553*100</f>
        <v>304.12273340468175</v>
      </c>
      <c r="F442" s="76">
        <v>5475.8909999999996</v>
      </c>
      <c r="G442" s="137"/>
      <c r="H442" s="78">
        <v>154.6437</v>
      </c>
      <c r="I442" s="78">
        <v>153.1936</v>
      </c>
      <c r="J442" s="79">
        <f t="shared" si="404"/>
        <v>232.07663936291408</v>
      </c>
      <c r="K442" s="80">
        <v>1428566.85</v>
      </c>
      <c r="L442" s="81">
        <f t="shared" si="390"/>
        <v>691.96106797195512</v>
      </c>
      <c r="M442" s="151"/>
      <c r="N442" s="64"/>
      <c r="O442" s="39"/>
      <c r="P442" s="39"/>
      <c r="Q442" s="39"/>
      <c r="R442" s="39"/>
      <c r="S442" s="39"/>
      <c r="T442" s="39"/>
      <c r="U442" s="39"/>
      <c r="V442" s="39"/>
      <c r="W442" s="39"/>
      <c r="IH442" s="41"/>
      <c r="II442" s="41"/>
      <c r="IJ442" s="41"/>
      <c r="IK442" s="41"/>
      <c r="IL442" s="41"/>
      <c r="IM442" s="41"/>
    </row>
    <row r="443" spans="1:247" s="40" customFormat="1" ht="20.25" customHeight="1" x14ac:dyDescent="0.25">
      <c r="A443" s="75">
        <v>41472</v>
      </c>
      <c r="B443" s="144">
        <v>480.433401</v>
      </c>
      <c r="C443" s="144">
        <f t="shared" si="414"/>
        <v>478.99210079699998</v>
      </c>
      <c r="D443" s="144">
        <f t="shared" si="415"/>
        <v>481.87470120299997</v>
      </c>
      <c r="E443" s="78">
        <f>5421.085/1800.553*100</f>
        <v>301.07889076300449</v>
      </c>
      <c r="F443" s="76">
        <v>5421.085</v>
      </c>
      <c r="G443" s="137"/>
      <c r="H443" s="78">
        <v>154.50450000000001</v>
      </c>
      <c r="I443" s="78">
        <v>153.18129999999999</v>
      </c>
      <c r="J443" s="79">
        <f t="shared" si="404"/>
        <v>230.80596838640795</v>
      </c>
      <c r="K443" s="80">
        <v>1523792</v>
      </c>
      <c r="L443" s="81">
        <f t="shared" si="390"/>
        <v>732.08057297659207</v>
      </c>
      <c r="M443" s="151"/>
      <c r="N443" s="64"/>
      <c r="O443" s="39"/>
      <c r="P443" s="39"/>
      <c r="Q443" s="39"/>
      <c r="R443" s="39"/>
      <c r="S443" s="39"/>
      <c r="T443" s="39"/>
      <c r="U443" s="39"/>
      <c r="V443" s="39"/>
      <c r="W443" s="39"/>
      <c r="IH443" s="41"/>
      <c r="II443" s="41"/>
      <c r="IJ443" s="41"/>
      <c r="IK443" s="41"/>
      <c r="IL443" s="41"/>
      <c r="IM443" s="41"/>
    </row>
    <row r="444" spans="1:247" s="28" customFormat="1" ht="20.25" customHeight="1" x14ac:dyDescent="0.25">
      <c r="A444" s="75">
        <v>41465</v>
      </c>
      <c r="B444" s="144">
        <v>476.41844500000002</v>
      </c>
      <c r="C444" s="144">
        <f t="shared" ref="C444:C450" si="416">0.997*B444</f>
        <v>474.98918966500003</v>
      </c>
      <c r="D444" s="144">
        <f t="shared" si="415"/>
        <v>477.84770033499996</v>
      </c>
      <c r="E444" s="78">
        <f>5311.941/1800.553*100</f>
        <v>295.01719749432533</v>
      </c>
      <c r="F444" s="76">
        <v>5311.9409999999998</v>
      </c>
      <c r="G444" s="137"/>
      <c r="H444" s="78">
        <v>153.60890000000001</v>
      </c>
      <c r="I444" s="78">
        <v>153.16890000000001</v>
      </c>
      <c r="J444" s="79">
        <f t="shared" si="404"/>
        <v>227.80157246042052</v>
      </c>
      <c r="K444" s="80">
        <v>1537930</v>
      </c>
      <c r="L444" s="81">
        <f t="shared" si="390"/>
        <v>732.69821911885003</v>
      </c>
      <c r="M444" s="152"/>
      <c r="N444" s="66"/>
      <c r="O444" s="27"/>
      <c r="P444" s="27"/>
      <c r="Q444" s="27"/>
      <c r="R444" s="27"/>
      <c r="S444" s="27"/>
      <c r="T444" s="27"/>
      <c r="U444" s="27"/>
      <c r="V444" s="27"/>
      <c r="W444" s="27"/>
      <c r="IH444" s="32"/>
      <c r="II444" s="32"/>
      <c r="IJ444" s="32"/>
      <c r="IK444" s="32"/>
      <c r="IL444" s="32"/>
      <c r="IM444" s="32"/>
    </row>
    <row r="445" spans="1:247" s="28" customFormat="1" ht="20.25" customHeight="1" x14ac:dyDescent="0.25">
      <c r="A445" s="75">
        <v>41458</v>
      </c>
      <c r="B445" s="144">
        <v>476.43174499999998</v>
      </c>
      <c r="C445" s="144">
        <f t="shared" si="416"/>
        <v>475.00244976499999</v>
      </c>
      <c r="D445" s="144">
        <f t="shared" si="415"/>
        <v>477.8610402349999</v>
      </c>
      <c r="E445" s="78">
        <f>5192.522/1800.553*100</f>
        <v>288.38484621113622</v>
      </c>
      <c r="F445" s="76">
        <v>5192.5219999999999</v>
      </c>
      <c r="G445" s="137"/>
      <c r="H445" s="78">
        <v>153.9248</v>
      </c>
      <c r="I445" s="78">
        <v>153.1566</v>
      </c>
      <c r="J445" s="79">
        <f t="shared" si="404"/>
        <v>225.44053768612883</v>
      </c>
      <c r="K445" s="80">
        <v>1540155.05</v>
      </c>
      <c r="L445" s="81">
        <f t="shared" si="390"/>
        <v>733.77875804206224</v>
      </c>
      <c r="M445" s="152"/>
      <c r="N445" s="66"/>
      <c r="O445" s="27"/>
      <c r="P445" s="27"/>
      <c r="Q445" s="27"/>
      <c r="R445" s="27"/>
      <c r="S445" s="27"/>
      <c r="T445" s="27"/>
      <c r="U445" s="27"/>
      <c r="V445" s="27"/>
      <c r="W445" s="27"/>
      <c r="IH445" s="32"/>
      <c r="II445" s="32"/>
      <c r="IJ445" s="32"/>
      <c r="IK445" s="32"/>
      <c r="IL445" s="32"/>
      <c r="IM445" s="32"/>
    </row>
    <row r="446" spans="1:247" s="28" customFormat="1" ht="20.25" customHeight="1" x14ac:dyDescent="0.25">
      <c r="A446" s="75">
        <v>41451</v>
      </c>
      <c r="B446" s="144">
        <v>471.24520000000001</v>
      </c>
      <c r="C446" s="144">
        <f t="shared" si="416"/>
        <v>469.83146440000002</v>
      </c>
      <c r="D446" s="144">
        <f t="shared" si="415"/>
        <v>472.65893559999995</v>
      </c>
      <c r="E446" s="78">
        <f>5136.372/1800.553*100</f>
        <v>285.26635983500626</v>
      </c>
      <c r="F446" s="76">
        <v>5136.3720000000003</v>
      </c>
      <c r="G446" s="137"/>
      <c r="H446" s="78">
        <v>154.38640000000001</v>
      </c>
      <c r="I446" s="78">
        <v>153.14449999999999</v>
      </c>
      <c r="J446" s="79">
        <f t="shared" si="404"/>
        <v>224.54886090249255</v>
      </c>
      <c r="K446" s="80">
        <v>1560928.17</v>
      </c>
      <c r="L446" s="81">
        <f t="shared" si="390"/>
        <v>735.57990765728402</v>
      </c>
      <c r="M446" s="152"/>
      <c r="N446" s="66"/>
      <c r="O446" s="27"/>
      <c r="P446" s="27"/>
      <c r="Q446" s="27"/>
      <c r="R446" s="27"/>
      <c r="S446" s="27"/>
      <c r="T446" s="27"/>
      <c r="U446" s="27"/>
      <c r="V446" s="27"/>
      <c r="W446" s="27"/>
      <c r="IH446" s="32"/>
      <c r="II446" s="32"/>
      <c r="IJ446" s="32"/>
      <c r="IK446" s="32"/>
      <c r="IL446" s="32"/>
      <c r="IM446" s="32"/>
    </row>
    <row r="447" spans="1:247" s="40" customFormat="1" ht="20.25" customHeight="1" x14ac:dyDescent="0.25">
      <c r="A447" s="75">
        <v>41444</v>
      </c>
      <c r="B447" s="144">
        <v>483.46039999999999</v>
      </c>
      <c r="C447" s="144">
        <f t="shared" si="416"/>
        <v>482.01001880000001</v>
      </c>
      <c r="D447" s="144">
        <f t="shared" ref="D447:D452" si="417">1.003*B447</f>
        <v>484.91078119999992</v>
      </c>
      <c r="E447" s="78">
        <f>5310.95/1800.553*100</f>
        <v>294.96215884786506</v>
      </c>
      <c r="F447" s="76">
        <v>5310.95</v>
      </c>
      <c r="G447" s="137"/>
      <c r="H447" s="78">
        <v>155.691</v>
      </c>
      <c r="I447" s="78">
        <v>153.1283</v>
      </c>
      <c r="J447" s="79">
        <f t="shared" si="404"/>
        <v>229.27780154747174</v>
      </c>
      <c r="K447" s="80">
        <v>1574727.32</v>
      </c>
      <c r="L447" s="81">
        <f t="shared" si="390"/>
        <v>761.31830001812807</v>
      </c>
      <c r="M447" s="151"/>
      <c r="N447" s="64"/>
      <c r="O447" s="39"/>
      <c r="P447" s="39"/>
      <c r="Q447" s="39"/>
      <c r="R447" s="39"/>
      <c r="S447" s="39"/>
      <c r="T447" s="39"/>
      <c r="U447" s="39"/>
      <c r="V447" s="39"/>
      <c r="W447" s="39"/>
      <c r="IH447" s="41"/>
      <c r="II447" s="41"/>
      <c r="IJ447" s="41"/>
      <c r="IK447" s="41"/>
      <c r="IL447" s="41"/>
      <c r="IM447" s="41"/>
    </row>
    <row r="448" spans="1:247" s="40" customFormat="1" ht="20.25" customHeight="1" x14ac:dyDescent="0.25">
      <c r="A448" s="75">
        <v>41437</v>
      </c>
      <c r="B448" s="144">
        <v>485.86520000000002</v>
      </c>
      <c r="C448" s="144">
        <f t="shared" si="416"/>
        <v>484.40760440000003</v>
      </c>
      <c r="D448" s="144">
        <f t="shared" si="417"/>
        <v>487.32279559999995</v>
      </c>
      <c r="E448" s="78">
        <f>5247.827/1800.553*100</f>
        <v>291.45640256076882</v>
      </c>
      <c r="F448" s="76">
        <v>5247.8270000000002</v>
      </c>
      <c r="G448" s="137"/>
      <c r="H448" s="78">
        <v>156.37780000000001</v>
      </c>
      <c r="I448" s="78">
        <v>153.114</v>
      </c>
      <c r="J448" s="79">
        <f t="shared" si="404"/>
        <v>228.405693855832</v>
      </c>
      <c r="K448" s="80">
        <v>1581732.27</v>
      </c>
      <c r="L448" s="81">
        <f t="shared" si="390"/>
        <v>768.50866571000404</v>
      </c>
      <c r="M448" s="151"/>
      <c r="N448" s="64"/>
      <c r="O448" s="39"/>
      <c r="P448" s="39"/>
      <c r="Q448" s="39"/>
      <c r="R448" s="39"/>
      <c r="S448" s="39"/>
      <c r="T448" s="39"/>
      <c r="U448" s="39"/>
      <c r="V448" s="39"/>
      <c r="W448" s="39"/>
      <c r="IH448" s="41"/>
      <c r="II448" s="41"/>
      <c r="IJ448" s="41"/>
      <c r="IK448" s="41"/>
      <c r="IL448" s="41"/>
      <c r="IM448" s="41"/>
    </row>
    <row r="449" spans="1:247" s="40" customFormat="1" ht="20.25" customHeight="1" x14ac:dyDescent="0.25">
      <c r="A449" s="75">
        <v>41430</v>
      </c>
      <c r="B449" s="144">
        <v>485.99180000000001</v>
      </c>
      <c r="C449" s="144">
        <f t="shared" si="416"/>
        <v>484.5338246</v>
      </c>
      <c r="D449" s="144">
        <f t="shared" si="417"/>
        <v>487.44977539999996</v>
      </c>
      <c r="E449" s="78">
        <f>5220.751/1800.553*100</f>
        <v>289.95264232710724</v>
      </c>
      <c r="F449" s="76">
        <v>5220.7510000000002</v>
      </c>
      <c r="G449" s="137"/>
      <c r="H449" s="78">
        <v>154.86879999999999</v>
      </c>
      <c r="I449" s="78">
        <v>153.09970000000001</v>
      </c>
      <c r="J449" s="79">
        <f t="shared" si="404"/>
        <v>226.71328389504356</v>
      </c>
      <c r="K449" s="80">
        <v>1621616.5</v>
      </c>
      <c r="L449" s="81">
        <f t="shared" si="390"/>
        <v>788.09232174470003</v>
      </c>
      <c r="M449" s="151"/>
      <c r="N449" s="64"/>
      <c r="O449" s="39"/>
      <c r="P449" s="39"/>
      <c r="Q449" s="39"/>
      <c r="R449" s="39"/>
      <c r="S449" s="39"/>
      <c r="T449" s="39"/>
      <c r="U449" s="39"/>
      <c r="V449" s="39"/>
      <c r="W449" s="39"/>
      <c r="IH449" s="41"/>
      <c r="II449" s="41"/>
      <c r="IJ449" s="41"/>
      <c r="IK449" s="41"/>
      <c r="IL449" s="41"/>
      <c r="IM449" s="41"/>
    </row>
    <row r="450" spans="1:247" s="40" customFormat="1" ht="20.25" customHeight="1" x14ac:dyDescent="0.25">
      <c r="A450" s="75">
        <v>41423</v>
      </c>
      <c r="B450" s="144">
        <v>484.0718</v>
      </c>
      <c r="C450" s="144">
        <f t="shared" si="416"/>
        <v>482.6195846</v>
      </c>
      <c r="D450" s="144">
        <f t="shared" si="417"/>
        <v>485.52401539999994</v>
      </c>
      <c r="E450" s="78">
        <f>5355.662/1800.553*100</f>
        <v>297.44539594224665</v>
      </c>
      <c r="F450" s="76">
        <v>5355.6620000000003</v>
      </c>
      <c r="G450" s="137"/>
      <c r="H450" s="78">
        <v>153.5676</v>
      </c>
      <c r="I450" s="78">
        <v>153.08510000000001</v>
      </c>
      <c r="J450" s="79">
        <f t="shared" si="404"/>
        <v>228.6242636345624</v>
      </c>
      <c r="K450" s="80">
        <v>1630101.86</v>
      </c>
      <c r="L450" s="81">
        <f t="shared" si="390"/>
        <v>789.0863415535481</v>
      </c>
      <c r="M450" s="151"/>
      <c r="N450" s="64"/>
      <c r="O450" s="39"/>
      <c r="P450" s="39"/>
      <c r="Q450" s="39"/>
      <c r="R450" s="39"/>
      <c r="S450" s="39"/>
      <c r="T450" s="39"/>
      <c r="U450" s="39"/>
      <c r="V450" s="39"/>
      <c r="W450" s="39"/>
      <c r="IH450" s="41"/>
      <c r="II450" s="41"/>
      <c r="IJ450" s="41"/>
      <c r="IK450" s="41"/>
      <c r="IL450" s="41"/>
      <c r="IM450" s="41"/>
    </row>
    <row r="451" spans="1:247" s="40" customFormat="1" ht="20.25" customHeight="1" x14ac:dyDescent="0.25">
      <c r="A451" s="75">
        <v>41416</v>
      </c>
      <c r="B451" s="144">
        <v>485.24340000000001</v>
      </c>
      <c r="C451" s="144">
        <f t="shared" ref="C451:C457" si="418">0.997*B451</f>
        <v>483.7876698</v>
      </c>
      <c r="D451" s="144">
        <f t="shared" si="417"/>
        <v>486.69913019999996</v>
      </c>
      <c r="E451" s="78">
        <f>5437.728/1800.553*100</f>
        <v>302.0032179002784</v>
      </c>
      <c r="F451" s="76">
        <v>5437.7280000000001</v>
      </c>
      <c r="G451" s="137"/>
      <c r="H451" s="78">
        <v>152.84809999999999</v>
      </c>
      <c r="I451" s="78">
        <v>153.072</v>
      </c>
      <c r="J451" s="79">
        <f t="shared" si="404"/>
        <v>229.81755417549402</v>
      </c>
      <c r="K451" s="80">
        <v>1643745.43</v>
      </c>
      <c r="L451" s="81">
        <f t="shared" si="390"/>
        <v>797.61662118766196</v>
      </c>
      <c r="M451" s="151"/>
      <c r="N451" s="64"/>
      <c r="O451" s="39"/>
      <c r="P451" s="39"/>
      <c r="Q451" s="39"/>
      <c r="R451" s="39"/>
      <c r="S451" s="39"/>
      <c r="T451" s="39"/>
      <c r="U451" s="39"/>
      <c r="V451" s="39"/>
      <c r="W451" s="39"/>
      <c r="IH451" s="41"/>
      <c r="II451" s="41"/>
      <c r="IJ451" s="41"/>
      <c r="IK451" s="41"/>
      <c r="IL451" s="41"/>
      <c r="IM451" s="41"/>
    </row>
    <row r="452" spans="1:247" s="40" customFormat="1" ht="20.25" customHeight="1" x14ac:dyDescent="0.25">
      <c r="A452" s="87">
        <v>41409</v>
      </c>
      <c r="B452" s="153">
        <v>489.71629999999999</v>
      </c>
      <c r="C452" s="153">
        <f t="shared" si="418"/>
        <v>488.2471511</v>
      </c>
      <c r="D452" s="153">
        <f t="shared" si="417"/>
        <v>491.18544889999993</v>
      </c>
      <c r="E452" s="78">
        <f>5426.304/1800.553*100</f>
        <v>301.36874615743051</v>
      </c>
      <c r="F452" s="88">
        <v>5426.3040000000001</v>
      </c>
      <c r="G452" s="77"/>
      <c r="H452" s="154">
        <v>153.74119999999999</v>
      </c>
      <c r="I452" s="154">
        <v>153.05950000000001</v>
      </c>
      <c r="J452" s="155">
        <f t="shared" si="404"/>
        <v>230.24394438358462</v>
      </c>
      <c r="K452" s="156">
        <v>1659812.74</v>
      </c>
      <c r="L452" s="81">
        <f t="shared" si="390"/>
        <v>812.83735372566196</v>
      </c>
      <c r="M452" s="151"/>
      <c r="N452" s="64"/>
      <c r="O452" s="39"/>
      <c r="P452" s="39"/>
      <c r="Q452" s="39"/>
      <c r="R452" s="39"/>
      <c r="S452" s="39"/>
      <c r="T452" s="39"/>
      <c r="U452" s="39"/>
      <c r="V452" s="39"/>
      <c r="W452" s="39"/>
      <c r="IH452" s="41"/>
      <c r="II452" s="41"/>
      <c r="IJ452" s="41"/>
      <c r="IK452" s="41"/>
      <c r="IL452" s="41"/>
      <c r="IM452" s="41"/>
    </row>
    <row r="453" spans="1:247" s="40" customFormat="1" ht="20.25" customHeight="1" x14ac:dyDescent="0.25">
      <c r="A453" s="75">
        <v>41402</v>
      </c>
      <c r="B453" s="144">
        <v>497.053</v>
      </c>
      <c r="C453" s="144">
        <f t="shared" si="418"/>
        <v>495.56184100000002</v>
      </c>
      <c r="D453" s="144">
        <f t="shared" ref="D453:D458" si="419">1.003*B453</f>
        <v>498.54415899999992</v>
      </c>
      <c r="E453" s="78">
        <f>5392.412/1800.553*100</f>
        <v>299.48643555618742</v>
      </c>
      <c r="F453" s="76">
        <v>5392.4120000000003</v>
      </c>
      <c r="G453" s="137"/>
      <c r="H453" s="78">
        <v>155.76390000000001</v>
      </c>
      <c r="I453" s="78">
        <v>153.0471</v>
      </c>
      <c r="J453" s="79">
        <f t="shared" si="404"/>
        <v>231.0179180430938</v>
      </c>
      <c r="K453" s="80">
        <v>1653557.1</v>
      </c>
      <c r="L453" s="81">
        <f t="shared" si="390"/>
        <v>821.90551722630005</v>
      </c>
      <c r="M453" s="151"/>
      <c r="N453" s="64"/>
      <c r="O453" s="39"/>
      <c r="P453" s="39"/>
      <c r="Q453" s="39"/>
      <c r="R453" s="39"/>
      <c r="S453" s="39"/>
      <c r="T453" s="39"/>
      <c r="U453" s="39"/>
      <c r="V453" s="39"/>
      <c r="W453" s="39"/>
      <c r="IH453" s="41"/>
      <c r="II453" s="41"/>
      <c r="IJ453" s="41"/>
      <c r="IK453" s="41"/>
      <c r="IL453" s="41"/>
      <c r="IM453" s="41"/>
    </row>
    <row r="454" spans="1:247" s="40" customFormat="1" ht="20.25" customHeight="1" x14ac:dyDescent="0.25">
      <c r="A454" s="75">
        <v>41395</v>
      </c>
      <c r="B454" s="144">
        <v>495.82536900000002</v>
      </c>
      <c r="C454" s="144">
        <f t="shared" si="418"/>
        <v>494.337892893</v>
      </c>
      <c r="D454" s="144">
        <f t="shared" si="419"/>
        <v>497.31284510699999</v>
      </c>
      <c r="E454" s="78">
        <f>5253.514/1800.553*100</f>
        <v>291.77224996987036</v>
      </c>
      <c r="F454" s="76">
        <v>5253.5140000000001</v>
      </c>
      <c r="G454" s="137"/>
      <c r="H454" s="78">
        <v>156.12209999999999</v>
      </c>
      <c r="I454" s="78">
        <v>153.0351</v>
      </c>
      <c r="J454" s="79">
        <f t="shared" si="404"/>
        <v>228.26225537273982</v>
      </c>
      <c r="K454" s="80">
        <v>1654993</v>
      </c>
      <c r="L454" s="81">
        <f t="shared" si="390"/>
        <v>820.58751491741702</v>
      </c>
      <c r="M454" s="151"/>
      <c r="N454" s="64"/>
      <c r="O454" s="39"/>
      <c r="P454" s="39"/>
      <c r="Q454" s="39"/>
      <c r="R454" s="39"/>
      <c r="S454" s="39"/>
      <c r="T454" s="39"/>
      <c r="U454" s="39"/>
      <c r="V454" s="39"/>
      <c r="W454" s="39"/>
      <c r="IH454" s="41"/>
      <c r="II454" s="41"/>
      <c r="IJ454" s="41"/>
      <c r="IK454" s="41"/>
      <c r="IL454" s="41"/>
      <c r="IM454" s="41"/>
    </row>
    <row r="455" spans="1:247" s="28" customFormat="1" ht="20.25" customHeight="1" x14ac:dyDescent="0.25">
      <c r="A455" s="75">
        <v>41388</v>
      </c>
      <c r="B455" s="144">
        <v>495.34826199999998</v>
      </c>
      <c r="C455" s="144">
        <f t="shared" si="418"/>
        <v>493.862217214</v>
      </c>
      <c r="D455" s="144">
        <f t="shared" si="419"/>
        <v>496.8343067859999</v>
      </c>
      <c r="E455" s="78">
        <f>5192.189/1800.553*100</f>
        <v>288.36635189300176</v>
      </c>
      <c r="F455" s="76">
        <v>5192.1890000000003</v>
      </c>
      <c r="G455" s="137"/>
      <c r="H455" s="78">
        <v>154.7467</v>
      </c>
      <c r="I455" s="78">
        <v>153.02269999999999</v>
      </c>
      <c r="J455" s="79">
        <f t="shared" ref="J455:J550" si="420">(E455/E456)*0.5*J456+(H455/H456)*0.5*J456</f>
        <v>225.92404498591654</v>
      </c>
      <c r="K455" s="80">
        <v>1689151.2</v>
      </c>
      <c r="L455" s="81">
        <f t="shared" ref="L455:L550" si="421">K455*B455/1000000</f>
        <v>836.71811117521429</v>
      </c>
      <c r="M455" s="152"/>
      <c r="N455" s="66"/>
      <c r="O455" s="27"/>
      <c r="P455" s="27"/>
      <c r="Q455" s="27"/>
      <c r="R455" s="27"/>
      <c r="S455" s="27"/>
      <c r="T455" s="27"/>
      <c r="U455" s="27"/>
      <c r="V455" s="27"/>
      <c r="W455" s="27"/>
      <c r="IH455" s="32"/>
      <c r="II455" s="32"/>
      <c r="IJ455" s="32"/>
      <c r="IK455" s="32"/>
      <c r="IL455" s="32"/>
      <c r="IM455" s="32"/>
    </row>
    <row r="456" spans="1:247" s="28" customFormat="1" ht="20.25" customHeight="1" x14ac:dyDescent="0.25">
      <c r="A456" s="75">
        <v>41381</v>
      </c>
      <c r="B456" s="144">
        <v>491.11380000000003</v>
      </c>
      <c r="C456" s="144">
        <f t="shared" si="418"/>
        <v>489.64045860000004</v>
      </c>
      <c r="D456" s="144">
        <f t="shared" si="419"/>
        <v>492.58714139999995</v>
      </c>
      <c r="E456" s="78">
        <f>5081.148/1800.553*100</f>
        <v>282.19930210329824</v>
      </c>
      <c r="F456" s="76">
        <v>5081.1480000000001</v>
      </c>
      <c r="G456" s="137"/>
      <c r="H456" s="78">
        <v>155.15440000000001</v>
      </c>
      <c r="I456" s="78">
        <v>153.0104</v>
      </c>
      <c r="J456" s="79">
        <f t="shared" si="420"/>
        <v>223.77293578559741</v>
      </c>
      <c r="K456" s="80">
        <v>1719184.52</v>
      </c>
      <c r="L456" s="81">
        <f t="shared" si="421"/>
        <v>844.31524251837607</v>
      </c>
      <c r="M456" s="152"/>
      <c r="N456" s="66"/>
      <c r="O456" s="27"/>
      <c r="P456" s="27"/>
      <c r="Q456" s="27"/>
      <c r="R456" s="27"/>
      <c r="S456" s="27"/>
      <c r="T456" s="27"/>
      <c r="U456" s="27"/>
      <c r="V456" s="27"/>
      <c r="W456" s="27"/>
      <c r="IH456" s="32"/>
      <c r="II456" s="32"/>
      <c r="IJ456" s="32"/>
      <c r="IK456" s="32"/>
      <c r="IL456" s="32"/>
      <c r="IM456" s="32"/>
    </row>
    <row r="457" spans="1:247" s="40" customFormat="1" ht="20.25" customHeight="1" x14ac:dyDescent="0.25">
      <c r="A457" s="75">
        <v>41374</v>
      </c>
      <c r="B457" s="144">
        <v>505.0027</v>
      </c>
      <c r="C457" s="144">
        <f t="shared" si="418"/>
        <v>503.48769190000002</v>
      </c>
      <c r="D457" s="144">
        <f t="shared" si="419"/>
        <v>506.51770809999994</v>
      </c>
      <c r="E457" s="78">
        <f>5190.786/1800.553*100</f>
        <v>288.28843138746817</v>
      </c>
      <c r="F457" s="76">
        <v>5190.7860000000001</v>
      </c>
      <c r="G457" s="137"/>
      <c r="H457" s="78">
        <v>155.1755</v>
      </c>
      <c r="I457" s="78">
        <v>152.9982</v>
      </c>
      <c r="J457" s="79">
        <f t="shared" si="420"/>
        <v>226.1769287210752</v>
      </c>
      <c r="K457" s="80">
        <v>1739128.1</v>
      </c>
      <c r="L457" s="81">
        <f t="shared" si="421"/>
        <v>878.26438614587005</v>
      </c>
      <c r="M457" s="151"/>
      <c r="N457" s="64"/>
      <c r="O457" s="39"/>
      <c r="P457" s="39"/>
      <c r="Q457" s="39"/>
      <c r="R457" s="39"/>
      <c r="S457" s="39"/>
      <c r="T457" s="39"/>
      <c r="U457" s="39"/>
      <c r="V457" s="39"/>
      <c r="W457" s="39"/>
      <c r="IH457" s="41"/>
      <c r="II457" s="41"/>
      <c r="IJ457" s="41"/>
      <c r="IK457" s="41"/>
      <c r="IL457" s="41"/>
      <c r="IM457" s="41"/>
    </row>
    <row r="458" spans="1:247" s="40" customFormat="1" ht="20.25" customHeight="1" x14ac:dyDescent="0.25">
      <c r="A458" s="75">
        <v>41367</v>
      </c>
      <c r="B458" s="144">
        <v>497.23439999999999</v>
      </c>
      <c r="C458" s="144">
        <f t="shared" ref="C458:C464" si="422">0.997*B458</f>
        <v>495.74269679999998</v>
      </c>
      <c r="D458" s="144">
        <f t="shared" si="419"/>
        <v>498.72610319999995</v>
      </c>
      <c r="E458" s="78">
        <f>5091.928/1800.553*100</f>
        <v>282.79800705672085</v>
      </c>
      <c r="F458" s="76">
        <v>5091.9279999999999</v>
      </c>
      <c r="G458" s="137"/>
      <c r="H458" s="78">
        <v>155.33080000000001</v>
      </c>
      <c r="I458" s="78">
        <v>152.98650000000001</v>
      </c>
      <c r="J458" s="79">
        <f t="shared" si="420"/>
        <v>224.11342139291025</v>
      </c>
      <c r="K458" s="80">
        <v>1740300.11</v>
      </c>
      <c r="L458" s="81">
        <f t="shared" si="421"/>
        <v>865.33708101578407</v>
      </c>
      <c r="M458" s="151"/>
      <c r="N458" s="64"/>
      <c r="O458" s="39"/>
      <c r="P458" s="39"/>
      <c r="Q458" s="39"/>
      <c r="R458" s="39"/>
      <c r="S458" s="39"/>
      <c r="T458" s="39"/>
      <c r="U458" s="39"/>
      <c r="V458" s="39"/>
      <c r="W458" s="39"/>
      <c r="IH458" s="41"/>
      <c r="II458" s="41"/>
      <c r="IJ458" s="41"/>
      <c r="IK458" s="41"/>
      <c r="IL458" s="41"/>
      <c r="IM458" s="41"/>
    </row>
    <row r="459" spans="1:247" s="40" customFormat="1" ht="20.25" customHeight="1" x14ac:dyDescent="0.25">
      <c r="A459" s="75">
        <v>41360</v>
      </c>
      <c r="B459" s="144">
        <v>505.17129999999997</v>
      </c>
      <c r="C459" s="144">
        <f t="shared" si="422"/>
        <v>503.6557861</v>
      </c>
      <c r="D459" s="144">
        <f t="shared" ref="D459:D464" si="423">1.003*B459</f>
        <v>506.68681389999995</v>
      </c>
      <c r="E459" s="78">
        <f>5102.491/1800.553*100</f>
        <v>283.38466015718507</v>
      </c>
      <c r="F459" s="76">
        <v>5102.491</v>
      </c>
      <c r="G459" s="137"/>
      <c r="H459" s="78">
        <v>154.7807</v>
      </c>
      <c r="I459" s="78">
        <v>152.9743</v>
      </c>
      <c r="J459" s="79">
        <f t="shared" si="420"/>
        <v>223.94726424157778</v>
      </c>
      <c r="K459" s="80">
        <v>1744826.97</v>
      </c>
      <c r="L459" s="81">
        <f t="shared" si="421"/>
        <v>881.43650870996089</v>
      </c>
      <c r="M459" s="151"/>
      <c r="N459" s="64"/>
      <c r="O459" s="39"/>
      <c r="P459" s="39"/>
      <c r="Q459" s="39"/>
      <c r="R459" s="39"/>
      <c r="S459" s="39"/>
      <c r="T459" s="39"/>
      <c r="U459" s="39"/>
      <c r="V459" s="39"/>
      <c r="W459" s="39"/>
      <c r="IH459" s="41"/>
      <c r="II459" s="41"/>
      <c r="IJ459" s="41"/>
      <c r="IK459" s="41"/>
      <c r="IL459" s="41"/>
      <c r="IM459" s="41"/>
    </row>
    <row r="460" spans="1:247" s="40" customFormat="1" ht="20.25" customHeight="1" x14ac:dyDescent="0.25">
      <c r="A460" s="75">
        <v>41353</v>
      </c>
      <c r="B460" s="144">
        <v>499.66230000000002</v>
      </c>
      <c r="C460" s="144">
        <f t="shared" si="422"/>
        <v>498.16331310000004</v>
      </c>
      <c r="D460" s="144">
        <f t="shared" si="423"/>
        <v>501.16128689999994</v>
      </c>
      <c r="E460" s="78">
        <f>5115.143/1800.553*100</f>
        <v>284.08733316930966</v>
      </c>
      <c r="F460" s="76">
        <v>5115.143</v>
      </c>
      <c r="G460" s="137"/>
      <c r="H460" s="78">
        <v>154.74340000000001</v>
      </c>
      <c r="I460" s="78">
        <v>152.96270000000001</v>
      </c>
      <c r="J460" s="79">
        <f t="shared" si="420"/>
        <v>224.19751304944509</v>
      </c>
      <c r="K460" s="80">
        <v>1760765.44</v>
      </c>
      <c r="L460" s="81">
        <f t="shared" si="421"/>
        <v>879.78810951091191</v>
      </c>
      <c r="M460" s="151"/>
      <c r="N460" s="64"/>
      <c r="O460" s="39"/>
      <c r="P460" s="39"/>
      <c r="Q460" s="39"/>
      <c r="R460" s="39"/>
      <c r="S460" s="39"/>
      <c r="T460" s="39"/>
      <c r="U460" s="39"/>
      <c r="V460" s="39"/>
      <c r="W460" s="39"/>
      <c r="IH460" s="41"/>
      <c r="II460" s="41"/>
      <c r="IJ460" s="41"/>
      <c r="IK460" s="41"/>
      <c r="IL460" s="41"/>
      <c r="IM460" s="41"/>
    </row>
    <row r="461" spans="1:247" s="40" customFormat="1" ht="20.25" customHeight="1" x14ac:dyDescent="0.25">
      <c r="A461" s="87">
        <v>41346</v>
      </c>
      <c r="B461" s="153">
        <v>497.56180000000001</v>
      </c>
      <c r="C461" s="153">
        <f t="shared" si="422"/>
        <v>496.06911459999998</v>
      </c>
      <c r="D461" s="153">
        <f t="shared" si="423"/>
        <v>499.05448539999998</v>
      </c>
      <c r="E461" s="78">
        <f>5097.035/1800.553*100</f>
        <v>283.08164213994257</v>
      </c>
      <c r="F461" s="88">
        <v>5097.0349999999999</v>
      </c>
      <c r="G461" s="77"/>
      <c r="H461" s="154">
        <v>154.53229999999999</v>
      </c>
      <c r="I461" s="154">
        <v>152.9513</v>
      </c>
      <c r="J461" s="155">
        <f t="shared" si="420"/>
        <v>223.64748436722448</v>
      </c>
      <c r="K461" s="156">
        <v>1782275.16</v>
      </c>
      <c r="L461" s="81">
        <f t="shared" si="421"/>
        <v>886.79203670488801</v>
      </c>
      <c r="M461" s="151"/>
      <c r="N461" s="64"/>
      <c r="O461" s="39"/>
      <c r="P461" s="39"/>
      <c r="Q461" s="39"/>
      <c r="R461" s="39"/>
      <c r="S461" s="39"/>
      <c r="T461" s="39"/>
      <c r="U461" s="39"/>
      <c r="V461" s="39"/>
      <c r="W461" s="39"/>
      <c r="IH461" s="41"/>
      <c r="II461" s="41"/>
      <c r="IJ461" s="41"/>
      <c r="IK461" s="41"/>
      <c r="IL461" s="41"/>
      <c r="IM461" s="41"/>
    </row>
    <row r="462" spans="1:247" s="40" customFormat="1" ht="20.25" customHeight="1" x14ac:dyDescent="0.25">
      <c r="A462" s="75">
        <v>41339</v>
      </c>
      <c r="B462" s="144">
        <v>497.80470000000003</v>
      </c>
      <c r="C462" s="144">
        <f t="shared" si="422"/>
        <v>496.31128590000003</v>
      </c>
      <c r="D462" s="144">
        <f t="shared" si="423"/>
        <v>499.29811409999996</v>
      </c>
      <c r="E462" s="78">
        <f>5065.975/1800.553*100</f>
        <v>281.35661655058198</v>
      </c>
      <c r="F462" s="76">
        <v>5065.9750000000004</v>
      </c>
      <c r="G462" s="137"/>
      <c r="H462" s="78">
        <v>154.9616</v>
      </c>
      <c r="I462" s="78">
        <v>152.9391</v>
      </c>
      <c r="J462" s="79">
        <f t="shared" si="420"/>
        <v>223.27230468881766</v>
      </c>
      <c r="K462" s="80">
        <v>1813550.15</v>
      </c>
      <c r="L462" s="81">
        <f t="shared" si="421"/>
        <v>902.79378835570503</v>
      </c>
      <c r="M462" s="151"/>
      <c r="N462" s="64"/>
      <c r="O462" s="39"/>
      <c r="P462" s="39"/>
      <c r="Q462" s="39"/>
      <c r="R462" s="39"/>
      <c r="S462" s="39"/>
      <c r="T462" s="39"/>
      <c r="U462" s="39"/>
      <c r="V462" s="39"/>
      <c r="W462" s="39"/>
      <c r="IH462" s="41"/>
      <c r="II462" s="41"/>
      <c r="IJ462" s="41"/>
      <c r="IK462" s="41"/>
      <c r="IL462" s="41"/>
      <c r="IM462" s="41"/>
    </row>
    <row r="463" spans="1:247" s="40" customFormat="1" ht="20.25" customHeight="1" x14ac:dyDescent="0.25">
      <c r="A463" s="75">
        <v>41332</v>
      </c>
      <c r="B463" s="144">
        <v>498.80070000000001</v>
      </c>
      <c r="C463" s="144">
        <f t="shared" si="422"/>
        <v>497.30429789999999</v>
      </c>
      <c r="D463" s="144">
        <f t="shared" si="423"/>
        <v>500.29710209999996</v>
      </c>
      <c r="E463" s="78">
        <f>4982.09/1800.553*100</f>
        <v>276.6977700739717</v>
      </c>
      <c r="F463" s="76">
        <v>4982.09</v>
      </c>
      <c r="G463" s="137"/>
      <c r="H463" s="78">
        <v>156.14830000000001</v>
      </c>
      <c r="I463" s="78">
        <v>152.9271</v>
      </c>
      <c r="J463" s="79">
        <f t="shared" si="420"/>
        <v>222.24580856360942</v>
      </c>
      <c r="K463" s="80">
        <v>1862458.9</v>
      </c>
      <c r="L463" s="81">
        <f t="shared" si="421"/>
        <v>928.99580304122992</v>
      </c>
      <c r="M463" s="151"/>
      <c r="N463" s="64"/>
      <c r="O463" s="39"/>
      <c r="P463" s="39"/>
      <c r="Q463" s="39"/>
      <c r="R463" s="39"/>
      <c r="S463" s="39"/>
      <c r="T463" s="39"/>
      <c r="U463" s="39"/>
      <c r="V463" s="39"/>
      <c r="W463" s="39"/>
      <c r="IH463" s="41"/>
      <c r="II463" s="41"/>
      <c r="IJ463" s="41"/>
      <c r="IK463" s="41"/>
      <c r="IL463" s="41"/>
      <c r="IM463" s="41"/>
    </row>
    <row r="464" spans="1:247" s="40" customFormat="1" ht="20.25" customHeight="1" x14ac:dyDescent="0.25">
      <c r="A464" s="75">
        <v>41325</v>
      </c>
      <c r="B464" s="144">
        <v>501.50360000000001</v>
      </c>
      <c r="C464" s="144">
        <f t="shared" si="422"/>
        <v>499.99908920000001</v>
      </c>
      <c r="D464" s="144">
        <f t="shared" si="423"/>
        <v>503.00811079999994</v>
      </c>
      <c r="E464" s="78">
        <f>5015.771/1800.553*100</f>
        <v>278.5683620532136</v>
      </c>
      <c r="F464" s="76">
        <v>5015.7709999999997</v>
      </c>
      <c r="G464" s="137"/>
      <c r="H464" s="78">
        <v>156.34639999999999</v>
      </c>
      <c r="I464" s="78">
        <v>152.91499999999999</v>
      </c>
      <c r="J464" s="79">
        <f t="shared" si="420"/>
        <v>223.13635442982138</v>
      </c>
      <c r="K464" s="80">
        <v>1871295.6</v>
      </c>
      <c r="L464" s="81">
        <f t="shared" si="421"/>
        <v>938.46148006416013</v>
      </c>
      <c r="M464" s="151"/>
      <c r="N464" s="64"/>
      <c r="O464" s="39"/>
      <c r="P464" s="39"/>
      <c r="Q464" s="39"/>
      <c r="R464" s="39"/>
      <c r="S464" s="39"/>
      <c r="T464" s="39"/>
      <c r="U464" s="39"/>
      <c r="V464" s="39"/>
      <c r="W464" s="39"/>
      <c r="IH464" s="41"/>
      <c r="II464" s="41"/>
      <c r="IJ464" s="41"/>
      <c r="IK464" s="41"/>
      <c r="IL464" s="41"/>
      <c r="IM464" s="41"/>
    </row>
    <row r="465" spans="1:247" s="40" customFormat="1" ht="20.25" customHeight="1" x14ac:dyDescent="0.25">
      <c r="A465" s="75">
        <v>41318</v>
      </c>
      <c r="B465" s="144">
        <v>507.02190000000002</v>
      </c>
      <c r="C465" s="144">
        <f t="shared" ref="C465:C471" si="424">0.997*B465</f>
        <v>505.50083430000001</v>
      </c>
      <c r="D465" s="144">
        <f t="shared" ref="D465:D470" si="425">1.003*B465</f>
        <v>508.54296569999997</v>
      </c>
      <c r="E465" s="78">
        <f>5026.67/1800.553*100</f>
        <v>279.17367608729091</v>
      </c>
      <c r="F465" s="76">
        <v>5026.67</v>
      </c>
      <c r="G465" s="137"/>
      <c r="H465" s="78">
        <v>157.28399999999999</v>
      </c>
      <c r="I465" s="78">
        <v>152.9024</v>
      </c>
      <c r="J465" s="79">
        <f t="shared" si="420"/>
        <v>224.04704133537712</v>
      </c>
      <c r="K465" s="80">
        <v>1870725.13</v>
      </c>
      <c r="L465" s="81">
        <f t="shared" si="421"/>
        <v>948.49860979034702</v>
      </c>
      <c r="M465" s="151"/>
      <c r="N465" s="64"/>
      <c r="O465" s="39"/>
      <c r="P465" s="39"/>
      <c r="Q465" s="39"/>
      <c r="R465" s="39"/>
      <c r="S465" s="39"/>
      <c r="T465" s="39"/>
      <c r="U465" s="39"/>
      <c r="V465" s="39"/>
      <c r="W465" s="39"/>
      <c r="IH465" s="41"/>
      <c r="II465" s="41"/>
      <c r="IJ465" s="41"/>
      <c r="IK465" s="41"/>
      <c r="IL465" s="41"/>
      <c r="IM465" s="41"/>
    </row>
    <row r="466" spans="1:247" s="40" customFormat="1" ht="20.25" customHeight="1" x14ac:dyDescent="0.25">
      <c r="A466" s="75">
        <v>41311</v>
      </c>
      <c r="B466" s="144">
        <v>509.79930000000002</v>
      </c>
      <c r="C466" s="144">
        <f t="shared" si="424"/>
        <v>508.26990210000002</v>
      </c>
      <c r="D466" s="144">
        <f t="shared" si="425"/>
        <v>511.32869789999995</v>
      </c>
      <c r="E466" s="78">
        <f>5003.215/1800.553*100</f>
        <v>277.8710207364071</v>
      </c>
      <c r="F466" s="76">
        <v>5003.2150000000001</v>
      </c>
      <c r="G466" s="137"/>
      <c r="H466" s="78">
        <v>157.55289999999999</v>
      </c>
      <c r="I466" s="78">
        <v>152.88980000000001</v>
      </c>
      <c r="J466" s="79">
        <f t="shared" si="420"/>
        <v>223.71356748431174</v>
      </c>
      <c r="K466" s="80">
        <v>1876277.93</v>
      </c>
      <c r="L466" s="81">
        <f t="shared" si="421"/>
        <v>956.52517531944898</v>
      </c>
      <c r="M466" s="151"/>
      <c r="N466" s="64"/>
      <c r="O466" s="39"/>
      <c r="P466" s="39"/>
      <c r="Q466" s="39"/>
      <c r="R466" s="39"/>
      <c r="S466" s="39"/>
      <c r="T466" s="39"/>
      <c r="U466" s="39"/>
      <c r="V466" s="39"/>
      <c r="W466" s="39"/>
      <c r="IH466" s="41"/>
      <c r="II466" s="41"/>
      <c r="IJ466" s="41"/>
      <c r="IK466" s="41"/>
      <c r="IL466" s="41"/>
      <c r="IM466" s="41"/>
    </row>
    <row r="467" spans="1:247" s="40" customFormat="1" ht="20.25" customHeight="1" x14ac:dyDescent="0.25">
      <c r="A467" s="75">
        <v>41304</v>
      </c>
      <c r="B467" s="144">
        <v>507.68417199999999</v>
      </c>
      <c r="C467" s="144">
        <f t="shared" si="424"/>
        <v>506.16111948399998</v>
      </c>
      <c r="D467" s="144">
        <f t="shared" si="425"/>
        <v>509.20722451599994</v>
      </c>
      <c r="E467" s="78">
        <f>5006.115/1800.553*100</f>
        <v>278.03208236580645</v>
      </c>
      <c r="F467" s="76">
        <v>5006.1149999999998</v>
      </c>
      <c r="G467" s="137"/>
      <c r="H467" s="78">
        <v>158.2636</v>
      </c>
      <c r="I467" s="78">
        <v>152.87809999999999</v>
      </c>
      <c r="J467" s="79">
        <f t="shared" si="420"/>
        <v>224.28211151983265</v>
      </c>
      <c r="K467" s="80">
        <v>1878090</v>
      </c>
      <c r="L467" s="81">
        <f t="shared" si="421"/>
        <v>953.47656659148004</v>
      </c>
      <c r="M467" s="151"/>
      <c r="N467" s="64"/>
      <c r="O467" s="39"/>
      <c r="P467" s="39"/>
      <c r="Q467" s="39"/>
      <c r="R467" s="39"/>
      <c r="S467" s="39"/>
      <c r="T467" s="39"/>
      <c r="U467" s="39"/>
      <c r="V467" s="39"/>
      <c r="W467" s="39"/>
      <c r="IH467" s="41"/>
      <c r="II467" s="41"/>
      <c r="IJ467" s="41"/>
      <c r="IK467" s="41"/>
      <c r="IL467" s="41"/>
      <c r="IM467" s="41"/>
    </row>
    <row r="468" spans="1:247" s="28" customFormat="1" ht="20.25" customHeight="1" x14ac:dyDescent="0.25">
      <c r="A468" s="75">
        <v>41297</v>
      </c>
      <c r="B468" s="144">
        <v>509.04590000000002</v>
      </c>
      <c r="C468" s="144">
        <f t="shared" si="424"/>
        <v>507.51876229999999</v>
      </c>
      <c r="D468" s="144">
        <f t="shared" si="425"/>
        <v>510.57303769999999</v>
      </c>
      <c r="E468" s="78">
        <f>4945.984/1800.553*100</f>
        <v>274.6924972494561</v>
      </c>
      <c r="F468" s="76">
        <v>4945.9840000000004</v>
      </c>
      <c r="G468" s="137"/>
      <c r="H468" s="78">
        <v>158.1456</v>
      </c>
      <c r="I468" s="78">
        <v>152.8656</v>
      </c>
      <c r="J468" s="79">
        <f t="shared" si="420"/>
        <v>222.84435448685124</v>
      </c>
      <c r="K468" s="80">
        <v>1889379.98</v>
      </c>
      <c r="L468" s="81">
        <f t="shared" si="421"/>
        <v>961.78113236108209</v>
      </c>
      <c r="M468" s="152"/>
      <c r="N468" s="66"/>
      <c r="O468" s="27"/>
      <c r="P468" s="27"/>
      <c r="Q468" s="27"/>
      <c r="R468" s="27"/>
      <c r="S468" s="27"/>
      <c r="T468" s="27"/>
      <c r="U468" s="27"/>
      <c r="V468" s="27"/>
      <c r="W468" s="27"/>
      <c r="IH468" s="32"/>
      <c r="II468" s="32"/>
      <c r="IJ468" s="32"/>
      <c r="IK468" s="32"/>
      <c r="IL468" s="32"/>
      <c r="IM468" s="32"/>
    </row>
    <row r="469" spans="1:247" s="40" customFormat="1" ht="20.25" customHeight="1" x14ac:dyDescent="0.25">
      <c r="A469" s="75">
        <v>41290</v>
      </c>
      <c r="B469" s="144">
        <v>510.13580000000002</v>
      </c>
      <c r="C469" s="144">
        <f t="shared" si="424"/>
        <v>508.60539260000002</v>
      </c>
      <c r="D469" s="144">
        <f t="shared" si="425"/>
        <v>511.66620739999996</v>
      </c>
      <c r="E469" s="78">
        <f>4895.249/1800.553*100</f>
        <v>271.87475181235982</v>
      </c>
      <c r="F469" s="76">
        <v>4895.2489999999998</v>
      </c>
      <c r="G469" s="137"/>
      <c r="H469" s="78">
        <v>158.35390000000001</v>
      </c>
      <c r="I469" s="78">
        <v>152.85380000000001</v>
      </c>
      <c r="J469" s="79">
        <f t="shared" si="420"/>
        <v>221.84066716573471</v>
      </c>
      <c r="K469" s="80">
        <v>1890490.71</v>
      </c>
      <c r="L469" s="81">
        <f t="shared" si="421"/>
        <v>964.40699073841802</v>
      </c>
      <c r="M469" s="151"/>
      <c r="N469" s="64"/>
      <c r="O469" s="39"/>
      <c r="P469" s="39"/>
      <c r="Q469" s="39"/>
      <c r="R469" s="39"/>
      <c r="S469" s="39"/>
      <c r="T469" s="39"/>
      <c r="U469" s="39"/>
      <c r="V469" s="39"/>
      <c r="W469" s="39"/>
      <c r="IH469" s="41"/>
      <c r="II469" s="41"/>
      <c r="IJ469" s="41"/>
      <c r="IK469" s="41"/>
      <c r="IL469" s="41"/>
      <c r="IM469" s="41"/>
    </row>
    <row r="470" spans="1:247" s="40" customFormat="1" ht="20.25" customHeight="1" x14ac:dyDescent="0.25">
      <c r="A470" s="75">
        <v>41283</v>
      </c>
      <c r="B470" s="144">
        <v>505.09460000000001</v>
      </c>
      <c r="C470" s="144">
        <f t="shared" si="424"/>
        <v>503.57931619999999</v>
      </c>
      <c r="D470" s="144">
        <f t="shared" si="425"/>
        <v>506.60988379999998</v>
      </c>
      <c r="E470" s="78">
        <f>4852.112/1800.553*100</f>
        <v>269.47898784429003</v>
      </c>
      <c r="F470" s="76">
        <v>4852.1120000000001</v>
      </c>
      <c r="G470" s="137"/>
      <c r="H470" s="78">
        <v>157.87870000000001</v>
      </c>
      <c r="I470" s="78">
        <v>152.84219999999999</v>
      </c>
      <c r="J470" s="79">
        <f t="shared" si="420"/>
        <v>220.52849383946435</v>
      </c>
      <c r="K470" s="80">
        <v>1893908.66</v>
      </c>
      <c r="L470" s="81">
        <f t="shared" si="421"/>
        <v>956.60303705923593</v>
      </c>
      <c r="M470" s="151"/>
      <c r="N470" s="64"/>
      <c r="O470" s="39"/>
      <c r="P470" s="39"/>
      <c r="Q470" s="39"/>
      <c r="R470" s="39"/>
      <c r="S470" s="39"/>
      <c r="T470" s="39"/>
      <c r="U470" s="39"/>
      <c r="V470" s="39"/>
      <c r="W470" s="39"/>
      <c r="IH470" s="41"/>
      <c r="II470" s="41"/>
      <c r="IJ470" s="41"/>
      <c r="IK470" s="41"/>
      <c r="IL470" s="41"/>
      <c r="IM470" s="41"/>
    </row>
    <row r="471" spans="1:247" s="40" customFormat="1" ht="20.25" customHeight="1" x14ac:dyDescent="0.25">
      <c r="A471" s="75">
        <v>41276</v>
      </c>
      <c r="B471" s="144">
        <v>507.3809</v>
      </c>
      <c r="C471" s="144">
        <f t="shared" si="424"/>
        <v>505.85875729999998</v>
      </c>
      <c r="D471" s="144">
        <f t="shared" ref="D471:D476" si="426">1.003*B471</f>
        <v>508.90304269999996</v>
      </c>
      <c r="E471" s="78">
        <f>4851.818/1800.553*100</f>
        <v>269.46265952737855</v>
      </c>
      <c r="F471" s="76">
        <v>4851.8180000000002</v>
      </c>
      <c r="G471" s="137"/>
      <c r="H471" s="78">
        <v>158.71440000000001</v>
      </c>
      <c r="I471" s="78">
        <v>152.8306</v>
      </c>
      <c r="J471" s="79">
        <f t="shared" si="420"/>
        <v>221.10389870587738</v>
      </c>
      <c r="K471" s="80">
        <v>1896579.3</v>
      </c>
      <c r="L471" s="81">
        <f t="shared" si="421"/>
        <v>962.28811215536996</v>
      </c>
      <c r="M471" s="151"/>
      <c r="N471" s="64"/>
      <c r="O471" s="39"/>
      <c r="P471" s="39"/>
      <c r="Q471" s="39"/>
      <c r="R471" s="39"/>
      <c r="S471" s="39"/>
      <c r="T471" s="39"/>
      <c r="U471" s="39"/>
      <c r="V471" s="39"/>
      <c r="W471" s="39"/>
      <c r="IH471" s="41"/>
      <c r="II471" s="41"/>
      <c r="IJ471" s="41"/>
      <c r="IK471" s="41"/>
      <c r="IL471" s="41"/>
      <c r="IM471" s="41"/>
    </row>
    <row r="472" spans="1:247" s="40" customFormat="1" ht="20.25" customHeight="1" x14ac:dyDescent="0.25">
      <c r="A472" s="75">
        <v>41274</v>
      </c>
      <c r="B472" s="144">
        <v>508.28179999999998</v>
      </c>
      <c r="C472" s="144">
        <v>506.75700000000001</v>
      </c>
      <c r="D472" s="144">
        <f t="shared" si="426"/>
        <v>509.80664539999992</v>
      </c>
      <c r="E472" s="78">
        <f>4748.699/1800.553*100</f>
        <v>263.7355856783999</v>
      </c>
      <c r="F472" s="76">
        <v>4748.6989999999996</v>
      </c>
      <c r="G472" s="137"/>
      <c r="H472" s="78">
        <v>158.70679999999999</v>
      </c>
      <c r="I472" s="78">
        <v>152.8272</v>
      </c>
      <c r="J472" s="79">
        <f t="shared" si="420"/>
        <v>218.72384448699142</v>
      </c>
      <c r="K472" s="80">
        <v>1896579.3</v>
      </c>
      <c r="L472" s="81">
        <f t="shared" si="421"/>
        <v>963.99674044673998</v>
      </c>
      <c r="M472" s="151"/>
      <c r="N472" s="64"/>
      <c r="O472" s="39"/>
      <c r="P472" s="39"/>
      <c r="Q472" s="39"/>
      <c r="R472" s="39"/>
      <c r="S472" s="39"/>
      <c r="T472" s="39"/>
      <c r="U472" s="39"/>
      <c r="V472" s="39"/>
      <c r="W472" s="39"/>
      <c r="IH472" s="41"/>
      <c r="II472" s="41"/>
      <c r="IJ472" s="41"/>
      <c r="IK472" s="41"/>
      <c r="IL472" s="41"/>
      <c r="IM472" s="41"/>
    </row>
    <row r="473" spans="1:247" s="40" customFormat="1" ht="20.25" customHeight="1" x14ac:dyDescent="0.25">
      <c r="A473" s="75">
        <v>41269</v>
      </c>
      <c r="B473" s="144">
        <v>504.3177</v>
      </c>
      <c r="C473" s="144">
        <f>0.997*B473</f>
        <v>502.8047469</v>
      </c>
      <c r="D473" s="144">
        <f t="shared" si="426"/>
        <v>505.83065309999995</v>
      </c>
      <c r="E473" s="78">
        <f>4738.626/1800.553*100</f>
        <v>263.17614643945501</v>
      </c>
      <c r="F473" s="76">
        <v>4738.6260000000002</v>
      </c>
      <c r="G473" s="137"/>
      <c r="H473" s="78">
        <v>158.90209999999999</v>
      </c>
      <c r="I473" s="78">
        <v>152.81880000000001</v>
      </c>
      <c r="J473" s="79">
        <f t="shared" si="420"/>
        <v>218.62582763861707</v>
      </c>
      <c r="K473" s="80">
        <v>1898709.71</v>
      </c>
      <c r="L473" s="81">
        <f t="shared" si="421"/>
        <v>957.55291391486708</v>
      </c>
      <c r="M473" s="151"/>
      <c r="N473" s="64"/>
      <c r="O473" s="39"/>
      <c r="P473" s="39"/>
      <c r="Q473" s="39"/>
      <c r="R473" s="39"/>
      <c r="S473" s="39"/>
      <c r="T473" s="39"/>
      <c r="U473" s="39"/>
      <c r="V473" s="39"/>
      <c r="W473" s="39"/>
      <c r="IH473" s="41"/>
      <c r="II473" s="41"/>
      <c r="IJ473" s="41"/>
      <c r="IK473" s="41"/>
      <c r="IL473" s="41"/>
      <c r="IM473" s="41"/>
    </row>
    <row r="474" spans="1:247" s="40" customFormat="1" ht="20.25" customHeight="1" x14ac:dyDescent="0.25">
      <c r="A474" s="75">
        <v>41262</v>
      </c>
      <c r="B474" s="144">
        <v>503.91419999999999</v>
      </c>
      <c r="C474" s="144">
        <f>0.997*B474</f>
        <v>502.4024574</v>
      </c>
      <c r="D474" s="144">
        <f t="shared" si="426"/>
        <v>505.42594259999993</v>
      </c>
      <c r="E474" s="78">
        <f>4782.207/1800.553*100</f>
        <v>265.59656949837074</v>
      </c>
      <c r="F474" s="76">
        <v>4782.2070000000003</v>
      </c>
      <c r="G474" s="137"/>
      <c r="H474" s="78">
        <v>159.38939999999999</v>
      </c>
      <c r="I474" s="78">
        <v>152.80670000000001</v>
      </c>
      <c r="J474" s="79">
        <f t="shared" si="420"/>
        <v>219.9643601215418</v>
      </c>
      <c r="K474" s="80">
        <v>1905577.13</v>
      </c>
      <c r="L474" s="81">
        <f t="shared" si="421"/>
        <v>960.24737500224592</v>
      </c>
      <c r="M474" s="151"/>
      <c r="N474" s="64"/>
      <c r="O474" s="39"/>
      <c r="P474" s="39"/>
      <c r="Q474" s="39"/>
      <c r="R474" s="39"/>
      <c r="S474" s="39"/>
      <c r="T474" s="39"/>
      <c r="U474" s="39"/>
      <c r="V474" s="39"/>
      <c r="W474" s="39"/>
      <c r="IH474" s="41"/>
      <c r="II474" s="41"/>
      <c r="IJ474" s="41"/>
      <c r="IK474" s="41"/>
      <c r="IL474" s="41"/>
      <c r="IM474" s="41"/>
    </row>
    <row r="475" spans="1:247" s="40" customFormat="1" ht="20.25" customHeight="1" x14ac:dyDescent="0.25">
      <c r="A475" s="75">
        <v>41255</v>
      </c>
      <c r="B475" s="144">
        <v>506.36169999999998</v>
      </c>
      <c r="C475" s="144">
        <f t="shared" ref="C475:C481" si="427">0.997*B475</f>
        <v>504.8426149</v>
      </c>
      <c r="D475" s="144">
        <f t="shared" si="426"/>
        <v>507.88078509999991</v>
      </c>
      <c r="E475" s="78">
        <f>4721.584/1800.553*100</f>
        <v>262.2296594435154</v>
      </c>
      <c r="F475" s="76">
        <v>4721.5839999999998</v>
      </c>
      <c r="G475" s="137"/>
      <c r="H475" s="78">
        <v>158.99189999999999</v>
      </c>
      <c r="I475" s="78">
        <v>152.79490000000001</v>
      </c>
      <c r="J475" s="79">
        <f t="shared" si="420"/>
        <v>218.29011050805678</v>
      </c>
      <c r="K475" s="80">
        <v>1922006.09</v>
      </c>
      <c r="L475" s="81">
        <f t="shared" si="421"/>
        <v>973.23027114275305</v>
      </c>
      <c r="M475" s="151"/>
      <c r="N475" s="64"/>
      <c r="O475" s="39"/>
      <c r="P475" s="39"/>
      <c r="Q475" s="39"/>
      <c r="R475" s="39"/>
      <c r="S475" s="39"/>
      <c r="T475" s="39"/>
      <c r="U475" s="39"/>
      <c r="V475" s="39"/>
      <c r="W475" s="39"/>
      <c r="IH475" s="41"/>
      <c r="II475" s="41"/>
      <c r="IJ475" s="41"/>
      <c r="IK475" s="41"/>
      <c r="IL475" s="41"/>
      <c r="IM475" s="41"/>
    </row>
    <row r="476" spans="1:247" s="40" customFormat="1" ht="20.25" customHeight="1" x14ac:dyDescent="0.25">
      <c r="A476" s="75">
        <v>41248</v>
      </c>
      <c r="B476" s="144">
        <v>503.00740000000002</v>
      </c>
      <c r="C476" s="144">
        <f t="shared" si="427"/>
        <v>501.49837780000001</v>
      </c>
      <c r="D476" s="144">
        <f t="shared" si="426"/>
        <v>504.51642219999997</v>
      </c>
      <c r="E476" s="78">
        <f>4659.52/1800.553*100</f>
        <v>258.78271842039641</v>
      </c>
      <c r="F476" s="76">
        <v>4659.5200000000004</v>
      </c>
      <c r="G476" s="137"/>
      <c r="H476" s="78">
        <v>159.0204</v>
      </c>
      <c r="I476" s="78">
        <v>152.78200000000001</v>
      </c>
      <c r="J476" s="79">
        <f t="shared" si="420"/>
        <v>216.86524031577761</v>
      </c>
      <c r="K476" s="80">
        <v>1935999.32</v>
      </c>
      <c r="L476" s="81">
        <f t="shared" si="421"/>
        <v>973.82198435496809</v>
      </c>
      <c r="M476" s="151"/>
      <c r="N476" s="64"/>
      <c r="O476" s="39"/>
      <c r="P476" s="39"/>
      <c r="Q476" s="39"/>
      <c r="R476" s="39"/>
      <c r="S476" s="39"/>
      <c r="T476" s="39"/>
      <c r="U476" s="39"/>
      <c r="V476" s="39"/>
      <c r="W476" s="39"/>
      <c r="IH476" s="41"/>
      <c r="II476" s="41"/>
      <c r="IJ476" s="41"/>
      <c r="IK476" s="41"/>
      <c r="IL476" s="41"/>
      <c r="IM476" s="41"/>
    </row>
    <row r="477" spans="1:247" s="40" customFormat="1" ht="20.25" customHeight="1" x14ac:dyDescent="0.25">
      <c r="A477" s="75">
        <v>41241</v>
      </c>
      <c r="B477" s="144">
        <v>507.45310000000001</v>
      </c>
      <c r="C477" s="144">
        <f t="shared" si="427"/>
        <v>505.9307407</v>
      </c>
      <c r="D477" s="144">
        <f t="shared" ref="D477:D482" si="428">1.003*B477</f>
        <v>508.97545929999995</v>
      </c>
      <c r="E477" s="78">
        <f>4616.78/1800.553*100</f>
        <v>256.40900323400643</v>
      </c>
      <c r="F477" s="76">
        <v>4616.78</v>
      </c>
      <c r="G477" s="137"/>
      <c r="H477" s="78">
        <v>158.6523</v>
      </c>
      <c r="I477" s="78">
        <v>152.76929999999999</v>
      </c>
      <c r="J477" s="79">
        <f t="shared" si="420"/>
        <v>215.61706519433992</v>
      </c>
      <c r="K477" s="80">
        <v>1943906.26</v>
      </c>
      <c r="L477" s="81">
        <f t="shared" si="421"/>
        <v>986.441257746406</v>
      </c>
      <c r="M477" s="151"/>
      <c r="N477" s="64"/>
      <c r="O477" s="39"/>
      <c r="P477" s="39"/>
      <c r="Q477" s="39"/>
      <c r="R477" s="39"/>
      <c r="S477" s="39"/>
      <c r="T477" s="39"/>
      <c r="U477" s="39"/>
      <c r="V477" s="39"/>
      <c r="W477" s="39"/>
      <c r="IH477" s="41"/>
      <c r="II477" s="41"/>
      <c r="IJ477" s="41"/>
      <c r="IK477" s="41"/>
      <c r="IL477" s="41"/>
      <c r="IM477" s="41"/>
    </row>
    <row r="478" spans="1:247" s="40" customFormat="1" ht="20.25" customHeight="1" x14ac:dyDescent="0.25">
      <c r="A478" s="75">
        <v>41234</v>
      </c>
      <c r="B478" s="144">
        <v>506.9676</v>
      </c>
      <c r="C478" s="144">
        <f t="shared" si="427"/>
        <v>505.44669720000002</v>
      </c>
      <c r="D478" s="144">
        <f t="shared" si="428"/>
        <v>508.48850279999994</v>
      </c>
      <c r="E478" s="78">
        <f>4545.902/1800.553*100</f>
        <v>252.47254593449901</v>
      </c>
      <c r="F478" s="76">
        <v>4545.902</v>
      </c>
      <c r="G478" s="137"/>
      <c r="H478" s="78">
        <v>158.03819999999999</v>
      </c>
      <c r="I478" s="78">
        <v>152.75569999999999</v>
      </c>
      <c r="J478" s="79">
        <f t="shared" si="420"/>
        <v>213.53748823947427</v>
      </c>
      <c r="K478" s="80">
        <v>1957606.43</v>
      </c>
      <c r="L478" s="81">
        <f t="shared" si="421"/>
        <v>992.4430335616679</v>
      </c>
      <c r="M478" s="151"/>
      <c r="N478" s="64"/>
      <c r="O478" s="39"/>
      <c r="P478" s="39"/>
      <c r="Q478" s="39"/>
      <c r="R478" s="39"/>
      <c r="S478" s="39"/>
      <c r="T478" s="39"/>
      <c r="U478" s="39"/>
      <c r="V478" s="39"/>
      <c r="W478" s="39"/>
      <c r="IH478" s="41"/>
      <c r="II478" s="41"/>
      <c r="IJ478" s="41"/>
      <c r="IK478" s="41"/>
      <c r="IL478" s="41"/>
      <c r="IM478" s="41"/>
    </row>
    <row r="479" spans="1:247" s="40" customFormat="1" ht="20.25" customHeight="1" x14ac:dyDescent="0.25">
      <c r="A479" s="75">
        <v>41227</v>
      </c>
      <c r="B479" s="144">
        <v>504.48899999999998</v>
      </c>
      <c r="C479" s="144">
        <f t="shared" si="427"/>
        <v>502.97553299999998</v>
      </c>
      <c r="D479" s="144">
        <f t="shared" si="428"/>
        <v>506.00246699999991</v>
      </c>
      <c r="E479" s="78">
        <f>4447.697/1800.553*100</f>
        <v>247.01838823961305</v>
      </c>
      <c r="F479" s="76">
        <v>4447.6970000000001</v>
      </c>
      <c r="G479" s="137"/>
      <c r="H479" s="78">
        <v>158.04069999999999</v>
      </c>
      <c r="I479" s="78">
        <v>152.74209999999999</v>
      </c>
      <c r="J479" s="79">
        <f t="shared" si="420"/>
        <v>211.2074322577289</v>
      </c>
      <c r="K479" s="80">
        <v>1963068.07</v>
      </c>
      <c r="L479" s="81">
        <f t="shared" si="421"/>
        <v>990.34624756622998</v>
      </c>
      <c r="M479" s="151"/>
      <c r="N479" s="64"/>
      <c r="O479" s="39"/>
      <c r="P479" s="39"/>
      <c r="Q479" s="39"/>
      <c r="R479" s="39"/>
      <c r="S479" s="39"/>
      <c r="T479" s="39"/>
      <c r="U479" s="39"/>
      <c r="V479" s="39"/>
      <c r="W479" s="39"/>
      <c r="IH479" s="41"/>
      <c r="II479" s="41"/>
      <c r="IJ479" s="41"/>
      <c r="IK479" s="41"/>
      <c r="IL479" s="41"/>
      <c r="IM479" s="41"/>
    </row>
    <row r="480" spans="1:247" s="40" customFormat="1" ht="20.25" customHeight="1" x14ac:dyDescent="0.25">
      <c r="A480" s="75">
        <v>41220</v>
      </c>
      <c r="B480" s="144">
        <v>508.73899999999998</v>
      </c>
      <c r="C480" s="144">
        <f t="shared" si="427"/>
        <v>507.212783</v>
      </c>
      <c r="D480" s="144">
        <f t="shared" si="428"/>
        <v>510.26521699999989</v>
      </c>
      <c r="E480" s="78">
        <f>4556.664/1800.553*100</f>
        <v>253.07025119504951</v>
      </c>
      <c r="F480" s="76">
        <v>4556.6639999999998</v>
      </c>
      <c r="G480" s="137"/>
      <c r="H480" s="78">
        <v>158.35499999999999</v>
      </c>
      <c r="I480" s="78">
        <v>152.72880000000001</v>
      </c>
      <c r="J480" s="79">
        <f t="shared" si="420"/>
        <v>213.97829581548444</v>
      </c>
      <c r="K480" s="80">
        <v>1971691.45</v>
      </c>
      <c r="L480" s="81">
        <f t="shared" si="421"/>
        <v>1003.0763365815499</v>
      </c>
      <c r="M480" s="151"/>
      <c r="N480" s="64"/>
      <c r="O480" s="39"/>
      <c r="P480" s="39"/>
      <c r="Q480" s="39"/>
      <c r="R480" s="39"/>
      <c r="S480" s="39"/>
      <c r="T480" s="39"/>
      <c r="U480" s="39"/>
      <c r="V480" s="39"/>
      <c r="W480" s="39"/>
      <c r="IH480" s="41"/>
      <c r="II480" s="41"/>
      <c r="IJ480" s="41"/>
      <c r="IK480" s="41"/>
      <c r="IL480" s="41"/>
      <c r="IM480" s="41"/>
    </row>
    <row r="481" spans="1:247" s="40" customFormat="1" ht="20.25" customHeight="1" x14ac:dyDescent="0.25">
      <c r="A481" s="75">
        <v>41213</v>
      </c>
      <c r="B481" s="144">
        <v>509.07418272531282</v>
      </c>
      <c r="C481" s="144">
        <f t="shared" si="427"/>
        <v>507.5469601771369</v>
      </c>
      <c r="D481" s="144">
        <f t="shared" si="428"/>
        <v>510.60140527348869</v>
      </c>
      <c r="E481" s="78">
        <f>4597.231/1800.553*100</f>
        <v>255.32328123637566</v>
      </c>
      <c r="F481" s="76">
        <v>4597.2309999999998</v>
      </c>
      <c r="G481" s="137"/>
      <c r="H481" s="78">
        <v>159.11060000000001</v>
      </c>
      <c r="I481" s="78">
        <v>152.71600000000001</v>
      </c>
      <c r="J481" s="79">
        <f t="shared" si="420"/>
        <v>215.44039528391892</v>
      </c>
      <c r="K481" s="80">
        <v>1994605</v>
      </c>
      <c r="L481" s="81">
        <f t="shared" si="421"/>
        <v>1015.4019102348226</v>
      </c>
      <c r="M481" s="151"/>
      <c r="N481" s="64"/>
      <c r="O481" s="39"/>
      <c r="P481" s="39"/>
      <c r="Q481" s="39"/>
      <c r="R481" s="39"/>
      <c r="S481" s="39"/>
      <c r="T481" s="39"/>
      <c r="U481" s="39"/>
      <c r="V481" s="39"/>
      <c r="W481" s="39"/>
      <c r="IH481" s="41"/>
      <c r="II481" s="41"/>
      <c r="IJ481" s="41"/>
      <c r="IK481" s="41"/>
      <c r="IL481" s="41"/>
      <c r="IM481" s="41"/>
    </row>
    <row r="482" spans="1:247" s="28" customFormat="1" ht="20.25" customHeight="1" x14ac:dyDescent="0.25">
      <c r="A482" s="75">
        <v>41206</v>
      </c>
      <c r="B482" s="144">
        <v>504.00529999999998</v>
      </c>
      <c r="C482" s="144">
        <f t="shared" ref="C482:C488" si="429">0.997*B482</f>
        <v>502.49328409999998</v>
      </c>
      <c r="D482" s="144">
        <f t="shared" si="428"/>
        <v>505.51731589999991</v>
      </c>
      <c r="E482" s="78">
        <f>4586.889/1800.553*100</f>
        <v>254.74890214284164</v>
      </c>
      <c r="F482" s="76">
        <v>4586.8890000000001</v>
      </c>
      <c r="G482" s="137"/>
      <c r="H482" s="78">
        <v>159.02340000000001</v>
      </c>
      <c r="I482" s="78">
        <v>152.703</v>
      </c>
      <c r="J482" s="79">
        <f t="shared" si="420"/>
        <v>215.13887447342466</v>
      </c>
      <c r="K482" s="80">
        <v>1998797.34</v>
      </c>
      <c r="L482" s="81">
        <f t="shared" si="421"/>
        <v>1007.4044529859019</v>
      </c>
      <c r="M482" s="152"/>
      <c r="N482" s="66"/>
      <c r="O482" s="27"/>
      <c r="P482" s="27"/>
      <c r="Q482" s="27"/>
      <c r="R482" s="27"/>
      <c r="S482" s="27"/>
      <c r="T482" s="27"/>
      <c r="U482" s="27"/>
      <c r="V482" s="27"/>
      <c r="W482" s="27"/>
      <c r="IH482" s="32"/>
      <c r="II482" s="32"/>
      <c r="IJ482" s="32"/>
      <c r="IK482" s="32"/>
      <c r="IL482" s="32"/>
      <c r="IM482" s="32"/>
    </row>
    <row r="483" spans="1:247" s="40" customFormat="1" ht="20.25" customHeight="1" x14ac:dyDescent="0.25">
      <c r="A483" s="75">
        <v>41199</v>
      </c>
      <c r="B483" s="144">
        <v>508.166</v>
      </c>
      <c r="C483" s="144">
        <f t="shared" si="429"/>
        <v>506.641502</v>
      </c>
      <c r="D483" s="144">
        <f t="shared" ref="D483:D488" si="430">1.003*B483</f>
        <v>509.69049799999993</v>
      </c>
      <c r="E483" s="78">
        <f>4730.303/1800.553*100</f>
        <v>262.71389956307866</v>
      </c>
      <c r="F483" s="76">
        <v>4730.3029999999999</v>
      </c>
      <c r="G483" s="137"/>
      <c r="H483" s="78">
        <v>159.8844</v>
      </c>
      <c r="I483" s="78">
        <v>152.6901</v>
      </c>
      <c r="J483" s="79">
        <f t="shared" si="420"/>
        <v>219.04926341389012</v>
      </c>
      <c r="K483" s="80">
        <v>2048681.54</v>
      </c>
      <c r="L483" s="81">
        <f t="shared" si="421"/>
        <v>1041.07030345564</v>
      </c>
      <c r="M483" s="151"/>
      <c r="N483" s="64"/>
      <c r="O483" s="39"/>
      <c r="P483" s="39"/>
      <c r="Q483" s="39"/>
      <c r="R483" s="39"/>
      <c r="S483" s="39"/>
      <c r="T483" s="39"/>
      <c r="U483" s="39"/>
      <c r="V483" s="39"/>
      <c r="W483" s="39"/>
      <c r="IH483" s="41"/>
      <c r="II483" s="41"/>
      <c r="IJ483" s="41"/>
      <c r="IK483" s="41"/>
      <c r="IL483" s="41"/>
      <c r="IM483" s="41"/>
    </row>
    <row r="484" spans="1:247" s="40" customFormat="1" ht="20.25" customHeight="1" x14ac:dyDescent="0.25">
      <c r="A484" s="75">
        <v>41192</v>
      </c>
      <c r="B484" s="144">
        <v>505.87380000000002</v>
      </c>
      <c r="C484" s="144">
        <f t="shared" si="429"/>
        <v>504.35617860000002</v>
      </c>
      <c r="D484" s="144">
        <f t="shared" si="430"/>
        <v>507.39142139999996</v>
      </c>
      <c r="E484" s="78">
        <f>4607.223/1800.553*100</f>
        <v>255.87822185739603</v>
      </c>
      <c r="F484" s="76">
        <v>4607.223</v>
      </c>
      <c r="G484" s="137"/>
      <c r="H484" s="78">
        <v>158.86770000000001</v>
      </c>
      <c r="I484" s="78">
        <v>152.6763</v>
      </c>
      <c r="J484" s="79">
        <f t="shared" si="420"/>
        <v>215.48151033208592</v>
      </c>
      <c r="K484" s="80">
        <v>2025431.42</v>
      </c>
      <c r="L484" s="81">
        <f t="shared" si="421"/>
        <v>1024.612689074796</v>
      </c>
      <c r="M484" s="151"/>
      <c r="N484" s="64"/>
      <c r="O484" s="39"/>
      <c r="P484" s="39"/>
      <c r="Q484" s="39"/>
      <c r="R484" s="39"/>
      <c r="S484" s="39"/>
      <c r="T484" s="39"/>
      <c r="U484" s="39"/>
      <c r="V484" s="39"/>
      <c r="W484" s="39"/>
      <c r="IH484" s="41"/>
      <c r="II484" s="41"/>
      <c r="IJ484" s="41"/>
      <c r="IK484" s="41"/>
      <c r="IL484" s="41"/>
      <c r="IM484" s="41"/>
    </row>
    <row r="485" spans="1:247" s="40" customFormat="1" ht="20.25" customHeight="1" x14ac:dyDescent="0.25">
      <c r="A485" s="75">
        <v>41185</v>
      </c>
      <c r="B485" s="144">
        <v>505.15</v>
      </c>
      <c r="C485" s="144">
        <f t="shared" si="429"/>
        <v>503.63454999999999</v>
      </c>
      <c r="D485" s="144">
        <f t="shared" si="430"/>
        <v>506.66544999999991</v>
      </c>
      <c r="E485" s="78">
        <f>4654.442/1800.553*100</f>
        <v>258.50069395346873</v>
      </c>
      <c r="F485" s="76">
        <v>4654.442</v>
      </c>
      <c r="G485" s="137"/>
      <c r="H485" s="78">
        <v>158.89920000000001</v>
      </c>
      <c r="I485" s="78">
        <v>152.66290000000001</v>
      </c>
      <c r="J485" s="79">
        <f t="shared" si="420"/>
        <v>216.60168450646449</v>
      </c>
      <c r="K485" s="80">
        <v>2027449.63</v>
      </c>
      <c r="L485" s="81">
        <f t="shared" si="421"/>
        <v>1024.1661805945</v>
      </c>
      <c r="M485" s="151"/>
      <c r="N485" s="64"/>
      <c r="O485" s="39"/>
      <c r="P485" s="39"/>
      <c r="Q485" s="39"/>
      <c r="R485" s="39"/>
      <c r="S485" s="39"/>
      <c r="T485" s="39"/>
      <c r="U485" s="39"/>
      <c r="V485" s="39"/>
      <c r="W485" s="39"/>
      <c r="IH485" s="41"/>
      <c r="II485" s="41"/>
      <c r="IJ485" s="41"/>
      <c r="IK485" s="41"/>
      <c r="IL485" s="41"/>
      <c r="IM485" s="41"/>
    </row>
    <row r="486" spans="1:247" s="40" customFormat="1" ht="20.25" customHeight="1" x14ac:dyDescent="0.25">
      <c r="A486" s="75">
        <v>41180</v>
      </c>
      <c r="B486" s="144">
        <v>507.85390000000001</v>
      </c>
      <c r="C486" s="144">
        <f t="shared" si="429"/>
        <v>506.33033829999999</v>
      </c>
      <c r="D486" s="144">
        <f t="shared" si="430"/>
        <v>509.37746169999997</v>
      </c>
      <c r="E486" s="78">
        <f>4627.184/1800.553*100</f>
        <v>256.98682571410006</v>
      </c>
      <c r="F486" s="76">
        <v>4627.1840000000002</v>
      </c>
      <c r="G486" s="137"/>
      <c r="H486" s="78">
        <v>159.11000000000001</v>
      </c>
      <c r="I486" s="78">
        <v>152.65369999999999</v>
      </c>
      <c r="J486" s="79">
        <f t="shared" si="420"/>
        <v>216.10831244005482</v>
      </c>
      <c r="K486" s="80">
        <v>2027449.5092</v>
      </c>
      <c r="L486" s="81">
        <f t="shared" si="421"/>
        <v>1029.6481403003058</v>
      </c>
      <c r="M486" s="151"/>
      <c r="N486" s="64"/>
      <c r="O486" s="39"/>
      <c r="P486" s="39"/>
      <c r="Q486" s="39"/>
      <c r="R486" s="39"/>
      <c r="S486" s="39"/>
      <c r="T486" s="39"/>
      <c r="U486" s="39"/>
      <c r="V486" s="39"/>
      <c r="W486" s="39"/>
      <c r="IH486" s="41"/>
      <c r="II486" s="41"/>
      <c r="IJ486" s="41"/>
      <c r="IK486" s="41"/>
      <c r="IL486" s="41"/>
      <c r="IM486" s="41"/>
    </row>
    <row r="487" spans="1:247" s="40" customFormat="1" ht="20.25" customHeight="1" x14ac:dyDescent="0.25">
      <c r="A487" s="75">
        <v>41178</v>
      </c>
      <c r="B487" s="144">
        <v>506.459</v>
      </c>
      <c r="C487" s="144">
        <f t="shared" si="429"/>
        <v>504.93962299999998</v>
      </c>
      <c r="D487" s="144">
        <f t="shared" si="430"/>
        <v>507.97837699999997</v>
      </c>
      <c r="E487" s="78">
        <f>4619.359/1800.553*100</f>
        <v>256.55223700718614</v>
      </c>
      <c r="F487" s="76">
        <v>4619.3590000000004</v>
      </c>
      <c r="G487" s="137"/>
      <c r="H487" s="78">
        <v>159.1019</v>
      </c>
      <c r="I487" s="78">
        <v>152.6499</v>
      </c>
      <c r="J487" s="79">
        <f t="shared" si="420"/>
        <v>215.91993646634222</v>
      </c>
      <c r="K487" s="80">
        <v>2029408.34</v>
      </c>
      <c r="L487" s="81">
        <f t="shared" si="421"/>
        <v>1027.8121184680599</v>
      </c>
      <c r="M487" s="63"/>
      <c r="N487" s="64"/>
      <c r="O487" s="39"/>
      <c r="P487" s="39"/>
      <c r="Q487" s="39"/>
      <c r="R487" s="39"/>
      <c r="S487" s="39"/>
      <c r="T487" s="39"/>
      <c r="U487" s="39"/>
      <c r="V487" s="39"/>
      <c r="W487" s="39"/>
      <c r="IH487" s="41"/>
      <c r="II487" s="41"/>
      <c r="IJ487" s="41"/>
      <c r="IK487" s="41"/>
      <c r="IL487" s="41"/>
      <c r="IM487" s="41"/>
    </row>
    <row r="488" spans="1:247" s="40" customFormat="1" ht="20.25" customHeight="1" x14ac:dyDescent="0.25">
      <c r="A488" s="75">
        <v>41171</v>
      </c>
      <c r="B488" s="144">
        <v>510.58049999999997</v>
      </c>
      <c r="C488" s="144">
        <f t="shared" si="429"/>
        <v>509.04875849999996</v>
      </c>
      <c r="D488" s="144">
        <f t="shared" si="430"/>
        <v>512.11224149999987</v>
      </c>
      <c r="E488" s="78">
        <f>4725.856/1800.553*100</f>
        <v>262.46691988516858</v>
      </c>
      <c r="F488" s="76">
        <v>4725.8559999999998</v>
      </c>
      <c r="G488" s="137"/>
      <c r="H488" s="78">
        <v>159.7347</v>
      </c>
      <c r="I488" s="78">
        <v>152.63669999999999</v>
      </c>
      <c r="J488" s="79">
        <f t="shared" si="420"/>
        <v>218.81890776690506</v>
      </c>
      <c r="K488" s="80">
        <v>2046655.17</v>
      </c>
      <c r="L488" s="81">
        <f t="shared" si="421"/>
        <v>1044.9822200261849</v>
      </c>
      <c r="M488" s="63"/>
      <c r="N488" s="64"/>
      <c r="O488" s="39"/>
      <c r="P488" s="39"/>
      <c r="Q488" s="39"/>
      <c r="R488" s="39"/>
      <c r="S488" s="39"/>
      <c r="T488" s="39"/>
      <c r="U488" s="39"/>
      <c r="V488" s="39"/>
      <c r="W488" s="39"/>
      <c r="IH488" s="41"/>
      <c r="II488" s="41"/>
      <c r="IJ488" s="41"/>
      <c r="IK488" s="41"/>
      <c r="IL488" s="41"/>
      <c r="IM488" s="41"/>
    </row>
    <row r="489" spans="1:247" s="40" customFormat="1" ht="20.25" customHeight="1" x14ac:dyDescent="0.25">
      <c r="A489" s="75">
        <v>41164</v>
      </c>
      <c r="B489" s="144">
        <v>503.83280000000002</v>
      </c>
      <c r="C489" s="144">
        <f t="shared" ref="C489:C495" si="431">0.997*B489</f>
        <v>502.32130160000003</v>
      </c>
      <c r="D489" s="144">
        <f t="shared" ref="D489:D494" si="432">1.003*B489</f>
        <v>505.34429839999996</v>
      </c>
      <c r="E489" s="78">
        <f>4637.567/1800.553*100</f>
        <v>257.5634818858428</v>
      </c>
      <c r="F489" s="76">
        <v>4637.567</v>
      </c>
      <c r="G489" s="137"/>
      <c r="H489" s="78">
        <v>159.17500000000001</v>
      </c>
      <c r="I489" s="78">
        <v>152.6232</v>
      </c>
      <c r="J489" s="79">
        <f t="shared" si="420"/>
        <v>216.37879972078736</v>
      </c>
      <c r="K489" s="80">
        <v>2055897.89</v>
      </c>
      <c r="L489" s="81">
        <f t="shared" si="421"/>
        <v>1035.8287904327919</v>
      </c>
      <c r="M489" s="63"/>
      <c r="N489" s="64"/>
      <c r="O489" s="39"/>
      <c r="P489" s="39"/>
      <c r="Q489" s="39"/>
      <c r="R489" s="39"/>
      <c r="S489" s="39"/>
      <c r="T489" s="39"/>
      <c r="U489" s="39"/>
      <c r="V489" s="39"/>
      <c r="W489" s="39"/>
      <c r="IH489" s="41"/>
      <c r="II489" s="41"/>
      <c r="IJ489" s="41"/>
      <c r="IK489" s="41"/>
      <c r="IL489" s="41"/>
      <c r="IM489" s="41"/>
    </row>
    <row r="490" spans="1:247" s="40" customFormat="1" ht="20.25" customHeight="1" x14ac:dyDescent="0.25">
      <c r="A490" s="75">
        <v>41157</v>
      </c>
      <c r="B490" s="144">
        <v>500.3689</v>
      </c>
      <c r="C490" s="144">
        <f t="shared" si="431"/>
        <v>498.86779330000002</v>
      </c>
      <c r="D490" s="144">
        <f t="shared" si="432"/>
        <v>501.87000669999992</v>
      </c>
      <c r="E490" s="78">
        <f>4482.263/1800.553*100</f>
        <v>248.93813178506826</v>
      </c>
      <c r="F490" s="76">
        <v>4482.2629999999999</v>
      </c>
      <c r="G490" s="137"/>
      <c r="H490" s="78">
        <v>157.55289999999999</v>
      </c>
      <c r="I490" s="78">
        <v>152.60990000000001</v>
      </c>
      <c r="J490" s="79">
        <f t="shared" si="420"/>
        <v>211.62318665998458</v>
      </c>
      <c r="K490" s="80">
        <v>2084134.32</v>
      </c>
      <c r="L490" s="81">
        <f t="shared" si="421"/>
        <v>1042.8359971506479</v>
      </c>
      <c r="M490" s="63"/>
      <c r="N490" s="64"/>
      <c r="O490" s="39"/>
      <c r="P490" s="39"/>
      <c r="Q490" s="39"/>
      <c r="R490" s="39"/>
      <c r="S490" s="39"/>
      <c r="T490" s="39"/>
      <c r="U490" s="39"/>
      <c r="V490" s="39"/>
      <c r="W490" s="39"/>
      <c r="IH490" s="41"/>
      <c r="II490" s="41"/>
      <c r="IJ490" s="41"/>
      <c r="IK490" s="41"/>
      <c r="IL490" s="41"/>
      <c r="IM490" s="41"/>
    </row>
    <row r="491" spans="1:247" s="40" customFormat="1" ht="20.25" customHeight="1" x14ac:dyDescent="0.25">
      <c r="A491" s="75">
        <v>41150</v>
      </c>
      <c r="B491" s="144">
        <v>499.19970000000001</v>
      </c>
      <c r="C491" s="144">
        <f t="shared" si="431"/>
        <v>497.7021009</v>
      </c>
      <c r="D491" s="144">
        <f t="shared" si="432"/>
        <v>500.69729909999995</v>
      </c>
      <c r="E491" s="78">
        <f>4515.044/1800.553*100</f>
        <v>250.75873912070344</v>
      </c>
      <c r="F491" s="76">
        <v>4515.0439999999999</v>
      </c>
      <c r="G491" s="137"/>
      <c r="H491" s="78">
        <v>157.19280000000001</v>
      </c>
      <c r="I491" s="78">
        <v>152.5968</v>
      </c>
      <c r="J491" s="79">
        <f t="shared" si="420"/>
        <v>212.15033537045267</v>
      </c>
      <c r="K491" s="80">
        <v>2083394.62</v>
      </c>
      <c r="L491" s="81">
        <f t="shared" si="421"/>
        <v>1040.029969285614</v>
      </c>
      <c r="M491" s="63"/>
      <c r="N491" s="64"/>
      <c r="O491" s="39"/>
      <c r="P491" s="39"/>
      <c r="Q491" s="39"/>
      <c r="R491" s="39"/>
      <c r="S491" s="39"/>
      <c r="T491" s="39"/>
      <c r="U491" s="39"/>
      <c r="V491" s="39"/>
      <c r="W491" s="39"/>
      <c r="IH491" s="41"/>
      <c r="II491" s="41"/>
      <c r="IJ491" s="41"/>
      <c r="IK491" s="41"/>
      <c r="IL491" s="41"/>
      <c r="IM491" s="41"/>
    </row>
    <row r="492" spans="1:247" s="40" customFormat="1" ht="20.25" customHeight="1" x14ac:dyDescent="0.25">
      <c r="A492" s="75">
        <v>41143</v>
      </c>
      <c r="B492" s="144">
        <v>502.17320000000001</v>
      </c>
      <c r="C492" s="144">
        <f t="shared" si="431"/>
        <v>500.66668040000002</v>
      </c>
      <c r="D492" s="144">
        <f t="shared" si="432"/>
        <v>503.67971959999994</v>
      </c>
      <c r="E492" s="78">
        <f>4529.122/1800.553*100</f>
        <v>251.54061002369826</v>
      </c>
      <c r="F492" s="76">
        <v>4529.1220000000003</v>
      </c>
      <c r="G492" s="137"/>
      <c r="H492" s="78">
        <v>157.3766</v>
      </c>
      <c r="I492" s="78">
        <v>152.58359999999999</v>
      </c>
      <c r="J492" s="79">
        <f t="shared" si="420"/>
        <v>212.60490889083667</v>
      </c>
      <c r="K492" s="80">
        <v>2104040.91</v>
      </c>
      <c r="L492" s="81">
        <f t="shared" si="421"/>
        <v>1056.5929567056121</v>
      </c>
      <c r="M492" s="63"/>
      <c r="N492" s="64"/>
      <c r="O492" s="39"/>
      <c r="P492" s="39"/>
      <c r="Q492" s="39"/>
      <c r="R492" s="39"/>
      <c r="S492" s="39"/>
      <c r="T492" s="39"/>
      <c r="U492" s="39"/>
      <c r="V492" s="39"/>
      <c r="W492" s="39"/>
      <c r="IH492" s="41"/>
      <c r="II492" s="41"/>
      <c r="IJ492" s="41"/>
      <c r="IK492" s="41"/>
      <c r="IL492" s="41"/>
      <c r="IM492" s="41"/>
    </row>
    <row r="493" spans="1:247" s="40" customFormat="1" ht="20.25" customHeight="1" x14ac:dyDescent="0.25">
      <c r="A493" s="75">
        <v>41136</v>
      </c>
      <c r="B493" s="144">
        <v>497.00749999999999</v>
      </c>
      <c r="C493" s="144">
        <f t="shared" si="431"/>
        <v>495.51647750000001</v>
      </c>
      <c r="D493" s="144">
        <f t="shared" si="432"/>
        <v>498.49852249999992</v>
      </c>
      <c r="E493" s="78">
        <f>4488.47/1800.553*100</f>
        <v>249.28285921047589</v>
      </c>
      <c r="F493" s="76">
        <v>4488.47</v>
      </c>
      <c r="G493" s="137"/>
      <c r="H493" s="78">
        <v>156.30770000000001</v>
      </c>
      <c r="I493" s="78">
        <v>152.57</v>
      </c>
      <c r="J493" s="79">
        <f t="shared" si="420"/>
        <v>210.92851041899635</v>
      </c>
      <c r="K493" s="80">
        <v>2103847.0299999998</v>
      </c>
      <c r="L493" s="81">
        <f t="shared" si="421"/>
        <v>1045.6277527627249</v>
      </c>
      <c r="M493" s="63"/>
      <c r="N493" s="64"/>
      <c r="O493" s="39"/>
      <c r="P493" s="39"/>
      <c r="Q493" s="39"/>
      <c r="R493" s="39"/>
      <c r="S493" s="39"/>
      <c r="T493" s="39"/>
      <c r="U493" s="39"/>
      <c r="V493" s="39"/>
      <c r="W493" s="39"/>
      <c r="IH493" s="41"/>
      <c r="II493" s="41"/>
      <c r="IJ493" s="41"/>
      <c r="IK493" s="41"/>
      <c r="IL493" s="41"/>
      <c r="IM493" s="41"/>
    </row>
    <row r="494" spans="1:247" s="40" customFormat="1" ht="20.25" customHeight="1" x14ac:dyDescent="0.25">
      <c r="A494" s="75">
        <v>41129</v>
      </c>
      <c r="B494" s="144">
        <v>497.5958</v>
      </c>
      <c r="C494" s="144">
        <f t="shared" si="431"/>
        <v>496.1030126</v>
      </c>
      <c r="D494" s="144">
        <f t="shared" si="432"/>
        <v>499.08858739999994</v>
      </c>
      <c r="E494" s="78">
        <f>4481.686/1800.553*100</f>
        <v>248.90608607466703</v>
      </c>
      <c r="F494" s="76">
        <v>4481.6859999999997</v>
      </c>
      <c r="G494" s="137"/>
      <c r="H494" s="78">
        <v>156.67330000000001</v>
      </c>
      <c r="I494" s="78">
        <v>152.55619999999999</v>
      </c>
      <c r="J494" s="79">
        <f t="shared" si="420"/>
        <v>211.01500569938003</v>
      </c>
      <c r="K494" s="80">
        <v>2103600.96</v>
      </c>
      <c r="L494" s="81">
        <f t="shared" si="421"/>
        <v>1046.743002571968</v>
      </c>
      <c r="M494" s="63"/>
      <c r="N494" s="64"/>
      <c r="O494" s="39"/>
      <c r="P494" s="39"/>
      <c r="Q494" s="39"/>
      <c r="R494" s="39"/>
      <c r="S494" s="39"/>
      <c r="T494" s="39"/>
      <c r="U494" s="39"/>
      <c r="V494" s="39"/>
      <c r="W494" s="39"/>
      <c r="IH494" s="41"/>
      <c r="II494" s="41"/>
      <c r="IJ494" s="41"/>
      <c r="IK494" s="41"/>
      <c r="IL494" s="41"/>
      <c r="IM494" s="41"/>
    </row>
    <row r="495" spans="1:247" s="40" customFormat="1" ht="20.25" customHeight="1" x14ac:dyDescent="0.25">
      <c r="A495" s="75">
        <v>41122</v>
      </c>
      <c r="B495" s="144">
        <v>497.07240000000002</v>
      </c>
      <c r="C495" s="144">
        <f t="shared" si="431"/>
        <v>495.58118280000002</v>
      </c>
      <c r="D495" s="144">
        <f t="shared" ref="D495:D500" si="433">1.003*B495</f>
        <v>498.56361719999995</v>
      </c>
      <c r="E495" s="78">
        <f>4379.904/1800.553*100</f>
        <v>243.25326719069091</v>
      </c>
      <c r="F495" s="76">
        <v>4379.9040000000005</v>
      </c>
      <c r="G495" s="137"/>
      <c r="H495" s="78">
        <v>155.97280000000001</v>
      </c>
      <c r="I495" s="78">
        <v>152.54320000000001</v>
      </c>
      <c r="J495" s="79">
        <f t="shared" si="420"/>
        <v>208.12933651282125</v>
      </c>
      <c r="K495" s="80">
        <v>2105508.4727000007</v>
      </c>
      <c r="L495" s="81">
        <f t="shared" si="421"/>
        <v>1046.590149745324</v>
      </c>
      <c r="M495" s="63"/>
      <c r="N495" s="64"/>
      <c r="O495" s="39"/>
      <c r="P495" s="39"/>
      <c r="Q495" s="39"/>
      <c r="R495" s="39"/>
      <c r="S495" s="39"/>
      <c r="T495" s="39"/>
      <c r="U495" s="39"/>
      <c r="V495" s="39"/>
      <c r="W495" s="39"/>
      <c r="IH495" s="41"/>
      <c r="II495" s="41"/>
      <c r="IJ495" s="41"/>
      <c r="IK495" s="41"/>
      <c r="IL495" s="41"/>
      <c r="IM495" s="41"/>
    </row>
    <row r="496" spans="1:247" s="40" customFormat="1" ht="20.25" customHeight="1" x14ac:dyDescent="0.25">
      <c r="A496" s="75">
        <v>41115</v>
      </c>
      <c r="B496" s="144">
        <v>497.93902682465392</v>
      </c>
      <c r="C496" s="144">
        <f t="shared" ref="C496:C501" si="434">0.997*B496</f>
        <v>496.44520974417998</v>
      </c>
      <c r="D496" s="144">
        <f t="shared" si="433"/>
        <v>499.43284390512781</v>
      </c>
      <c r="E496" s="78">
        <f>4216.234/1800.553*100</f>
        <v>234.16328205834543</v>
      </c>
      <c r="F496" s="76">
        <v>4216.2340000000004</v>
      </c>
      <c r="G496" s="137"/>
      <c r="H496" s="78">
        <v>155.57239999999999</v>
      </c>
      <c r="I496" s="78">
        <v>152.52969999999999</v>
      </c>
      <c r="J496" s="79">
        <f t="shared" si="420"/>
        <v>203.90915872499284</v>
      </c>
      <c r="K496" s="80">
        <v>2111921.0206000009</v>
      </c>
      <c r="L496" s="81">
        <f t="shared" si="421"/>
        <v>1051.6078977280943</v>
      </c>
      <c r="M496" s="63"/>
      <c r="N496" s="64"/>
      <c r="O496" s="39"/>
      <c r="P496" s="39"/>
      <c r="Q496" s="39"/>
      <c r="R496" s="39"/>
      <c r="S496" s="39"/>
      <c r="T496" s="39"/>
      <c r="U496" s="39"/>
      <c r="V496" s="39"/>
      <c r="W496" s="39"/>
      <c r="IH496" s="41"/>
      <c r="II496" s="41"/>
      <c r="IJ496" s="41"/>
      <c r="IK496" s="41"/>
      <c r="IL496" s="41"/>
      <c r="IM496" s="41"/>
    </row>
    <row r="497" spans="1:247" s="28" customFormat="1" ht="20.25" customHeight="1" x14ac:dyDescent="0.25">
      <c r="A497" s="75">
        <v>41108</v>
      </c>
      <c r="B497" s="144">
        <v>493.69037675663941</v>
      </c>
      <c r="C497" s="144">
        <f t="shared" si="434"/>
        <v>492.20930562636948</v>
      </c>
      <c r="D497" s="144">
        <f t="shared" si="433"/>
        <v>495.17144788690928</v>
      </c>
      <c r="E497" s="78">
        <f>4346.383/1800.553*100</f>
        <v>241.39156137031233</v>
      </c>
      <c r="F497" s="76">
        <v>4346.3829999999998</v>
      </c>
      <c r="G497" s="137"/>
      <c r="H497" s="78">
        <v>156.001</v>
      </c>
      <c r="I497" s="78">
        <v>152.51570000000001</v>
      </c>
      <c r="J497" s="79">
        <f t="shared" si="420"/>
        <v>207.2976067510013</v>
      </c>
      <c r="K497" s="80">
        <v>2095964.5157000003</v>
      </c>
      <c r="L497" s="81">
        <f t="shared" si="421"/>
        <v>1034.7575114244805</v>
      </c>
      <c r="M497" s="65"/>
      <c r="N497" s="66"/>
      <c r="O497" s="27"/>
      <c r="P497" s="27"/>
      <c r="Q497" s="27"/>
      <c r="R497" s="27"/>
      <c r="S497" s="27"/>
      <c r="T497" s="27"/>
      <c r="U497" s="27"/>
      <c r="V497" s="27"/>
      <c r="W497" s="27"/>
      <c r="IH497" s="32"/>
      <c r="II497" s="32"/>
      <c r="IJ497" s="32"/>
      <c r="IK497" s="32"/>
      <c r="IL497" s="32"/>
      <c r="IM497" s="32"/>
    </row>
    <row r="498" spans="1:247" s="28" customFormat="1" ht="20.25" customHeight="1" x14ac:dyDescent="0.25">
      <c r="A498" s="75">
        <v>41101</v>
      </c>
      <c r="B498" s="144">
        <v>497.13033899999999</v>
      </c>
      <c r="C498" s="144">
        <f t="shared" si="434"/>
        <v>495.63894798299998</v>
      </c>
      <c r="D498" s="144">
        <f t="shared" si="433"/>
        <v>498.62173001699995</v>
      </c>
      <c r="E498" s="78">
        <f>4274.448/1800.553*100</f>
        <v>237.39639988381347</v>
      </c>
      <c r="F498" s="76">
        <v>4274.4480000000003</v>
      </c>
      <c r="G498" s="137"/>
      <c r="H498" s="78">
        <v>155.34370000000001</v>
      </c>
      <c r="I498" s="78">
        <v>152.50190000000001</v>
      </c>
      <c r="J498" s="79">
        <f t="shared" si="420"/>
        <v>205.1374746511556</v>
      </c>
      <c r="K498" s="80">
        <v>2095964</v>
      </c>
      <c r="L498" s="81">
        <f t="shared" si="421"/>
        <v>1041.9672938517961</v>
      </c>
      <c r="M498" s="65"/>
      <c r="N498" s="66"/>
      <c r="O498" s="27"/>
      <c r="P498" s="27"/>
      <c r="Q498" s="27"/>
      <c r="R498" s="27"/>
      <c r="S498" s="27"/>
      <c r="T498" s="27"/>
      <c r="U498" s="27"/>
      <c r="V498" s="27"/>
      <c r="W498" s="27"/>
      <c r="IH498" s="32"/>
      <c r="II498" s="32"/>
      <c r="IJ498" s="32"/>
      <c r="IK498" s="32"/>
      <c r="IL498" s="32"/>
      <c r="IM498" s="32"/>
    </row>
    <row r="499" spans="1:247" s="28" customFormat="1" ht="20.25" customHeight="1" x14ac:dyDescent="0.25">
      <c r="A499" s="75">
        <v>41094</v>
      </c>
      <c r="B499" s="144">
        <v>503.8075</v>
      </c>
      <c r="C499" s="144">
        <f t="shared" si="434"/>
        <v>502.29607750000002</v>
      </c>
      <c r="D499" s="144">
        <f t="shared" si="433"/>
        <v>505.31892249999993</v>
      </c>
      <c r="E499" s="78">
        <f>4383.041/1800.553*100</f>
        <v>243.4274914429067</v>
      </c>
      <c r="F499" s="76">
        <v>4383.0410000000002</v>
      </c>
      <c r="G499" s="137"/>
      <c r="H499" s="78">
        <v>156.3031</v>
      </c>
      <c r="I499" s="78">
        <v>152.48740000000001</v>
      </c>
      <c r="J499" s="79">
        <f t="shared" si="420"/>
        <v>208.35804355500989</v>
      </c>
      <c r="K499" s="80">
        <v>2096133.01</v>
      </c>
      <c r="L499" s="81">
        <f t="shared" si="421"/>
        <v>1056.0475314355749</v>
      </c>
      <c r="M499" s="65"/>
      <c r="N499" s="66"/>
      <c r="O499" s="27"/>
      <c r="P499" s="27"/>
      <c r="Q499" s="27"/>
      <c r="R499" s="27"/>
      <c r="S499" s="27"/>
      <c r="T499" s="27"/>
      <c r="U499" s="27"/>
      <c r="V499" s="27"/>
      <c r="W499" s="27"/>
      <c r="IH499" s="32"/>
      <c r="II499" s="32"/>
      <c r="IJ499" s="32"/>
      <c r="IK499" s="32"/>
      <c r="IL499" s="32"/>
      <c r="IM499" s="32"/>
    </row>
    <row r="500" spans="1:247" s="40" customFormat="1" ht="20.25" customHeight="1" x14ac:dyDescent="0.25">
      <c r="A500" s="75">
        <v>41087</v>
      </c>
      <c r="B500" s="144">
        <v>500.56349999999998</v>
      </c>
      <c r="C500" s="144">
        <f t="shared" si="434"/>
        <v>499.06180949999998</v>
      </c>
      <c r="D500" s="144">
        <f t="shared" si="433"/>
        <v>502.06519049999991</v>
      </c>
      <c r="E500" s="78">
        <f>4211.571/1800.553*100</f>
        <v>233.90430606596971</v>
      </c>
      <c r="F500" s="76">
        <v>4211.5709999999999</v>
      </c>
      <c r="G500" s="137"/>
      <c r="H500" s="78">
        <v>155.86060000000001</v>
      </c>
      <c r="I500" s="78">
        <v>152.47329999999999</v>
      </c>
      <c r="J500" s="79">
        <f t="shared" si="420"/>
        <v>203.91742566435312</v>
      </c>
      <c r="K500" s="80">
        <v>2097202.71</v>
      </c>
      <c r="L500" s="81">
        <f t="shared" si="421"/>
        <v>1049.7831287270849</v>
      </c>
      <c r="M500" s="63"/>
      <c r="N500" s="64"/>
      <c r="O500" s="39"/>
      <c r="P500" s="39"/>
      <c r="Q500" s="39"/>
      <c r="R500" s="39"/>
      <c r="S500" s="39"/>
      <c r="T500" s="39"/>
      <c r="U500" s="39"/>
      <c r="V500" s="39"/>
      <c r="W500" s="39"/>
      <c r="IH500" s="41"/>
      <c r="II500" s="41"/>
      <c r="IJ500" s="41"/>
      <c r="IK500" s="41"/>
      <c r="IL500" s="41"/>
      <c r="IM500" s="41"/>
    </row>
    <row r="501" spans="1:247" s="40" customFormat="1" ht="20.25" customHeight="1" x14ac:dyDescent="0.25">
      <c r="A501" s="75">
        <v>41080</v>
      </c>
      <c r="B501" s="144">
        <v>506.34589999999997</v>
      </c>
      <c r="C501" s="144">
        <f t="shared" si="434"/>
        <v>504.82686229999996</v>
      </c>
      <c r="D501" s="144">
        <f t="shared" ref="D501:D506" si="435">1.003*B501</f>
        <v>507.86493769999993</v>
      </c>
      <c r="E501" s="78">
        <f>4306.381/1800.553*100</f>
        <v>239.16991057747259</v>
      </c>
      <c r="F501" s="76">
        <v>4306.3810000000003</v>
      </c>
      <c r="G501" s="137"/>
      <c r="H501" s="78">
        <v>156.9315</v>
      </c>
      <c r="I501" s="78">
        <v>152.45930000000001</v>
      </c>
      <c r="J501" s="79">
        <f t="shared" si="420"/>
        <v>206.9009542560832</v>
      </c>
      <c r="K501" s="80">
        <v>2094953.31</v>
      </c>
      <c r="L501" s="81">
        <f t="shared" si="421"/>
        <v>1060.7710192099289</v>
      </c>
      <c r="M501" s="63"/>
      <c r="N501" s="64"/>
      <c r="O501" s="39"/>
      <c r="P501" s="39"/>
      <c r="Q501" s="39"/>
      <c r="R501" s="39"/>
      <c r="S501" s="39"/>
      <c r="T501" s="39"/>
      <c r="U501" s="39"/>
      <c r="V501" s="39"/>
      <c r="W501" s="39"/>
      <c r="IH501" s="41"/>
      <c r="II501" s="41"/>
      <c r="IJ501" s="41"/>
      <c r="IK501" s="41"/>
      <c r="IL501" s="41"/>
      <c r="IM501" s="41"/>
    </row>
    <row r="502" spans="1:247" s="40" customFormat="1" ht="20.25" customHeight="1" x14ac:dyDescent="0.25">
      <c r="A502" s="75">
        <v>41073</v>
      </c>
      <c r="B502" s="144">
        <v>506.07080000000002</v>
      </c>
      <c r="C502" s="144">
        <f t="shared" ref="C502:C508" si="436">0.997*B502</f>
        <v>504.55258760000004</v>
      </c>
      <c r="D502" s="144">
        <f t="shared" si="435"/>
        <v>507.58901239999994</v>
      </c>
      <c r="E502" s="78">
        <f>4167.379/1800.553*100</f>
        <v>231.44994898789423</v>
      </c>
      <c r="F502" s="76">
        <v>4167.3789999999999</v>
      </c>
      <c r="G502" s="137"/>
      <c r="H502" s="78">
        <v>155.92689999999999</v>
      </c>
      <c r="I502" s="78">
        <v>152.4452</v>
      </c>
      <c r="J502" s="79">
        <f t="shared" si="420"/>
        <v>202.86420605130681</v>
      </c>
      <c r="K502" s="80">
        <v>2088841.07</v>
      </c>
      <c r="L502" s="81">
        <f t="shared" si="421"/>
        <v>1057.1014713677562</v>
      </c>
      <c r="M502" s="63"/>
      <c r="N502" s="64"/>
      <c r="O502" s="39"/>
      <c r="P502" s="39"/>
      <c r="Q502" s="39"/>
      <c r="R502" s="39"/>
      <c r="S502" s="39"/>
      <c r="T502" s="39"/>
      <c r="U502" s="39"/>
      <c r="V502" s="39"/>
      <c r="W502" s="39"/>
      <c r="IH502" s="41"/>
      <c r="II502" s="41"/>
      <c r="IJ502" s="41"/>
      <c r="IK502" s="41"/>
      <c r="IL502" s="41"/>
      <c r="IM502" s="41"/>
    </row>
    <row r="503" spans="1:247" s="40" customFormat="1" ht="20.25" customHeight="1" x14ac:dyDescent="0.25">
      <c r="A503" s="75">
        <v>41066</v>
      </c>
      <c r="B503" s="144">
        <v>507.37779999999998</v>
      </c>
      <c r="C503" s="144">
        <f t="shared" si="436"/>
        <v>505.85566659999995</v>
      </c>
      <c r="D503" s="144">
        <f t="shared" si="435"/>
        <v>508.89993339999995</v>
      </c>
      <c r="E503" s="78">
        <f>4142.368/1800.553*100</f>
        <v>230.06087574206367</v>
      </c>
      <c r="F503" s="76">
        <v>4142.3680000000004</v>
      </c>
      <c r="G503" s="137"/>
      <c r="H503" s="78">
        <v>156.1524</v>
      </c>
      <c r="I503" s="78">
        <v>152.4308</v>
      </c>
      <c r="J503" s="79">
        <f t="shared" si="420"/>
        <v>202.39932023711953</v>
      </c>
      <c r="K503" s="80">
        <v>2088382.35</v>
      </c>
      <c r="L503" s="81">
        <f t="shared" si="421"/>
        <v>1059.59884230183</v>
      </c>
      <c r="M503" s="63"/>
      <c r="N503" s="64"/>
      <c r="O503" s="39"/>
      <c r="P503" s="39"/>
      <c r="Q503" s="39"/>
      <c r="R503" s="39"/>
      <c r="S503" s="39"/>
      <c r="T503" s="39"/>
      <c r="U503" s="39"/>
      <c r="V503" s="39"/>
      <c r="W503" s="39"/>
      <c r="IH503" s="41"/>
      <c r="II503" s="41"/>
      <c r="IJ503" s="41"/>
      <c r="IK503" s="41"/>
      <c r="IL503" s="41"/>
      <c r="IM503" s="41"/>
    </row>
    <row r="504" spans="1:247" s="40" customFormat="1" ht="20.25" customHeight="1" x14ac:dyDescent="0.25">
      <c r="A504" s="75">
        <v>41059</v>
      </c>
      <c r="B504" s="144">
        <v>502.49799999999999</v>
      </c>
      <c r="C504" s="144">
        <f t="shared" si="436"/>
        <v>500.99050599999998</v>
      </c>
      <c r="D504" s="144">
        <f t="shared" si="435"/>
        <v>504.00549399999994</v>
      </c>
      <c r="E504" s="78">
        <f>4131.485/1800.553*100</f>
        <v>229.4564503238727</v>
      </c>
      <c r="F504" s="76">
        <v>4131.4849999999997</v>
      </c>
      <c r="G504" s="137"/>
      <c r="H504" s="78">
        <v>155.1952</v>
      </c>
      <c r="I504" s="78">
        <v>152.40260000000001</v>
      </c>
      <c r="J504" s="79">
        <f t="shared" si="420"/>
        <v>201.51247608826577</v>
      </c>
      <c r="K504" s="80">
        <v>2084585.38</v>
      </c>
      <c r="L504" s="81">
        <f t="shared" si="421"/>
        <v>1047.4999842792399</v>
      </c>
      <c r="M504" s="63"/>
      <c r="N504" s="64"/>
      <c r="O504" s="39"/>
      <c r="P504" s="39"/>
      <c r="Q504" s="39"/>
      <c r="R504" s="39"/>
      <c r="S504" s="39"/>
      <c r="T504" s="39"/>
      <c r="U504" s="39"/>
      <c r="V504" s="39"/>
      <c r="W504" s="39"/>
      <c r="IH504" s="41"/>
      <c r="II504" s="41"/>
      <c r="IJ504" s="41"/>
      <c r="IK504" s="41"/>
      <c r="IL504" s="41"/>
      <c r="IM504" s="41"/>
    </row>
    <row r="505" spans="1:247" s="40" customFormat="1" ht="20.25" customHeight="1" x14ac:dyDescent="0.25">
      <c r="A505" s="75">
        <v>41052</v>
      </c>
      <c r="B505" s="144">
        <v>500.00139999999999</v>
      </c>
      <c r="C505" s="144">
        <f t="shared" si="436"/>
        <v>498.50139580000001</v>
      </c>
      <c r="D505" s="144">
        <f t="shared" si="435"/>
        <v>501.50140419999991</v>
      </c>
      <c r="E505" s="78">
        <f>4148.903/1800.553*100</f>
        <v>230.42381979314132</v>
      </c>
      <c r="F505" s="76">
        <v>4148.9030000000002</v>
      </c>
      <c r="G505" s="137"/>
      <c r="H505" s="78">
        <v>156.15100000000001</v>
      </c>
      <c r="I505" s="78">
        <v>152.40260000000001</v>
      </c>
      <c r="J505" s="79">
        <f t="shared" si="420"/>
        <v>202.55759391526976</v>
      </c>
      <c r="K505" s="80">
        <v>2120944.39</v>
      </c>
      <c r="L505" s="81">
        <f t="shared" si="421"/>
        <v>1060.4751643221462</v>
      </c>
      <c r="M505" s="63"/>
      <c r="N505" s="64"/>
      <c r="O505" s="39"/>
      <c r="P505" s="39"/>
      <c r="Q505" s="39"/>
      <c r="R505" s="39"/>
      <c r="S505" s="39"/>
      <c r="T505" s="39"/>
      <c r="U505" s="39"/>
      <c r="V505" s="39"/>
      <c r="W505" s="39"/>
      <c r="IH505" s="41"/>
      <c r="II505" s="41"/>
      <c r="IJ505" s="41"/>
      <c r="IK505" s="41"/>
      <c r="IL505" s="41"/>
      <c r="IM505" s="41"/>
    </row>
    <row r="506" spans="1:247" s="40" customFormat="1" ht="20.25" customHeight="1" x14ac:dyDescent="0.25">
      <c r="A506" s="75">
        <v>41045</v>
      </c>
      <c r="B506" s="144">
        <v>494.91230000000002</v>
      </c>
      <c r="C506" s="144">
        <f t="shared" si="436"/>
        <v>493.42756310000004</v>
      </c>
      <c r="D506" s="144">
        <f t="shared" si="435"/>
        <v>496.39703689999999</v>
      </c>
      <c r="E506" s="78">
        <f>4205.846/1800.553*100</f>
        <v>233.58634819413808</v>
      </c>
      <c r="F506" s="76">
        <v>4205.8459999999995</v>
      </c>
      <c r="G506" s="137"/>
      <c r="H506" s="78">
        <v>156.8229</v>
      </c>
      <c r="I506" s="78">
        <v>152.38820000000001</v>
      </c>
      <c r="J506" s="79">
        <f t="shared" si="420"/>
        <v>204.37896436291663</v>
      </c>
      <c r="K506" s="80">
        <v>2132705.61</v>
      </c>
      <c r="L506" s="81">
        <f t="shared" si="421"/>
        <v>1055.502238668003</v>
      </c>
      <c r="M506" s="63"/>
      <c r="N506" s="64"/>
      <c r="O506" s="39"/>
      <c r="P506" s="39"/>
      <c r="Q506" s="39"/>
      <c r="R506" s="39"/>
      <c r="S506" s="39"/>
      <c r="T506" s="39"/>
      <c r="U506" s="39"/>
      <c r="V506" s="39"/>
      <c r="W506" s="39"/>
      <c r="IH506" s="41"/>
      <c r="II506" s="41"/>
      <c r="IJ506" s="41"/>
      <c r="IK506" s="41"/>
      <c r="IL506" s="41"/>
      <c r="IM506" s="41"/>
    </row>
    <row r="507" spans="1:247" s="40" customFormat="1" ht="20.25" customHeight="1" x14ac:dyDescent="0.25">
      <c r="A507" s="75">
        <v>41038</v>
      </c>
      <c r="B507" s="144">
        <v>503.59690000000001</v>
      </c>
      <c r="C507" s="144">
        <f t="shared" si="436"/>
        <v>502.08610929999998</v>
      </c>
      <c r="D507" s="144">
        <f t="shared" ref="D507:D512" si="437">1.003*B507</f>
        <v>505.10769069999998</v>
      </c>
      <c r="E507" s="78">
        <f>4325.829/1800.553*100</f>
        <v>240.25002318732075</v>
      </c>
      <c r="F507" s="76">
        <v>4325.8289999999997</v>
      </c>
      <c r="G507" s="137"/>
      <c r="H507" s="78">
        <v>158.09620000000001</v>
      </c>
      <c r="I507" s="78">
        <v>152.3733</v>
      </c>
      <c r="J507" s="79">
        <f t="shared" si="420"/>
        <v>208.10300665629649</v>
      </c>
      <c r="K507" s="80">
        <v>2127599.92</v>
      </c>
      <c r="L507" s="81">
        <f t="shared" si="421"/>
        <v>1071.452724152248</v>
      </c>
      <c r="M507" s="63"/>
      <c r="N507" s="64"/>
      <c r="O507" s="39"/>
      <c r="P507" s="39"/>
      <c r="Q507" s="39"/>
      <c r="R507" s="39"/>
      <c r="S507" s="39"/>
      <c r="T507" s="39"/>
      <c r="U507" s="39"/>
      <c r="V507" s="39"/>
      <c r="W507" s="39"/>
      <c r="IH507" s="41"/>
      <c r="II507" s="41"/>
      <c r="IJ507" s="41"/>
      <c r="IK507" s="41"/>
      <c r="IL507" s="41"/>
      <c r="IM507" s="41"/>
    </row>
    <row r="508" spans="1:247" s="40" customFormat="1" ht="20.25" customHeight="1" x14ac:dyDescent="0.25">
      <c r="A508" s="75">
        <v>41031</v>
      </c>
      <c r="B508" s="144">
        <v>512.73569999999995</v>
      </c>
      <c r="C508" s="144">
        <f t="shared" si="436"/>
        <v>511.19749289999993</v>
      </c>
      <c r="D508" s="144">
        <f t="shared" si="437"/>
        <v>514.27390709999986</v>
      </c>
      <c r="E508" s="78">
        <f>4495.995/1800.553*100</f>
        <v>249.7007863695209</v>
      </c>
      <c r="F508" s="76">
        <v>4495.9949999999999</v>
      </c>
      <c r="G508" s="137"/>
      <c r="H508" s="78">
        <v>159.08760000000001</v>
      </c>
      <c r="I508" s="78">
        <v>152.3587</v>
      </c>
      <c r="J508" s="79">
        <f t="shared" si="420"/>
        <v>212.79297863751913</v>
      </c>
      <c r="K508" s="80">
        <v>2128289.63</v>
      </c>
      <c r="L508" s="81">
        <f t="shared" si="421"/>
        <v>1091.2500732407909</v>
      </c>
      <c r="M508" s="63"/>
      <c r="N508" s="64"/>
      <c r="O508" s="39"/>
      <c r="P508" s="39"/>
      <c r="Q508" s="39"/>
      <c r="R508" s="39"/>
      <c r="S508" s="39"/>
      <c r="T508" s="39"/>
      <c r="U508" s="39"/>
      <c r="V508" s="39"/>
      <c r="W508" s="39"/>
      <c r="IH508" s="41"/>
      <c r="II508" s="41"/>
      <c r="IJ508" s="41"/>
      <c r="IK508" s="41"/>
      <c r="IL508" s="41"/>
      <c r="IM508" s="41"/>
    </row>
    <row r="509" spans="1:247" s="40" customFormat="1" ht="20.25" customHeight="1" x14ac:dyDescent="0.25">
      <c r="A509" s="75">
        <v>41024</v>
      </c>
      <c r="B509" s="144">
        <v>513.07209999999998</v>
      </c>
      <c r="C509" s="144">
        <f t="shared" ref="C509:C515" si="438">0.997*B509</f>
        <v>511.53288369999996</v>
      </c>
      <c r="D509" s="144">
        <f t="shared" si="437"/>
        <v>514.61131629999988</v>
      </c>
      <c r="E509" s="78">
        <f>4470.956/1800.553*100</f>
        <v>248.31015804588921</v>
      </c>
      <c r="F509" s="76">
        <v>4470.9560000000001</v>
      </c>
      <c r="G509" s="137"/>
      <c r="H509" s="78">
        <v>158.9349</v>
      </c>
      <c r="I509" s="78">
        <v>152.34440000000001</v>
      </c>
      <c r="J509" s="79">
        <f t="shared" si="420"/>
        <v>212.09717910346831</v>
      </c>
      <c r="K509" s="80">
        <v>2130568.4900000002</v>
      </c>
      <c r="L509" s="81">
        <f t="shared" si="421"/>
        <v>1093.1352493581289</v>
      </c>
      <c r="M509" s="63"/>
      <c r="N509" s="64"/>
      <c r="O509" s="39"/>
      <c r="P509" s="39"/>
      <c r="Q509" s="39"/>
      <c r="R509" s="39"/>
      <c r="S509" s="39"/>
      <c r="T509" s="39"/>
      <c r="U509" s="39"/>
      <c r="V509" s="39"/>
      <c r="W509" s="39"/>
      <c r="IH509" s="41"/>
      <c r="II509" s="41"/>
      <c r="IJ509" s="41"/>
      <c r="IK509" s="41"/>
      <c r="IL509" s="41"/>
      <c r="IM509" s="41"/>
    </row>
    <row r="510" spans="1:247" s="40" customFormat="1" ht="20.25" customHeight="1" x14ac:dyDescent="0.25">
      <c r="A510" s="75">
        <v>41017</v>
      </c>
      <c r="B510" s="144">
        <v>517.15030000000002</v>
      </c>
      <c r="C510" s="144">
        <f t="shared" si="438"/>
        <v>515.59884910000005</v>
      </c>
      <c r="D510" s="144">
        <f t="shared" si="437"/>
        <v>518.70175089999998</v>
      </c>
      <c r="E510" s="78">
        <f>4460.727/1800.553*100</f>
        <v>247.74205480205245</v>
      </c>
      <c r="F510" s="76">
        <v>4460.7269999999999</v>
      </c>
      <c r="G510" s="137"/>
      <c r="H510" s="78">
        <v>158.59889999999999</v>
      </c>
      <c r="I510" s="78">
        <v>152.32900000000001</v>
      </c>
      <c r="J510" s="79">
        <f t="shared" si="420"/>
        <v>211.63035683496037</v>
      </c>
      <c r="K510" s="80">
        <v>2138008.88</v>
      </c>
      <c r="L510" s="81">
        <f t="shared" si="421"/>
        <v>1105.6719336946639</v>
      </c>
      <c r="M510" s="63"/>
      <c r="N510" s="64"/>
      <c r="O510" s="39"/>
      <c r="P510" s="39"/>
      <c r="Q510" s="39"/>
      <c r="R510" s="39"/>
      <c r="S510" s="39"/>
      <c r="T510" s="39"/>
      <c r="U510" s="39"/>
      <c r="V510" s="39"/>
      <c r="W510" s="39"/>
      <c r="IH510" s="41"/>
      <c r="II510" s="41"/>
      <c r="IJ510" s="41"/>
      <c r="IK510" s="41"/>
      <c r="IL510" s="41"/>
      <c r="IM510" s="41"/>
    </row>
    <row r="511" spans="1:247" s="40" customFormat="1" ht="20.25" customHeight="1" x14ac:dyDescent="0.25">
      <c r="A511" s="75">
        <v>41010</v>
      </c>
      <c r="B511" s="144">
        <v>517.31679999999994</v>
      </c>
      <c r="C511" s="144">
        <f t="shared" si="438"/>
        <v>515.76484959999993</v>
      </c>
      <c r="D511" s="144">
        <f t="shared" si="437"/>
        <v>518.86875039999984</v>
      </c>
      <c r="E511" s="78">
        <f>4398.558/1800.553*100</f>
        <v>244.28928223717935</v>
      </c>
      <c r="F511" s="76">
        <v>4398.558</v>
      </c>
      <c r="G511" s="137"/>
      <c r="H511" s="78">
        <v>158.12870000000001</v>
      </c>
      <c r="I511" s="78">
        <v>152.3142</v>
      </c>
      <c r="J511" s="79">
        <f t="shared" si="420"/>
        <v>209.83547896504655</v>
      </c>
      <c r="K511" s="80">
        <v>2136385.48</v>
      </c>
      <c r="L511" s="81">
        <f t="shared" si="421"/>
        <v>1105.1881000800638</v>
      </c>
      <c r="M511" s="63"/>
      <c r="N511" s="64"/>
      <c r="O511" s="39"/>
      <c r="P511" s="39"/>
      <c r="Q511" s="39"/>
      <c r="R511" s="39"/>
      <c r="S511" s="39"/>
      <c r="T511" s="39"/>
      <c r="U511" s="39"/>
      <c r="V511" s="39"/>
      <c r="W511" s="39"/>
      <c r="IH511" s="41"/>
      <c r="II511" s="41"/>
      <c r="IJ511" s="41"/>
      <c r="IK511" s="41"/>
      <c r="IL511" s="41"/>
      <c r="IM511" s="41"/>
    </row>
    <row r="512" spans="1:247" s="40" customFormat="1" ht="20.25" customHeight="1" x14ac:dyDescent="0.25">
      <c r="A512" s="75">
        <v>41003</v>
      </c>
      <c r="B512" s="144">
        <v>517.55470000000003</v>
      </c>
      <c r="C512" s="144">
        <f t="shared" si="438"/>
        <v>516.00203590000001</v>
      </c>
      <c r="D512" s="144">
        <f t="shared" si="437"/>
        <v>519.10736409999993</v>
      </c>
      <c r="E512" s="78">
        <f>4483.87/1800.553*100</f>
        <v>249.02738214315266</v>
      </c>
      <c r="F512" s="76">
        <v>4483.87</v>
      </c>
      <c r="G512" s="137"/>
      <c r="H512" s="78">
        <v>157.88</v>
      </c>
      <c r="I512" s="78">
        <v>152.29830000000001</v>
      </c>
      <c r="J512" s="79">
        <f t="shared" si="420"/>
        <v>211.68253336328544</v>
      </c>
      <c r="K512" s="80">
        <v>2124752.29</v>
      </c>
      <c r="L512" s="81">
        <f t="shared" si="421"/>
        <v>1099.675534025263</v>
      </c>
      <c r="M512" s="63"/>
      <c r="N512" s="64"/>
      <c r="O512" s="39"/>
      <c r="P512" s="39"/>
      <c r="Q512" s="39"/>
      <c r="R512" s="39"/>
      <c r="S512" s="39"/>
      <c r="T512" s="39"/>
      <c r="U512" s="39"/>
      <c r="V512" s="39"/>
      <c r="W512" s="39"/>
      <c r="IH512" s="41"/>
      <c r="II512" s="41"/>
      <c r="IJ512" s="41"/>
      <c r="IK512" s="41"/>
      <c r="IL512" s="41"/>
      <c r="IM512" s="41"/>
    </row>
    <row r="513" spans="1:247" s="40" customFormat="1" ht="20.25" customHeight="1" x14ac:dyDescent="0.25">
      <c r="A513" s="75">
        <v>40996</v>
      </c>
      <c r="B513" s="144">
        <v>525.0761</v>
      </c>
      <c r="C513" s="144">
        <f t="shared" si="438"/>
        <v>523.50087169999995</v>
      </c>
      <c r="D513" s="144">
        <f t="shared" ref="D513:D518" si="439">1.003*B513</f>
        <v>526.65132829999993</v>
      </c>
      <c r="E513" s="78">
        <f>4553.144/1800.553*100</f>
        <v>252.87475570005435</v>
      </c>
      <c r="F513" s="76">
        <v>4553.1440000000002</v>
      </c>
      <c r="G513" s="137"/>
      <c r="H513" s="78">
        <v>158.27010000000001</v>
      </c>
      <c r="I513" s="78">
        <v>152.28219999999999</v>
      </c>
      <c r="J513" s="79">
        <f t="shared" si="420"/>
        <v>213.57042282692325</v>
      </c>
      <c r="K513" s="80">
        <v>2095753.2295447302</v>
      </c>
      <c r="L513" s="81">
        <f t="shared" si="421"/>
        <v>1100.4299323317516</v>
      </c>
      <c r="M513" s="63"/>
      <c r="N513" s="64"/>
      <c r="O513" s="39"/>
      <c r="P513" s="39"/>
      <c r="Q513" s="39"/>
      <c r="R513" s="39"/>
      <c r="S513" s="39"/>
      <c r="T513" s="39"/>
      <c r="U513" s="39"/>
      <c r="V513" s="39"/>
      <c r="W513" s="39"/>
      <c r="IH513" s="41"/>
      <c r="II513" s="41"/>
      <c r="IJ513" s="41"/>
      <c r="IK513" s="41"/>
      <c r="IL513" s="41"/>
      <c r="IM513" s="41"/>
    </row>
    <row r="514" spans="1:247" s="40" customFormat="1" ht="20.25" customHeight="1" x14ac:dyDescent="0.25">
      <c r="A514" s="75">
        <v>40989</v>
      </c>
      <c r="B514" s="144">
        <v>525.13134000000002</v>
      </c>
      <c r="C514" s="144">
        <f t="shared" si="438"/>
        <v>523.55594598000005</v>
      </c>
      <c r="D514" s="144">
        <f t="shared" si="439"/>
        <v>526.70673402</v>
      </c>
      <c r="E514" s="78">
        <f>4546.357/1800.553*100</f>
        <v>252.49781594876683</v>
      </c>
      <c r="F514" s="76">
        <v>4546.357</v>
      </c>
      <c r="G514" s="137"/>
      <c r="H514" s="78">
        <v>157.88</v>
      </c>
      <c r="I514" s="78">
        <v>152.26679999999999</v>
      </c>
      <c r="J514" s="79">
        <f t="shared" si="420"/>
        <v>213.14799466818982</v>
      </c>
      <c r="K514" s="80">
        <v>2096033.7</v>
      </c>
      <c r="L514" s="81">
        <f t="shared" si="421"/>
        <v>1100.6929855661581</v>
      </c>
      <c r="M514" s="63"/>
      <c r="N514" s="64"/>
      <c r="O514" s="39"/>
      <c r="P514" s="39"/>
      <c r="Q514" s="39"/>
      <c r="R514" s="39"/>
      <c r="S514" s="39"/>
      <c r="T514" s="39"/>
      <c r="U514" s="39"/>
      <c r="V514" s="39"/>
      <c r="W514" s="39"/>
      <c r="IH514" s="41"/>
      <c r="II514" s="41"/>
      <c r="IJ514" s="41"/>
      <c r="IK514" s="41"/>
      <c r="IL514" s="41"/>
      <c r="IM514" s="41"/>
    </row>
    <row r="515" spans="1:247" s="28" customFormat="1" ht="20.25" customHeight="1" x14ac:dyDescent="0.25">
      <c r="A515" s="75">
        <v>40982</v>
      </c>
      <c r="B515" s="144">
        <v>525.43579999999997</v>
      </c>
      <c r="C515" s="144">
        <f t="shared" si="438"/>
        <v>523.85949259999995</v>
      </c>
      <c r="D515" s="144">
        <f t="shared" si="439"/>
        <v>527.01210739999988</v>
      </c>
      <c r="E515" s="78">
        <f>4522.047/1800.553*100</f>
        <v>251.14767518645658</v>
      </c>
      <c r="F515" s="76">
        <v>4522.0469999999996</v>
      </c>
      <c r="G515" s="137"/>
      <c r="H515" s="78">
        <v>156.94820000000001</v>
      </c>
      <c r="I515" s="78">
        <v>152.2518</v>
      </c>
      <c r="J515" s="79">
        <f t="shared" si="420"/>
        <v>211.9491177673888</v>
      </c>
      <c r="K515" s="80">
        <v>2092203.38</v>
      </c>
      <c r="L515" s="81">
        <f t="shared" si="421"/>
        <v>1099.3185567330038</v>
      </c>
      <c r="M515" s="65"/>
      <c r="N515" s="66"/>
      <c r="O515" s="27"/>
      <c r="P515" s="27"/>
      <c r="Q515" s="27"/>
      <c r="R515" s="27"/>
      <c r="S515" s="27"/>
      <c r="T515" s="27"/>
      <c r="U515" s="27"/>
      <c r="V515" s="27"/>
      <c r="W515" s="27"/>
      <c r="IH515" s="32"/>
      <c r="II515" s="32"/>
      <c r="IJ515" s="32"/>
      <c r="IK515" s="32"/>
      <c r="IL515" s="32"/>
      <c r="IM515" s="32"/>
    </row>
    <row r="516" spans="1:247" s="40" customFormat="1" ht="20.25" customHeight="1" x14ac:dyDescent="0.25">
      <c r="A516" s="75">
        <v>40975</v>
      </c>
      <c r="B516" s="144">
        <v>529.0548</v>
      </c>
      <c r="C516" s="144">
        <f t="shared" ref="C516:C522" si="440">0.997*B516</f>
        <v>527.46763559999999</v>
      </c>
      <c r="D516" s="144">
        <f t="shared" si="439"/>
        <v>530.64196439999989</v>
      </c>
      <c r="E516" s="78">
        <f>4397.838/1800.553*100</f>
        <v>244.24929452229395</v>
      </c>
      <c r="F516" s="76">
        <v>4397.8379999999997</v>
      </c>
      <c r="G516" s="137"/>
      <c r="H516" s="78">
        <v>158.05799999999999</v>
      </c>
      <c r="I516" s="78">
        <v>152.23699999999999</v>
      </c>
      <c r="J516" s="79">
        <f t="shared" si="420"/>
        <v>209.72376794070684</v>
      </c>
      <c r="K516" s="80">
        <v>2084025.42</v>
      </c>
      <c r="L516" s="81">
        <f t="shared" si="421"/>
        <v>1102.5636517730159</v>
      </c>
      <c r="M516" s="63"/>
      <c r="N516" s="64"/>
      <c r="O516" s="39"/>
      <c r="P516" s="39"/>
      <c r="Q516" s="39"/>
      <c r="R516" s="39"/>
      <c r="S516" s="39"/>
      <c r="T516" s="39"/>
      <c r="U516" s="39"/>
      <c r="V516" s="39"/>
      <c r="W516" s="39"/>
      <c r="IH516" s="41"/>
      <c r="II516" s="41"/>
      <c r="IJ516" s="41"/>
      <c r="IK516" s="41"/>
      <c r="IL516" s="41"/>
      <c r="IM516" s="41"/>
    </row>
    <row r="517" spans="1:247" s="40" customFormat="1" ht="20.25" customHeight="1" x14ac:dyDescent="0.25">
      <c r="A517" s="75">
        <v>40968</v>
      </c>
      <c r="B517" s="144">
        <v>532.97040000000004</v>
      </c>
      <c r="C517" s="144">
        <f t="shared" si="440"/>
        <v>531.37148880000007</v>
      </c>
      <c r="D517" s="144">
        <f t="shared" si="439"/>
        <v>534.56931120000002</v>
      </c>
      <c r="E517" s="78">
        <f>4491.979/1800.553*100</f>
        <v>249.47774378204917</v>
      </c>
      <c r="F517" s="76">
        <v>4491.9790000000003</v>
      </c>
      <c r="G517" s="137"/>
      <c r="H517" s="78">
        <v>158.89150000000001</v>
      </c>
      <c r="I517" s="78">
        <v>152.2225</v>
      </c>
      <c r="J517" s="79">
        <f t="shared" si="420"/>
        <v>212.50797258735975</v>
      </c>
      <c r="K517" s="80">
        <v>2070367.46</v>
      </c>
      <c r="L517" s="81">
        <f t="shared" si="421"/>
        <v>1103.4445733031841</v>
      </c>
      <c r="M517" s="63"/>
      <c r="N517" s="64"/>
      <c r="O517" s="39"/>
      <c r="P517" s="39"/>
      <c r="Q517" s="39"/>
      <c r="R517" s="39"/>
      <c r="S517" s="39"/>
      <c r="T517" s="39"/>
      <c r="U517" s="39"/>
      <c r="V517" s="39"/>
      <c r="W517" s="39"/>
      <c r="IH517" s="41"/>
      <c r="II517" s="41"/>
      <c r="IJ517" s="41"/>
      <c r="IK517" s="41"/>
      <c r="IL517" s="41"/>
      <c r="IM517" s="41"/>
    </row>
    <row r="518" spans="1:247" s="40" customFormat="1" ht="20.25" customHeight="1" x14ac:dyDescent="0.25">
      <c r="A518" s="75">
        <v>40961</v>
      </c>
      <c r="B518" s="144">
        <v>537.62270000000001</v>
      </c>
      <c r="C518" s="144">
        <f t="shared" si="440"/>
        <v>536.00983189999999</v>
      </c>
      <c r="D518" s="144">
        <f t="shared" si="439"/>
        <v>539.23556809999991</v>
      </c>
      <c r="E518" s="78">
        <f>4453.845/1800.553*100</f>
        <v>247.35983889393981</v>
      </c>
      <c r="F518" s="76">
        <v>4453.8450000000003</v>
      </c>
      <c r="G518" s="137"/>
      <c r="H518" s="78">
        <v>158.4093</v>
      </c>
      <c r="I518" s="78">
        <v>152.20910000000001</v>
      </c>
      <c r="J518" s="79">
        <f t="shared" si="420"/>
        <v>211.28189809009947</v>
      </c>
      <c r="K518" s="80">
        <v>2074551.21</v>
      </c>
      <c r="L518" s="81">
        <f t="shared" si="421"/>
        <v>1115.3258228084669</v>
      </c>
      <c r="M518" s="63"/>
      <c r="N518" s="64"/>
      <c r="O518" s="39"/>
      <c r="P518" s="39"/>
      <c r="Q518" s="39"/>
      <c r="R518" s="39"/>
      <c r="S518" s="39"/>
      <c r="T518" s="39"/>
      <c r="U518" s="39"/>
      <c r="V518" s="39"/>
      <c r="W518" s="39"/>
      <c r="IH518" s="41"/>
      <c r="II518" s="41"/>
      <c r="IJ518" s="41"/>
      <c r="IK518" s="41"/>
      <c r="IL518" s="41"/>
      <c r="IM518" s="41"/>
    </row>
    <row r="519" spans="1:247" s="40" customFormat="1" ht="20.25" customHeight="1" x14ac:dyDescent="0.25">
      <c r="A519" s="75">
        <v>40954</v>
      </c>
      <c r="B519" s="144">
        <v>531.54999999999995</v>
      </c>
      <c r="C519" s="144">
        <f t="shared" si="440"/>
        <v>529.95534999999995</v>
      </c>
      <c r="D519" s="144">
        <f t="shared" ref="D519:D524" si="441">1.003*B519</f>
        <v>533.14464999999984</v>
      </c>
      <c r="E519" s="78">
        <f>4402.362/1800.553*100</f>
        <v>244.50055066415706</v>
      </c>
      <c r="F519" s="76">
        <v>4402.3620000000001</v>
      </c>
      <c r="G519" s="137"/>
      <c r="H519" s="78">
        <v>158.1765</v>
      </c>
      <c r="I519" s="78">
        <v>152.1953</v>
      </c>
      <c r="J519" s="79">
        <f t="shared" si="420"/>
        <v>209.90010703904443</v>
      </c>
      <c r="K519" s="80">
        <v>2059999.99</v>
      </c>
      <c r="L519" s="81">
        <f t="shared" si="421"/>
        <v>1094.9929946845</v>
      </c>
      <c r="M519" s="63"/>
      <c r="N519" s="64"/>
      <c r="O519" s="39"/>
      <c r="P519" s="39"/>
      <c r="Q519" s="39"/>
      <c r="R519" s="39"/>
      <c r="S519" s="39"/>
      <c r="T519" s="39"/>
      <c r="U519" s="39"/>
      <c r="V519" s="39"/>
      <c r="W519" s="39"/>
      <c r="IH519" s="41"/>
      <c r="II519" s="41"/>
      <c r="IJ519" s="41"/>
      <c r="IK519" s="41"/>
      <c r="IL519" s="41"/>
      <c r="IM519" s="41"/>
    </row>
    <row r="520" spans="1:247" s="40" customFormat="1" ht="20.25" customHeight="1" x14ac:dyDescent="0.25">
      <c r="A520" s="75">
        <v>40947</v>
      </c>
      <c r="B520" s="144">
        <v>529.87350000000004</v>
      </c>
      <c r="C520" s="144">
        <f t="shared" si="440"/>
        <v>528.28387950000001</v>
      </c>
      <c r="D520" s="144">
        <f t="shared" si="441"/>
        <v>531.46312049999995</v>
      </c>
      <c r="E520" s="78">
        <f>4421.599/1800.553*100</f>
        <v>245.56894465200415</v>
      </c>
      <c r="F520" s="76">
        <v>4421.5990000000002</v>
      </c>
      <c r="G520" s="137"/>
      <c r="H520" s="78">
        <v>159.40440000000001</v>
      </c>
      <c r="I520" s="78">
        <v>152.18180000000001</v>
      </c>
      <c r="J520" s="79">
        <f t="shared" si="420"/>
        <v>211.17281796193549</v>
      </c>
      <c r="K520" s="80">
        <v>2050625.15</v>
      </c>
      <c r="L520" s="81">
        <f t="shared" si="421"/>
        <v>1086.5719254185249</v>
      </c>
      <c r="M520" s="63"/>
      <c r="N520" s="64"/>
      <c r="O520" s="39"/>
      <c r="P520" s="39"/>
      <c r="Q520" s="39"/>
      <c r="R520" s="39"/>
      <c r="S520" s="39"/>
      <c r="T520" s="39"/>
      <c r="U520" s="39"/>
      <c r="V520" s="39"/>
      <c r="W520" s="39"/>
      <c r="IH520" s="41"/>
      <c r="II520" s="41"/>
      <c r="IJ520" s="41"/>
      <c r="IK520" s="41"/>
      <c r="IL520" s="41"/>
      <c r="IM520" s="41"/>
    </row>
    <row r="521" spans="1:247" s="40" customFormat="1" ht="20.25" customHeight="1" x14ac:dyDescent="0.25">
      <c r="A521" s="75">
        <v>40940</v>
      </c>
      <c r="B521" s="144">
        <v>530.60810000000004</v>
      </c>
      <c r="C521" s="144">
        <f t="shared" si="440"/>
        <v>529.01627570000005</v>
      </c>
      <c r="D521" s="144">
        <f t="shared" si="441"/>
        <v>532.19992430000002</v>
      </c>
      <c r="E521" s="78">
        <f>4338.592/1800.553*100</f>
        <v>240.95886097215686</v>
      </c>
      <c r="F521" s="76">
        <v>4338.5919999999996</v>
      </c>
      <c r="G521" s="137"/>
      <c r="H521" s="78">
        <v>159.2089</v>
      </c>
      <c r="I521" s="78">
        <v>152.16749999999999</v>
      </c>
      <c r="J521" s="79">
        <f t="shared" si="420"/>
        <v>209.04472279822539</v>
      </c>
      <c r="K521" s="80">
        <v>2039052.75</v>
      </c>
      <c r="L521" s="81">
        <f t="shared" si="421"/>
        <v>1081.9379054772751</v>
      </c>
      <c r="M521" s="63"/>
      <c r="N521" s="64"/>
      <c r="O521" s="39"/>
      <c r="P521" s="39"/>
      <c r="Q521" s="39"/>
      <c r="R521" s="39"/>
      <c r="S521" s="39"/>
      <c r="T521" s="39"/>
      <c r="U521" s="39"/>
      <c r="V521" s="39"/>
      <c r="W521" s="39"/>
      <c r="IH521" s="41"/>
      <c r="II521" s="41"/>
      <c r="IJ521" s="41"/>
      <c r="IK521" s="41"/>
      <c r="IL521" s="41"/>
      <c r="IM521" s="41"/>
    </row>
    <row r="522" spans="1:247" s="40" customFormat="1" ht="20.25" customHeight="1" x14ac:dyDescent="0.25">
      <c r="A522" s="75">
        <v>40933</v>
      </c>
      <c r="B522" s="144">
        <v>527.93780000000004</v>
      </c>
      <c r="C522" s="144">
        <f t="shared" si="440"/>
        <v>526.35398659999998</v>
      </c>
      <c r="D522" s="144">
        <f t="shared" si="441"/>
        <v>529.52161339999998</v>
      </c>
      <c r="E522" s="78">
        <f>4288.497/1800.553*100</f>
        <v>238.17666017051428</v>
      </c>
      <c r="F522" s="76">
        <v>4288.4970000000003</v>
      </c>
      <c r="G522" s="137"/>
      <c r="H522" s="78">
        <v>158.29939999999999</v>
      </c>
      <c r="I522" s="78">
        <v>152.12569999999999</v>
      </c>
      <c r="J522" s="79">
        <f t="shared" si="420"/>
        <v>207.23897802681196</v>
      </c>
      <c r="K522" s="80">
        <v>2025267.94</v>
      </c>
      <c r="L522" s="81">
        <f t="shared" si="421"/>
        <v>1069.215500654132</v>
      </c>
      <c r="M522" s="63"/>
      <c r="N522" s="64"/>
      <c r="O522" s="39"/>
      <c r="P522" s="39"/>
      <c r="Q522" s="39"/>
      <c r="R522" s="39"/>
      <c r="S522" s="39"/>
      <c r="T522" s="39"/>
      <c r="U522" s="39"/>
      <c r="V522" s="39"/>
      <c r="W522" s="39"/>
      <c r="IH522" s="41"/>
      <c r="II522" s="41"/>
      <c r="IJ522" s="41"/>
      <c r="IK522" s="41"/>
      <c r="IL522" s="41"/>
      <c r="IM522" s="41"/>
    </row>
    <row r="523" spans="1:247" s="40" customFormat="1" ht="20.25" customHeight="1" x14ac:dyDescent="0.25">
      <c r="A523" s="75">
        <v>40926</v>
      </c>
      <c r="B523" s="144">
        <v>521.94539999999995</v>
      </c>
      <c r="C523" s="144">
        <f t="shared" ref="C523:C529" si="442">0.997*B523</f>
        <v>520.37956379999991</v>
      </c>
      <c r="D523" s="144">
        <f t="shared" si="441"/>
        <v>523.51123619999987</v>
      </c>
      <c r="E523" s="78">
        <f>4214.3/1800.553*100</f>
        <v>234.05587061308387</v>
      </c>
      <c r="F523" s="76">
        <v>4214.3</v>
      </c>
      <c r="G523" s="137"/>
      <c r="H523" s="78">
        <v>157.23179999999999</v>
      </c>
      <c r="I523" s="78">
        <v>152.13849999999999</v>
      </c>
      <c r="J523" s="79">
        <f t="shared" si="420"/>
        <v>204.74154241521219</v>
      </c>
      <c r="K523" s="80">
        <v>1990789.46</v>
      </c>
      <c r="L523" s="81">
        <f t="shared" si="421"/>
        <v>1039.0834010154838</v>
      </c>
      <c r="M523" s="63"/>
      <c r="N523" s="64"/>
      <c r="O523" s="39"/>
      <c r="P523" s="39"/>
      <c r="Q523" s="39"/>
      <c r="R523" s="39"/>
      <c r="S523" s="39"/>
      <c r="T523" s="39"/>
      <c r="U523" s="39"/>
      <c r="V523" s="39"/>
      <c r="W523" s="39"/>
      <c r="IH523" s="41"/>
      <c r="II523" s="41"/>
      <c r="IJ523" s="41"/>
      <c r="IK523" s="41"/>
      <c r="IL523" s="41"/>
      <c r="IM523" s="41"/>
    </row>
    <row r="524" spans="1:247" s="40" customFormat="1" ht="20.25" customHeight="1" x14ac:dyDescent="0.25">
      <c r="A524" s="75">
        <v>40919</v>
      </c>
      <c r="B524" s="144">
        <v>524.45360000000005</v>
      </c>
      <c r="C524" s="144">
        <f t="shared" si="442"/>
        <v>522.88023920000001</v>
      </c>
      <c r="D524" s="144">
        <f t="shared" si="441"/>
        <v>526.02696079999998</v>
      </c>
      <c r="E524" s="78">
        <f>4151.803/1800.553*100</f>
        <v>230.58488142254072</v>
      </c>
      <c r="F524" s="76">
        <v>4151.8029999999999</v>
      </c>
      <c r="G524" s="137"/>
      <c r="H524" s="78">
        <v>156.34039999999999</v>
      </c>
      <c r="I524" s="78">
        <v>152.12350000000001</v>
      </c>
      <c r="J524" s="79">
        <f t="shared" si="420"/>
        <v>202.63869588092871</v>
      </c>
      <c r="K524" s="80">
        <v>1960297.68</v>
      </c>
      <c r="L524" s="81">
        <f t="shared" si="421"/>
        <v>1028.0851753476479</v>
      </c>
      <c r="M524" s="63"/>
      <c r="N524" s="64"/>
      <c r="O524" s="39"/>
      <c r="P524" s="39"/>
      <c r="Q524" s="39"/>
      <c r="R524" s="39"/>
      <c r="S524" s="39"/>
      <c r="T524" s="39"/>
      <c r="U524" s="39"/>
      <c r="V524" s="39"/>
      <c r="W524" s="39"/>
      <c r="IH524" s="41"/>
      <c r="II524" s="41"/>
      <c r="IJ524" s="41"/>
      <c r="IK524" s="41"/>
      <c r="IL524" s="41"/>
      <c r="IM524" s="41"/>
    </row>
    <row r="525" spans="1:247" s="40" customFormat="1" ht="20.25" customHeight="1" x14ac:dyDescent="0.25">
      <c r="A525" s="75">
        <v>40912</v>
      </c>
      <c r="B525" s="144">
        <v>523.90380000000005</v>
      </c>
      <c r="C525" s="144">
        <f t="shared" si="442"/>
        <v>522.33208860000002</v>
      </c>
      <c r="D525" s="144">
        <f t="shared" ref="D525:D531" si="443">1.003*B525</f>
        <v>525.47551139999996</v>
      </c>
      <c r="E525" s="78">
        <f>4148.055/1800.553*100</f>
        <v>230.37672315116521</v>
      </c>
      <c r="F525" s="76">
        <v>4148.0550000000003</v>
      </c>
      <c r="G525" s="137"/>
      <c r="H525" s="78">
        <v>157.42410000000001</v>
      </c>
      <c r="I525" s="78">
        <v>152.1087</v>
      </c>
      <c r="J525" s="79">
        <f t="shared" si="420"/>
        <v>203.24644302149653</v>
      </c>
      <c r="K525" s="80">
        <v>1954064.65</v>
      </c>
      <c r="L525" s="81">
        <f t="shared" si="421"/>
        <v>1023.74189558067</v>
      </c>
      <c r="M525" s="63"/>
      <c r="N525" s="64"/>
      <c r="O525" s="39"/>
      <c r="P525" s="39"/>
      <c r="Q525" s="39"/>
      <c r="R525" s="39"/>
      <c r="S525" s="39"/>
      <c r="T525" s="39"/>
      <c r="U525" s="39"/>
      <c r="V525" s="39"/>
      <c r="W525" s="39"/>
      <c r="IH525" s="41"/>
      <c r="II525" s="41"/>
      <c r="IJ525" s="41"/>
      <c r="IK525" s="41"/>
      <c r="IL525" s="41"/>
      <c r="IM525" s="41"/>
    </row>
    <row r="526" spans="1:247" s="40" customFormat="1" ht="20.25" customHeight="1" x14ac:dyDescent="0.25">
      <c r="A526" s="75">
        <v>40908</v>
      </c>
      <c r="B526" s="144">
        <v>516.40470000000005</v>
      </c>
      <c r="C526" s="144">
        <f t="shared" si="442"/>
        <v>514.85548590000008</v>
      </c>
      <c r="D526" s="144">
        <f t="shared" si="443"/>
        <v>517.95391410000002</v>
      </c>
      <c r="E526" s="78">
        <f>4074.834/1800.553*100</f>
        <v>226.31013916280165</v>
      </c>
      <c r="F526" s="76">
        <v>4074.8339999999998</v>
      </c>
      <c r="G526" s="137"/>
      <c r="H526" s="78">
        <v>157.15700000000001</v>
      </c>
      <c r="I526" s="78">
        <v>152.10040000000001</v>
      </c>
      <c r="J526" s="79">
        <f t="shared" si="420"/>
        <v>201.26711679707802</v>
      </c>
      <c r="K526" s="80">
        <v>1954064.65</v>
      </c>
      <c r="L526" s="81">
        <f t="shared" si="421"/>
        <v>1009.0881693638551</v>
      </c>
      <c r="M526" s="63"/>
      <c r="N526" s="64"/>
      <c r="O526" s="39"/>
      <c r="P526" s="39"/>
      <c r="Q526" s="39"/>
      <c r="R526" s="39"/>
      <c r="S526" s="39"/>
      <c r="T526" s="39"/>
      <c r="U526" s="39"/>
      <c r="V526" s="39"/>
      <c r="W526" s="39"/>
      <c r="IH526" s="41"/>
      <c r="II526" s="41"/>
      <c r="IJ526" s="41"/>
      <c r="IK526" s="41"/>
      <c r="IL526" s="41"/>
      <c r="IM526" s="41"/>
    </row>
    <row r="527" spans="1:247" s="40" customFormat="1" ht="20.25" customHeight="1" x14ac:dyDescent="0.25">
      <c r="A527" s="75">
        <v>40905</v>
      </c>
      <c r="B527" s="144">
        <v>515.19979999999998</v>
      </c>
      <c r="C527" s="144">
        <f t="shared" si="442"/>
        <v>513.65420059999997</v>
      </c>
      <c r="D527" s="144">
        <f t="shared" si="443"/>
        <v>516.74539939999988</v>
      </c>
      <c r="E527" s="78">
        <f>4024.107/1800.553*100</f>
        <v>223.49283803364855</v>
      </c>
      <c r="F527" s="76">
        <v>4024.107</v>
      </c>
      <c r="G527" s="137"/>
      <c r="H527" s="78">
        <v>156.69479999999999</v>
      </c>
      <c r="I527" s="78">
        <v>152.0943</v>
      </c>
      <c r="J527" s="79">
        <f t="shared" si="420"/>
        <v>199.71379668884342</v>
      </c>
      <c r="K527" s="80">
        <v>1964524.97</v>
      </c>
      <c r="L527" s="81">
        <f t="shared" si="421"/>
        <v>1012.1228716390059</v>
      </c>
      <c r="M527" s="63"/>
      <c r="N527" s="64"/>
      <c r="O527" s="39"/>
      <c r="P527" s="149"/>
      <c r="Q527" s="39"/>
      <c r="R527" s="39"/>
      <c r="S527" s="39"/>
      <c r="T527" s="39"/>
      <c r="U527" s="39"/>
      <c r="V527" s="39"/>
      <c r="W527" s="39"/>
      <c r="IH527" s="41"/>
      <c r="II527" s="41"/>
      <c r="IJ527" s="41"/>
      <c r="IK527" s="41"/>
      <c r="IL527" s="41"/>
      <c r="IM527" s="41"/>
    </row>
    <row r="528" spans="1:247" s="40" customFormat="1" ht="20.25" customHeight="1" x14ac:dyDescent="0.25">
      <c r="A528" s="75">
        <v>40898</v>
      </c>
      <c r="B528" s="144">
        <v>521.60400000000004</v>
      </c>
      <c r="C528" s="144">
        <f t="shared" si="442"/>
        <v>520.03918800000008</v>
      </c>
      <c r="D528" s="144">
        <f t="shared" si="443"/>
        <v>523.168812</v>
      </c>
      <c r="E528" s="78">
        <f>4008.909/1800.553*100</f>
        <v>222.64876401860985</v>
      </c>
      <c r="F528" s="76">
        <v>4008.9090000000001</v>
      </c>
      <c r="G528" s="137"/>
      <c r="H528" s="78">
        <v>157.2011</v>
      </c>
      <c r="I528" s="78">
        <v>152.0788</v>
      </c>
      <c r="J528" s="79">
        <f t="shared" si="420"/>
        <v>199.65686044281861</v>
      </c>
      <c r="K528" s="80">
        <v>1965240.26</v>
      </c>
      <c r="L528" s="81">
        <f t="shared" si="421"/>
        <v>1025.0771805770401</v>
      </c>
      <c r="M528" s="63"/>
      <c r="N528" s="64"/>
      <c r="O528" s="39"/>
      <c r="P528" s="39"/>
      <c r="Q528" s="39"/>
      <c r="R528" s="39"/>
      <c r="S528" s="39"/>
      <c r="T528" s="39"/>
      <c r="U528" s="39"/>
      <c r="V528" s="39"/>
      <c r="W528" s="39"/>
      <c r="IH528" s="41"/>
      <c r="II528" s="41"/>
      <c r="IJ528" s="41"/>
      <c r="IK528" s="41"/>
      <c r="IL528" s="41"/>
      <c r="IM528" s="41"/>
    </row>
    <row r="529" spans="1:247" s="40" customFormat="1" ht="20.25" customHeight="1" x14ac:dyDescent="0.25">
      <c r="A529" s="75">
        <v>40891</v>
      </c>
      <c r="B529" s="144">
        <v>520.80179999999996</v>
      </c>
      <c r="C529" s="144">
        <f t="shared" si="442"/>
        <v>519.23939459999997</v>
      </c>
      <c r="D529" s="144">
        <f t="shared" si="443"/>
        <v>522.36420539999995</v>
      </c>
      <c r="E529" s="78">
        <f>3921.352/1800.553*100</f>
        <v>217.78598019608418</v>
      </c>
      <c r="F529" s="76">
        <v>3921.3519999999999</v>
      </c>
      <c r="G529" s="137"/>
      <c r="H529" s="78">
        <v>156.37889999999999</v>
      </c>
      <c r="I529" s="78">
        <v>152.0625</v>
      </c>
      <c r="J529" s="79">
        <f t="shared" si="420"/>
        <v>196.94045960171511</v>
      </c>
      <c r="K529" s="80">
        <v>1952388.41</v>
      </c>
      <c r="L529" s="81">
        <f t="shared" si="421"/>
        <v>1016.8073982271379</v>
      </c>
      <c r="M529" s="63"/>
      <c r="N529" s="64"/>
      <c r="O529" s="39"/>
      <c r="P529" s="39"/>
      <c r="Q529" s="39"/>
      <c r="R529" s="39"/>
      <c r="S529" s="39"/>
      <c r="T529" s="39"/>
      <c r="U529" s="39"/>
      <c r="V529" s="39"/>
      <c r="W529" s="39"/>
      <c r="IH529" s="41"/>
      <c r="II529" s="41"/>
      <c r="IJ529" s="41"/>
      <c r="IK529" s="41"/>
      <c r="IL529" s="41"/>
      <c r="IM529" s="41"/>
    </row>
    <row r="530" spans="1:247" s="40" customFormat="1" ht="20.25" customHeight="1" x14ac:dyDescent="0.25">
      <c r="A530" s="75">
        <v>40884</v>
      </c>
      <c r="B530" s="144">
        <v>534.6354</v>
      </c>
      <c r="C530" s="144">
        <f t="shared" ref="C530:C536" si="444">0.997*B530</f>
        <v>533.03149380000002</v>
      </c>
      <c r="D530" s="144">
        <f t="shared" si="443"/>
        <v>536.23930619999999</v>
      </c>
      <c r="E530" s="78">
        <f>4120.41/1800.553*100</f>
        <v>228.84136151504561</v>
      </c>
      <c r="F530" s="76">
        <v>4120.41</v>
      </c>
      <c r="G530" s="137"/>
      <c r="H530" s="78">
        <v>158.5376</v>
      </c>
      <c r="I530" s="78">
        <v>152.04660000000001</v>
      </c>
      <c r="J530" s="79">
        <f t="shared" si="420"/>
        <v>203.2332278778189</v>
      </c>
      <c r="K530" s="80">
        <v>1949740.63</v>
      </c>
      <c r="L530" s="81">
        <f t="shared" si="421"/>
        <v>1042.400361616302</v>
      </c>
      <c r="M530" s="63"/>
      <c r="N530" s="64"/>
      <c r="O530" s="39"/>
      <c r="P530" s="39"/>
      <c r="Q530" s="39"/>
      <c r="R530" s="39"/>
      <c r="S530" s="39"/>
      <c r="T530" s="39"/>
      <c r="U530" s="39"/>
      <c r="V530" s="39"/>
      <c r="W530" s="39"/>
      <c r="IH530" s="41"/>
      <c r="II530" s="41"/>
      <c r="IJ530" s="41"/>
      <c r="IK530" s="41"/>
      <c r="IL530" s="41"/>
      <c r="IM530" s="41"/>
    </row>
    <row r="531" spans="1:247" s="40" customFormat="1" ht="20.25" customHeight="1" x14ac:dyDescent="0.25">
      <c r="A531" s="75">
        <v>40877</v>
      </c>
      <c r="B531" s="144">
        <v>534.2998</v>
      </c>
      <c r="C531" s="144">
        <f t="shared" si="444"/>
        <v>532.69690060000005</v>
      </c>
      <c r="D531" s="144">
        <f t="shared" si="443"/>
        <v>535.90269939999996</v>
      </c>
      <c r="E531" s="78">
        <f>4075.56/1800.553*100</f>
        <v>226.3504601086444</v>
      </c>
      <c r="F531" s="76">
        <v>4075.56</v>
      </c>
      <c r="G531" s="137"/>
      <c r="H531" s="78">
        <v>158.68289999999999</v>
      </c>
      <c r="I531" s="78">
        <v>152.03129999999999</v>
      </c>
      <c r="J531" s="79">
        <f t="shared" si="420"/>
        <v>202.21316759236032</v>
      </c>
      <c r="K531" s="80">
        <v>1932168.64</v>
      </c>
      <c r="L531" s="81">
        <f t="shared" si="421"/>
        <v>1032.357317918272</v>
      </c>
      <c r="M531" s="63"/>
      <c r="N531" s="64"/>
      <c r="O531" s="39"/>
      <c r="P531" s="39"/>
      <c r="Q531" s="39"/>
      <c r="R531" s="39"/>
      <c r="S531" s="39"/>
      <c r="T531" s="39"/>
      <c r="U531" s="39"/>
      <c r="V531" s="39"/>
      <c r="W531" s="39"/>
      <c r="IH531" s="41"/>
      <c r="II531" s="41"/>
      <c r="IJ531" s="41"/>
      <c r="IK531" s="41"/>
      <c r="IL531" s="41"/>
      <c r="IM531" s="41"/>
    </row>
    <row r="532" spans="1:247" s="40" customFormat="1" ht="20.25" customHeight="1" x14ac:dyDescent="0.25">
      <c r="A532" s="75">
        <v>40870</v>
      </c>
      <c r="B532" s="144">
        <v>528.22400000000005</v>
      </c>
      <c r="C532" s="144">
        <f t="shared" si="444"/>
        <v>526.63932800000009</v>
      </c>
      <c r="D532" s="144">
        <f t="shared" ref="D532:D537" si="445">1.003*B532</f>
        <v>529.808672</v>
      </c>
      <c r="E532" s="78">
        <f>3792.454/1800.553*100</f>
        <v>210.62717953873059</v>
      </c>
      <c r="F532" s="76">
        <v>3792.4540000000002</v>
      </c>
      <c r="G532" s="137"/>
      <c r="H532" s="78">
        <v>157.52090000000001</v>
      </c>
      <c r="I532" s="78">
        <v>152.01509999999999</v>
      </c>
      <c r="J532" s="79">
        <f t="shared" si="420"/>
        <v>194.24647694172893</v>
      </c>
      <c r="K532" s="80">
        <v>1920896.92</v>
      </c>
      <c r="L532" s="81">
        <f t="shared" si="421"/>
        <v>1014.66385467008</v>
      </c>
      <c r="M532" s="63"/>
      <c r="N532" s="64"/>
      <c r="O532" s="39"/>
      <c r="P532" s="39"/>
      <c r="Q532" s="39"/>
      <c r="R532" s="39"/>
      <c r="S532" s="39"/>
      <c r="T532" s="39"/>
      <c r="U532" s="39"/>
      <c r="V532" s="39"/>
      <c r="W532" s="39"/>
      <c r="IH532" s="41"/>
      <c r="II532" s="41"/>
      <c r="IJ532" s="41"/>
      <c r="IK532" s="41"/>
      <c r="IL532" s="41"/>
      <c r="IM532" s="41"/>
    </row>
    <row r="533" spans="1:247" s="40" customFormat="1" ht="20.25" customHeight="1" x14ac:dyDescent="0.25">
      <c r="A533" s="75">
        <v>40863</v>
      </c>
      <c r="B533" s="144">
        <v>535.25260000000003</v>
      </c>
      <c r="C533" s="144">
        <f t="shared" si="444"/>
        <v>533.64684220000004</v>
      </c>
      <c r="D533" s="144">
        <f t="shared" si="445"/>
        <v>536.85835780000002</v>
      </c>
      <c r="E533" s="78">
        <f>4052.356/1800.553*100</f>
        <v>225.06174491947752</v>
      </c>
      <c r="F533" s="76">
        <v>4052.3560000000002</v>
      </c>
      <c r="G533" s="137"/>
      <c r="H533" s="78">
        <v>158.4736</v>
      </c>
      <c r="I533" s="78">
        <v>151.99860000000001</v>
      </c>
      <c r="J533" s="79">
        <f t="shared" si="420"/>
        <v>201.30709694298662</v>
      </c>
      <c r="K533" s="80">
        <v>1958005.61</v>
      </c>
      <c r="L533" s="81">
        <f t="shared" si="421"/>
        <v>1048.0275935670861</v>
      </c>
      <c r="M533" s="63"/>
      <c r="N533" s="64"/>
      <c r="O533" s="39"/>
      <c r="P533" s="39"/>
      <c r="Q533" s="39"/>
      <c r="R533" s="39"/>
      <c r="S533" s="39"/>
      <c r="T533" s="39"/>
      <c r="U533" s="39"/>
      <c r="V533" s="39"/>
      <c r="W533" s="39"/>
      <c r="IH533" s="41"/>
      <c r="II533" s="41"/>
      <c r="IJ533" s="41"/>
      <c r="IK533" s="41"/>
      <c r="IL533" s="41"/>
      <c r="IM533" s="41"/>
    </row>
    <row r="534" spans="1:247" s="40" customFormat="1" ht="20.25" customHeight="1" x14ac:dyDescent="0.25">
      <c r="A534" s="75">
        <v>40856</v>
      </c>
      <c r="B534" s="144">
        <v>535.99773622828275</v>
      </c>
      <c r="C534" s="144">
        <f t="shared" si="444"/>
        <v>534.38974301959786</v>
      </c>
      <c r="D534" s="144">
        <f t="shared" si="445"/>
        <v>537.60572943696752</v>
      </c>
      <c r="E534" s="78">
        <f>4054.093/1800.553*100</f>
        <v>225.15821528163843</v>
      </c>
      <c r="F534" s="76">
        <v>4054.0929999999998</v>
      </c>
      <c r="G534" s="137"/>
      <c r="H534" s="78">
        <v>158.87</v>
      </c>
      <c r="I534" s="78">
        <v>151.97999999999999</v>
      </c>
      <c r="J534" s="79">
        <f t="shared" si="420"/>
        <v>201.60179619896184</v>
      </c>
      <c r="K534" s="80">
        <v>1941572.8480447303</v>
      </c>
      <c r="L534" s="81">
        <f t="shared" si="421"/>
        <v>1040.6786512742751</v>
      </c>
      <c r="M534" s="63"/>
      <c r="N534" s="64"/>
      <c r="O534" s="39"/>
      <c r="P534" s="39"/>
      <c r="Q534" s="39"/>
      <c r="R534" s="39"/>
      <c r="S534" s="39"/>
      <c r="T534" s="39"/>
      <c r="U534" s="39"/>
      <c r="V534" s="39"/>
      <c r="W534" s="39"/>
      <c r="IH534" s="41"/>
      <c r="II534" s="41"/>
      <c r="IJ534" s="41"/>
      <c r="IK534" s="41"/>
      <c r="IL534" s="41"/>
      <c r="IM534" s="41"/>
    </row>
    <row r="535" spans="1:247" s="28" customFormat="1" ht="20.25" customHeight="1" x14ac:dyDescent="0.25">
      <c r="A535" s="75">
        <v>40849</v>
      </c>
      <c r="B535" s="144">
        <v>532.4873</v>
      </c>
      <c r="C535" s="144">
        <f t="shared" si="444"/>
        <v>530.88983810000002</v>
      </c>
      <c r="D535" s="144">
        <f t="shared" si="445"/>
        <v>534.08476189999999</v>
      </c>
      <c r="E535" s="78">
        <f>4080.404/1800.553*100</f>
        <v>226.61948856823432</v>
      </c>
      <c r="F535" s="76">
        <v>4080.404</v>
      </c>
      <c r="G535" s="137"/>
      <c r="H535" s="78">
        <v>159.839</v>
      </c>
      <c r="I535" s="78">
        <v>151.96539999999999</v>
      </c>
      <c r="J535" s="79">
        <f t="shared" si="420"/>
        <v>202.87080239168017</v>
      </c>
      <c r="K535" s="80">
        <v>1928776.75</v>
      </c>
      <c r="L535" s="81">
        <f t="shared" si="421"/>
        <v>1027.0491239102751</v>
      </c>
      <c r="M535" s="65"/>
      <c r="N535" s="66"/>
      <c r="O535" s="27"/>
      <c r="P535" s="27"/>
      <c r="Q535" s="27"/>
      <c r="R535" s="27"/>
      <c r="S535" s="27"/>
      <c r="T535" s="27"/>
      <c r="U535" s="27"/>
      <c r="V535" s="27"/>
      <c r="W535" s="27"/>
      <c r="IH535" s="32"/>
      <c r="II535" s="32"/>
      <c r="IJ535" s="32"/>
      <c r="IK535" s="32"/>
      <c r="IL535" s="32"/>
      <c r="IM535" s="32"/>
    </row>
    <row r="536" spans="1:247" s="40" customFormat="1" ht="20.25" customHeight="1" x14ac:dyDescent="0.25">
      <c r="A536" s="75">
        <v>40842</v>
      </c>
      <c r="B536" s="144">
        <v>535.69069999999999</v>
      </c>
      <c r="C536" s="144">
        <f t="shared" si="444"/>
        <v>534.08362790000001</v>
      </c>
      <c r="D536" s="144">
        <f t="shared" si="445"/>
        <v>537.29777209999997</v>
      </c>
      <c r="E536" s="78">
        <f>4116.846/1800.553*100</f>
        <v>228.64342232636301</v>
      </c>
      <c r="F536" s="76">
        <v>4116.8459999999995</v>
      </c>
      <c r="G536" s="137"/>
      <c r="H536" s="78">
        <v>160.7355</v>
      </c>
      <c r="I536" s="78">
        <v>151.94909999999999</v>
      </c>
      <c r="J536" s="79">
        <f t="shared" si="420"/>
        <v>204.34509174989384</v>
      </c>
      <c r="K536" s="80">
        <v>1925824.27</v>
      </c>
      <c r="L536" s="81">
        <f t="shared" si="421"/>
        <v>1031.646151273289</v>
      </c>
      <c r="M536" s="63"/>
      <c r="N536" s="64"/>
      <c r="O536" s="39"/>
      <c r="P536" s="39"/>
      <c r="Q536" s="39"/>
      <c r="R536" s="39"/>
      <c r="S536" s="39"/>
      <c r="T536" s="39"/>
      <c r="U536" s="39"/>
      <c r="V536" s="39"/>
      <c r="W536" s="39"/>
      <c r="IH536" s="41"/>
      <c r="II536" s="41"/>
      <c r="IJ536" s="41"/>
      <c r="IK536" s="41"/>
      <c r="IL536" s="41"/>
      <c r="IM536" s="41"/>
    </row>
    <row r="537" spans="1:247" s="40" customFormat="1" ht="20.25" customHeight="1" x14ac:dyDescent="0.25">
      <c r="A537" s="75">
        <v>40835</v>
      </c>
      <c r="B537" s="144">
        <v>528.66980000000001</v>
      </c>
      <c r="C537" s="144">
        <f t="shared" ref="C537:C543" si="446">0.997*B537</f>
        <v>527.08379060000004</v>
      </c>
      <c r="D537" s="144">
        <f t="shared" si="445"/>
        <v>530.25580939999998</v>
      </c>
      <c r="E537" s="78">
        <f>4029.014/1800.553*100</f>
        <v>223.76536541829094</v>
      </c>
      <c r="F537" s="76">
        <v>4029.0140000000001</v>
      </c>
      <c r="G537" s="137"/>
      <c r="H537" s="78">
        <v>159.7406</v>
      </c>
      <c r="I537" s="78">
        <v>151.9315</v>
      </c>
      <c r="J537" s="79">
        <f t="shared" si="420"/>
        <v>201.52096713113781</v>
      </c>
      <c r="K537" s="80">
        <v>1922431.17</v>
      </c>
      <c r="L537" s="81">
        <f t="shared" si="421"/>
        <v>1016.331302157666</v>
      </c>
      <c r="M537" s="63"/>
      <c r="N537" s="64"/>
      <c r="O537" s="39"/>
      <c r="P537" s="39"/>
      <c r="Q537" s="39"/>
      <c r="R537" s="39"/>
      <c r="S537" s="39"/>
      <c r="T537" s="39"/>
      <c r="U537" s="39"/>
      <c r="V537" s="39"/>
      <c r="W537" s="39"/>
      <c r="IH537" s="41"/>
      <c r="II537" s="41"/>
      <c r="IJ537" s="41"/>
      <c r="IK537" s="41"/>
      <c r="IL537" s="41"/>
      <c r="IM537" s="41"/>
    </row>
    <row r="538" spans="1:247" s="40" customFormat="1" ht="20.25" customHeight="1" x14ac:dyDescent="0.25">
      <c r="A538" s="75">
        <v>40828</v>
      </c>
      <c r="B538" s="144">
        <v>527.7423</v>
      </c>
      <c r="C538" s="144">
        <f t="shared" si="446"/>
        <v>526.1590731</v>
      </c>
      <c r="D538" s="144">
        <f t="shared" ref="D538:D543" si="447">1.003*B538</f>
        <v>529.32552689999989</v>
      </c>
      <c r="E538" s="78">
        <f>4030.643/1800.553*100</f>
        <v>223.85583762321906</v>
      </c>
      <c r="F538" s="76">
        <v>4030.643</v>
      </c>
      <c r="G538" s="137"/>
      <c r="H538" s="78">
        <v>159.6206</v>
      </c>
      <c r="I538" s="78">
        <v>151.91419999999999</v>
      </c>
      <c r="J538" s="79">
        <f t="shared" si="420"/>
        <v>201.48594597369342</v>
      </c>
      <c r="K538" s="80">
        <v>1920391.06</v>
      </c>
      <c r="L538" s="81">
        <f t="shared" si="421"/>
        <v>1013.4715949038381</v>
      </c>
      <c r="M538" s="63"/>
      <c r="N538" s="64"/>
      <c r="O538" s="39"/>
      <c r="P538" s="39"/>
      <c r="Q538" s="39"/>
      <c r="R538" s="39"/>
      <c r="S538" s="39"/>
      <c r="T538" s="39"/>
      <c r="U538" s="39"/>
      <c r="V538" s="39"/>
      <c r="W538" s="39"/>
      <c r="IH538" s="41"/>
      <c r="II538" s="41"/>
      <c r="IJ538" s="41"/>
      <c r="IK538" s="41"/>
      <c r="IL538" s="41"/>
      <c r="IM538" s="41"/>
    </row>
    <row r="539" spans="1:247" s="40" customFormat="1" ht="20.25" customHeight="1" x14ac:dyDescent="0.25">
      <c r="A539" s="75">
        <v>40821</v>
      </c>
      <c r="B539" s="144">
        <v>519.23659999999995</v>
      </c>
      <c r="C539" s="144">
        <f t="shared" si="446"/>
        <v>517.67889019999996</v>
      </c>
      <c r="D539" s="144">
        <f t="shared" si="447"/>
        <v>520.79430979999995</v>
      </c>
      <c r="E539" s="78">
        <f>3757.127/1800.553*100</f>
        <v>208.66517120018125</v>
      </c>
      <c r="F539" s="76">
        <v>3757.127</v>
      </c>
      <c r="G539" s="137"/>
      <c r="H539" s="78">
        <v>157.48759999999999</v>
      </c>
      <c r="I539" s="78">
        <v>151.898</v>
      </c>
      <c r="J539" s="79">
        <f t="shared" si="420"/>
        <v>193.14746418552397</v>
      </c>
      <c r="K539" s="80">
        <v>1919235.28</v>
      </c>
      <c r="L539" s="81">
        <f t="shared" si="421"/>
        <v>996.53720138724793</v>
      </c>
      <c r="M539" s="63"/>
      <c r="N539" s="64"/>
      <c r="O539" s="39"/>
      <c r="P539" s="39"/>
      <c r="Q539" s="39"/>
      <c r="R539" s="39"/>
      <c r="S539" s="39"/>
      <c r="T539" s="39"/>
      <c r="U539" s="39"/>
      <c r="V539" s="39"/>
      <c r="W539" s="39"/>
      <c r="IH539" s="41"/>
      <c r="II539" s="41"/>
      <c r="IJ539" s="41"/>
      <c r="IK539" s="41"/>
      <c r="IL539" s="41"/>
      <c r="IM539" s="41"/>
    </row>
    <row r="540" spans="1:247" s="40" customFormat="1" ht="20.25" customHeight="1" x14ac:dyDescent="0.25">
      <c r="A540" s="75">
        <v>40814</v>
      </c>
      <c r="B540" s="144">
        <v>518.7704</v>
      </c>
      <c r="C540" s="144">
        <f t="shared" si="446"/>
        <v>517.21408880000001</v>
      </c>
      <c r="D540" s="144">
        <f t="shared" si="447"/>
        <v>520.32671119999998</v>
      </c>
      <c r="E540" s="78">
        <f>3845.397/1800.553*100</f>
        <v>213.56755396814199</v>
      </c>
      <c r="F540" s="76">
        <v>3845.3969999999999</v>
      </c>
      <c r="G540" s="137"/>
      <c r="H540" s="78">
        <v>158.45079999999999</v>
      </c>
      <c r="I540" s="78">
        <v>151.881</v>
      </c>
      <c r="J540" s="79">
        <f t="shared" si="420"/>
        <v>195.99264786266292</v>
      </c>
      <c r="K540" s="80">
        <v>1911151.67</v>
      </c>
      <c r="L540" s="81">
        <f t="shared" si="421"/>
        <v>991.44891630656787</v>
      </c>
      <c r="M540" s="63"/>
      <c r="N540" s="64"/>
      <c r="O540" s="39"/>
      <c r="P540" s="39"/>
      <c r="Q540" s="39"/>
      <c r="R540" s="39"/>
      <c r="S540" s="39"/>
      <c r="T540" s="39"/>
      <c r="U540" s="39"/>
      <c r="V540" s="39"/>
      <c r="W540" s="39"/>
      <c r="IH540" s="41"/>
      <c r="II540" s="41"/>
      <c r="IJ540" s="41"/>
      <c r="IK540" s="41"/>
      <c r="IL540" s="41"/>
      <c r="IM540" s="41"/>
    </row>
    <row r="541" spans="1:247" s="40" customFormat="1" ht="20.25" customHeight="1" x14ac:dyDescent="0.25">
      <c r="A541" s="75">
        <v>40807</v>
      </c>
      <c r="B541" s="144">
        <v>533.428</v>
      </c>
      <c r="C541" s="144">
        <f t="shared" si="446"/>
        <v>531.82771600000001</v>
      </c>
      <c r="D541" s="144">
        <f t="shared" si="447"/>
        <v>535.02828399999999</v>
      </c>
      <c r="E541" s="78">
        <f>3890.9/1800.553*100</f>
        <v>216.09472201040458</v>
      </c>
      <c r="F541" s="76">
        <v>3890.9</v>
      </c>
      <c r="G541" s="137"/>
      <c r="H541" s="78">
        <v>158.67449999999999</v>
      </c>
      <c r="I541" s="78">
        <v>151.86340000000001</v>
      </c>
      <c r="J541" s="79">
        <f t="shared" si="420"/>
        <v>197.28531331226733</v>
      </c>
      <c r="K541" s="80">
        <v>1821138.45</v>
      </c>
      <c r="L541" s="81">
        <f t="shared" si="421"/>
        <v>971.44624110659993</v>
      </c>
      <c r="M541" s="63"/>
      <c r="N541" s="64"/>
      <c r="O541" s="39"/>
      <c r="P541" s="39"/>
      <c r="Q541" s="39"/>
      <c r="R541" s="39"/>
      <c r="S541" s="39"/>
      <c r="T541" s="39"/>
      <c r="U541" s="39"/>
      <c r="V541" s="39"/>
      <c r="W541" s="39"/>
      <c r="IH541" s="41"/>
      <c r="II541" s="41"/>
      <c r="IJ541" s="41"/>
      <c r="IK541" s="41"/>
      <c r="IL541" s="41"/>
      <c r="IM541" s="41"/>
    </row>
    <row r="542" spans="1:247" s="40" customFormat="1" ht="20.25" customHeight="1" x14ac:dyDescent="0.25">
      <c r="A542" s="75">
        <v>40800</v>
      </c>
      <c r="B542" s="144">
        <v>531.60709999999995</v>
      </c>
      <c r="C542" s="144">
        <f t="shared" si="446"/>
        <v>530.01227869999991</v>
      </c>
      <c r="D542" s="144">
        <f t="shared" si="447"/>
        <v>533.20192129999987</v>
      </c>
      <c r="E542" s="78">
        <f>3916.493/1800.553*100</f>
        <v>217.51611865910081</v>
      </c>
      <c r="F542" s="76">
        <v>3916.4929999999999</v>
      </c>
      <c r="G542" s="137"/>
      <c r="H542" s="78">
        <v>160.31659999999999</v>
      </c>
      <c r="I542" s="78">
        <v>151.8466</v>
      </c>
      <c r="J542" s="79">
        <f t="shared" si="420"/>
        <v>198.95429409894476</v>
      </c>
      <c r="K542" s="80">
        <v>1812214.66</v>
      </c>
      <c r="L542" s="81">
        <f t="shared" si="421"/>
        <v>963.3861799800859</v>
      </c>
      <c r="M542" s="63"/>
      <c r="N542" s="64"/>
      <c r="O542" s="39"/>
      <c r="P542" s="39"/>
      <c r="Q542" s="39"/>
      <c r="R542" s="39"/>
      <c r="S542" s="39"/>
      <c r="T542" s="39"/>
      <c r="U542" s="39"/>
      <c r="V542" s="39"/>
      <c r="W542" s="39"/>
      <c r="IH542" s="41"/>
      <c r="II542" s="41"/>
      <c r="IJ542" s="41"/>
      <c r="IK542" s="41"/>
      <c r="IL542" s="41"/>
      <c r="IM542" s="41"/>
    </row>
    <row r="543" spans="1:247" s="40" customFormat="1" ht="20.25" customHeight="1" x14ac:dyDescent="0.25">
      <c r="A543" s="75">
        <v>40793</v>
      </c>
      <c r="B543" s="144">
        <v>537.99199999999996</v>
      </c>
      <c r="C543" s="144">
        <f t="shared" si="446"/>
        <v>536.37802399999998</v>
      </c>
      <c r="D543" s="144">
        <f t="shared" si="447"/>
        <v>539.60597599999994</v>
      </c>
      <c r="E543" s="78">
        <f>4011.896/1800.553*100</f>
        <v>222.81465749689121</v>
      </c>
      <c r="F543" s="76">
        <v>4011.8960000000002</v>
      </c>
      <c r="G543" s="137"/>
      <c r="H543" s="78">
        <v>162.0051</v>
      </c>
      <c r="I543" s="78">
        <v>151.82990000000001</v>
      </c>
      <c r="J543" s="79">
        <f t="shared" si="420"/>
        <v>202.41586237176924</v>
      </c>
      <c r="K543" s="80">
        <v>1811550.25</v>
      </c>
      <c r="L543" s="81">
        <f t="shared" si="421"/>
        <v>974.59954209799992</v>
      </c>
      <c r="M543" s="63"/>
      <c r="N543" s="64"/>
      <c r="O543" s="39"/>
      <c r="P543" s="39"/>
      <c r="Q543" s="39"/>
      <c r="R543" s="39"/>
      <c r="S543" s="39"/>
      <c r="T543" s="39"/>
      <c r="U543" s="39"/>
      <c r="V543" s="39"/>
      <c r="W543" s="39"/>
      <c r="IH543" s="41"/>
      <c r="II543" s="41"/>
      <c r="IJ543" s="41"/>
      <c r="IK543" s="41"/>
      <c r="IL543" s="41"/>
      <c r="IM543" s="41"/>
    </row>
    <row r="544" spans="1:247" s="40" customFormat="1" ht="20.25" customHeight="1" x14ac:dyDescent="0.25">
      <c r="A544" s="75">
        <v>40786</v>
      </c>
      <c r="B544" s="144">
        <v>540.31773748585397</v>
      </c>
      <c r="C544" s="144">
        <f t="shared" ref="C544:C549" si="448">0.997*B544</f>
        <v>538.69678427339636</v>
      </c>
      <c r="D544" s="144">
        <f t="shared" ref="D544:D549" si="449">1.003*B544</f>
        <v>541.93869069831146</v>
      </c>
      <c r="E544" s="78">
        <f>4138.562/1800.553*100</f>
        <v>229.84949623810019</v>
      </c>
      <c r="F544" s="76">
        <v>4138.5619999999999</v>
      </c>
      <c r="G544" s="137"/>
      <c r="H544" s="78">
        <v>163.56290000000001</v>
      </c>
      <c r="I544" s="78">
        <v>151.81275413485099</v>
      </c>
      <c r="J544" s="79">
        <f t="shared" si="420"/>
        <v>206.56054597163688</v>
      </c>
      <c r="K544" s="80">
        <v>1804524.5822999999</v>
      </c>
      <c r="L544" s="81">
        <f t="shared" si="421"/>
        <v>975.01663954594164</v>
      </c>
      <c r="M544" s="63"/>
      <c r="N544" s="64"/>
      <c r="O544" s="39"/>
      <c r="P544" s="39"/>
      <c r="Q544" s="39"/>
      <c r="R544" s="39"/>
      <c r="S544" s="39"/>
      <c r="T544" s="39"/>
      <c r="U544" s="39"/>
      <c r="V544" s="39"/>
      <c r="W544" s="39"/>
      <c r="IH544" s="41"/>
      <c r="II544" s="41"/>
      <c r="IJ544" s="41"/>
      <c r="IK544" s="41"/>
      <c r="IL544" s="41"/>
      <c r="IM544" s="41"/>
    </row>
    <row r="545" spans="1:247" s="28" customFormat="1" ht="20.25" customHeight="1" x14ac:dyDescent="0.25">
      <c r="A545" s="75">
        <v>40779</v>
      </c>
      <c r="B545" s="144">
        <v>533.60739999999998</v>
      </c>
      <c r="C545" s="144">
        <f t="shared" si="448"/>
        <v>532.00657779999995</v>
      </c>
      <c r="D545" s="144">
        <f t="shared" si="449"/>
        <v>535.20822219999991</v>
      </c>
      <c r="E545" s="78">
        <f>3990.85/1800.553*100</f>
        <v>221.64579437539467</v>
      </c>
      <c r="F545" s="76">
        <v>3990.85</v>
      </c>
      <c r="G545" s="137"/>
      <c r="H545" s="78">
        <v>163.66229999999999</v>
      </c>
      <c r="I545" s="78">
        <v>151.79570000000001</v>
      </c>
      <c r="J545" s="79">
        <f t="shared" si="420"/>
        <v>202.86781233178246</v>
      </c>
      <c r="K545" s="80">
        <v>1803915.96</v>
      </c>
      <c r="L545" s="81">
        <f t="shared" si="421"/>
        <v>962.58290523410392</v>
      </c>
      <c r="M545" s="65"/>
      <c r="N545" s="66"/>
      <c r="O545" s="27"/>
      <c r="P545" s="27"/>
      <c r="Q545" s="27"/>
      <c r="R545" s="27"/>
      <c r="S545" s="27"/>
      <c r="T545" s="27"/>
      <c r="U545" s="27"/>
      <c r="V545" s="27"/>
      <c r="W545" s="27"/>
      <c r="IH545" s="32"/>
      <c r="II545" s="32"/>
      <c r="IJ545" s="32"/>
      <c r="IK545" s="32"/>
      <c r="IL545" s="32"/>
      <c r="IM545" s="32"/>
    </row>
    <row r="546" spans="1:247" s="40" customFormat="1" ht="20.25" customHeight="1" x14ac:dyDescent="0.25">
      <c r="A546" s="75">
        <v>40772</v>
      </c>
      <c r="B546" s="144">
        <v>537.66470000000004</v>
      </c>
      <c r="C546" s="144">
        <f t="shared" si="448"/>
        <v>536.0517059</v>
      </c>
      <c r="D546" s="144">
        <f t="shared" si="449"/>
        <v>539.27769409999996</v>
      </c>
      <c r="E546" s="78">
        <f>4098.092/1800.553*100</f>
        <v>227.6018534305849</v>
      </c>
      <c r="F546" s="76">
        <v>4098.0919999999996</v>
      </c>
      <c r="G546" s="137"/>
      <c r="H546" s="78">
        <v>164.0958</v>
      </c>
      <c r="I546" s="78">
        <v>151.77760000000001</v>
      </c>
      <c r="J546" s="79">
        <f t="shared" si="420"/>
        <v>205.83288787042494</v>
      </c>
      <c r="K546" s="80">
        <v>1796615.58</v>
      </c>
      <c r="L546" s="81">
        <f t="shared" si="421"/>
        <v>965.97677683602603</v>
      </c>
      <c r="M546" s="63"/>
      <c r="N546" s="64"/>
      <c r="O546" s="39"/>
      <c r="P546" s="39"/>
      <c r="Q546" s="39"/>
      <c r="R546" s="39"/>
      <c r="S546" s="39"/>
      <c r="T546" s="39"/>
      <c r="U546" s="39"/>
      <c r="V546" s="39"/>
      <c r="W546" s="39"/>
      <c r="IH546" s="41"/>
      <c r="II546" s="41"/>
      <c r="IJ546" s="41"/>
      <c r="IK546" s="41"/>
      <c r="IL546" s="41"/>
      <c r="IM546" s="41"/>
    </row>
    <row r="547" spans="1:247" s="40" customFormat="1" ht="20.25" customHeight="1" x14ac:dyDescent="0.25">
      <c r="A547" s="75">
        <v>40765</v>
      </c>
      <c r="B547" s="144">
        <v>521.49639999999999</v>
      </c>
      <c r="C547" s="144">
        <f t="shared" si="448"/>
        <v>519.93191079999997</v>
      </c>
      <c r="D547" s="144">
        <f t="shared" si="449"/>
        <v>523.06088919999991</v>
      </c>
      <c r="E547" s="78">
        <f>3856.209/1800.553*100</f>
        <v>214.16803615333731</v>
      </c>
      <c r="F547" s="76">
        <v>3856.2089999999998</v>
      </c>
      <c r="G547" s="137"/>
      <c r="H547" s="78">
        <v>163.2105</v>
      </c>
      <c r="I547" s="78">
        <v>151.75919999999999</v>
      </c>
      <c r="J547" s="79">
        <f t="shared" si="420"/>
        <v>199.05026238783165</v>
      </c>
      <c r="K547" s="80">
        <v>1796293.84</v>
      </c>
      <c r="L547" s="81">
        <f t="shared" si="421"/>
        <v>936.76077090217598</v>
      </c>
      <c r="M547" s="63"/>
      <c r="N547" s="64"/>
      <c r="O547" s="39"/>
      <c r="P547" s="39"/>
      <c r="Q547" s="39"/>
      <c r="R547" s="39"/>
      <c r="S547" s="39"/>
      <c r="T547" s="39"/>
      <c r="U547" s="39"/>
      <c r="V547" s="39"/>
      <c r="W547" s="39"/>
      <c r="IH547" s="41"/>
      <c r="II547" s="41"/>
      <c r="IJ547" s="41"/>
      <c r="IK547" s="41"/>
      <c r="IL547" s="41"/>
      <c r="IM547" s="41"/>
    </row>
    <row r="548" spans="1:247" s="28" customFormat="1" ht="20.25" customHeight="1" x14ac:dyDescent="0.25">
      <c r="A548" s="75">
        <v>40758</v>
      </c>
      <c r="B548" s="144">
        <v>533.03240000000005</v>
      </c>
      <c r="C548" s="144">
        <f t="shared" si="448"/>
        <v>531.43330280000009</v>
      </c>
      <c r="D548" s="144">
        <f t="shared" si="449"/>
        <v>534.63149720000001</v>
      </c>
      <c r="E548" s="78">
        <f>4305.118/1800.553*100</f>
        <v>239.0997654609445</v>
      </c>
      <c r="F548" s="76">
        <v>4305.1180000000004</v>
      </c>
      <c r="G548" s="137"/>
      <c r="H548" s="78">
        <v>163.83539999999999</v>
      </c>
      <c r="I548" s="78">
        <v>151.74119999999999</v>
      </c>
      <c r="J548" s="79">
        <f t="shared" si="420"/>
        <v>210.42227392637938</v>
      </c>
      <c r="K548" s="80">
        <v>1784183.41</v>
      </c>
      <c r="L548" s="81">
        <f t="shared" si="421"/>
        <v>951.02756507248398</v>
      </c>
      <c r="M548" s="65"/>
      <c r="N548" s="66"/>
      <c r="O548" s="27"/>
      <c r="P548" s="27"/>
      <c r="Q548" s="27"/>
      <c r="R548" s="27"/>
      <c r="S548" s="27"/>
      <c r="T548" s="27"/>
      <c r="U548" s="27"/>
      <c r="V548" s="27"/>
      <c r="W548" s="27"/>
      <c r="IH548" s="32"/>
      <c r="II548" s="32"/>
      <c r="IJ548" s="32"/>
      <c r="IK548" s="32"/>
      <c r="IL548" s="32"/>
      <c r="IM548" s="32"/>
    </row>
    <row r="549" spans="1:247" s="40" customFormat="1" ht="20.25" customHeight="1" x14ac:dyDescent="0.25">
      <c r="A549" s="75">
        <v>40751</v>
      </c>
      <c r="B549" s="144">
        <v>533.68259999999998</v>
      </c>
      <c r="C549" s="144">
        <f t="shared" si="448"/>
        <v>532.08155220000003</v>
      </c>
      <c r="D549" s="144">
        <f t="shared" si="449"/>
        <v>535.28364779999993</v>
      </c>
      <c r="E549" s="78">
        <f>4493.815/1800.553*100</f>
        <v>249.57971245500684</v>
      </c>
      <c r="F549" s="76">
        <v>4493.8149999999996</v>
      </c>
      <c r="G549" s="137"/>
      <c r="H549" s="78">
        <v>163.46870000000001</v>
      </c>
      <c r="I549" s="78">
        <v>151.72059999999999</v>
      </c>
      <c r="J549" s="79">
        <f t="shared" si="420"/>
        <v>214.68890868237906</v>
      </c>
      <c r="K549" s="80">
        <v>1779024.08</v>
      </c>
      <c r="L549" s="81">
        <f t="shared" si="421"/>
        <v>949.43419647700796</v>
      </c>
      <c r="M549" s="63"/>
      <c r="N549" s="64"/>
      <c r="O549" s="39"/>
      <c r="P549" s="39"/>
      <c r="Q549" s="39"/>
      <c r="R549" s="39"/>
      <c r="S549" s="39"/>
      <c r="T549" s="39"/>
      <c r="U549" s="39"/>
      <c r="V549" s="39"/>
      <c r="W549" s="39"/>
      <c r="IH549" s="41"/>
      <c r="II549" s="41"/>
      <c r="IJ549" s="41"/>
      <c r="IK549" s="41"/>
      <c r="IL549" s="41"/>
      <c r="IM549" s="41"/>
    </row>
    <row r="550" spans="1:247" s="40" customFormat="1" ht="20.25" customHeight="1" x14ac:dyDescent="0.25">
      <c r="A550" s="75">
        <v>40744</v>
      </c>
      <c r="B550" s="144">
        <v>533.38729999999998</v>
      </c>
      <c r="C550" s="144">
        <f>0.995*B550</f>
        <v>530.72036349999996</v>
      </c>
      <c r="D550" s="144">
        <f>1.005*B550</f>
        <v>536.05423649999989</v>
      </c>
      <c r="E550" s="78">
        <f>4510.302/1800.553*100</f>
        <v>250.49537558738896</v>
      </c>
      <c r="F550" s="76">
        <v>4510.3019999999997</v>
      </c>
      <c r="G550" s="137"/>
      <c r="H550" s="78">
        <v>162.33840000000001</v>
      </c>
      <c r="I550" s="78">
        <v>151.70089999999999</v>
      </c>
      <c r="J550" s="79">
        <f t="shared" si="420"/>
        <v>214.33448442506435</v>
      </c>
      <c r="K550" s="80">
        <v>1777305.08</v>
      </c>
      <c r="L550" s="81">
        <f t="shared" si="421"/>
        <v>947.9919578974841</v>
      </c>
      <c r="M550" s="63"/>
      <c r="N550" s="64"/>
      <c r="O550" s="39"/>
      <c r="P550" s="39"/>
      <c r="Q550" s="39"/>
      <c r="R550" s="39"/>
      <c r="S550" s="39"/>
      <c r="T550" s="39"/>
      <c r="U550" s="39"/>
      <c r="V550" s="39"/>
      <c r="W550" s="39"/>
      <c r="IH550" s="41"/>
      <c r="II550" s="41"/>
      <c r="IJ550" s="41"/>
      <c r="IK550" s="41"/>
      <c r="IL550" s="41"/>
      <c r="IM550" s="41"/>
    </row>
    <row r="551" spans="1:247" s="40" customFormat="1" ht="20.25" customHeight="1" x14ac:dyDescent="0.25">
      <c r="A551" s="75">
        <v>40737</v>
      </c>
      <c r="B551" s="144">
        <v>529.81910000000005</v>
      </c>
      <c r="C551" s="144">
        <f>0.995*B551</f>
        <v>527.1700045</v>
      </c>
      <c r="D551" s="144">
        <f>1.005*B551</f>
        <v>532.46819549999998</v>
      </c>
      <c r="E551" s="78">
        <f>4496.905/1800.553*100</f>
        <v>249.75132639805656</v>
      </c>
      <c r="F551" s="76">
        <v>4496.9049999999997</v>
      </c>
      <c r="G551" s="137"/>
      <c r="H551" s="78">
        <v>162.0369</v>
      </c>
      <c r="I551" s="78">
        <v>151.68039999999999</v>
      </c>
      <c r="J551" s="79">
        <f t="shared" ref="J551:J612" si="450">(E551/E552)*0.5*J552+(H551/H552)*0.5*J552</f>
        <v>213.81706344586058</v>
      </c>
      <c r="K551" s="80">
        <v>1772974.49</v>
      </c>
      <c r="L551" s="81">
        <f t="shared" ref="L551:L563" si="451">K551*B551/1000000</f>
        <v>939.35574861475914</v>
      </c>
      <c r="M551" s="63"/>
      <c r="N551" s="64"/>
      <c r="O551" s="39"/>
      <c r="P551" s="39"/>
      <c r="Q551" s="39"/>
      <c r="R551" s="39"/>
      <c r="S551" s="39"/>
      <c r="T551" s="39"/>
      <c r="U551" s="39"/>
      <c r="V551" s="39"/>
      <c r="W551" s="39"/>
      <c r="IH551" s="41"/>
      <c r="II551" s="41"/>
      <c r="IJ551" s="41"/>
      <c r="IK551" s="41"/>
      <c r="IL551" s="41"/>
      <c r="IM551" s="41"/>
    </row>
    <row r="552" spans="1:247" s="40" customFormat="1" ht="20.25" customHeight="1" x14ac:dyDescent="0.25">
      <c r="A552" s="75">
        <v>40730</v>
      </c>
      <c r="B552" s="144">
        <v>524.47339999999997</v>
      </c>
      <c r="C552" s="144">
        <f t="shared" ref="C552:C558" si="452">0.995*B552</f>
        <v>521.85103299999992</v>
      </c>
      <c r="D552" s="144">
        <f>1.005*B552</f>
        <v>527.09576699999991</v>
      </c>
      <c r="E552" s="78">
        <f>4569.731/1800.553*100</f>
        <v>253.79597268172608</v>
      </c>
      <c r="F552" s="76">
        <v>4569.7309999999998</v>
      </c>
      <c r="G552" s="137"/>
      <c r="H552" s="78">
        <v>161.4666</v>
      </c>
      <c r="I552" s="78">
        <v>151.65950000000001</v>
      </c>
      <c r="J552" s="79">
        <f t="shared" si="450"/>
        <v>215.15149819111619</v>
      </c>
      <c r="K552" s="80">
        <v>1769346.4</v>
      </c>
      <c r="L552" s="81">
        <f t="shared" si="451"/>
        <v>927.97512218575991</v>
      </c>
      <c r="M552" s="63"/>
      <c r="N552" s="64"/>
      <c r="O552" s="39"/>
      <c r="P552" s="39"/>
      <c r="Q552" s="39"/>
      <c r="R552" s="39"/>
      <c r="S552" s="39"/>
      <c r="T552" s="39"/>
      <c r="U552" s="39"/>
      <c r="V552" s="39"/>
      <c r="W552" s="39"/>
      <c r="IH552" s="41"/>
      <c r="II552" s="41"/>
      <c r="IJ552" s="41"/>
      <c r="IK552" s="41"/>
      <c r="IL552" s="41"/>
      <c r="IM552" s="41"/>
    </row>
    <row r="553" spans="1:247" s="40" customFormat="1" ht="20.25" customHeight="1" x14ac:dyDescent="0.25">
      <c r="A553" s="75">
        <v>40723</v>
      </c>
      <c r="B553" s="144">
        <v>517.09900000000005</v>
      </c>
      <c r="C553" s="144">
        <f t="shared" si="452"/>
        <v>514.51350500000001</v>
      </c>
      <c r="D553" s="144">
        <f>1.005*B553</f>
        <v>519.68449499999997</v>
      </c>
      <c r="E553" s="78">
        <f>4472.524/1800.553*100</f>
        <v>248.39724240275069</v>
      </c>
      <c r="F553" s="76">
        <v>4472.5240000000003</v>
      </c>
      <c r="G553" s="137"/>
      <c r="H553" s="78">
        <v>161.7458</v>
      </c>
      <c r="I553" s="78">
        <v>151.63939999999999</v>
      </c>
      <c r="J553" s="79">
        <f t="shared" si="450"/>
        <v>213.02043170159754</v>
      </c>
      <c r="K553" s="80">
        <v>1781783.35</v>
      </c>
      <c r="L553" s="81">
        <f t="shared" si="451"/>
        <v>921.3583885016501</v>
      </c>
      <c r="M553" s="63"/>
      <c r="N553" s="64"/>
      <c r="O553" s="39"/>
      <c r="P553" s="39"/>
      <c r="Q553" s="39"/>
      <c r="R553" s="39"/>
      <c r="S553" s="39"/>
      <c r="T553" s="39"/>
      <c r="U553" s="39"/>
      <c r="V553" s="39"/>
      <c r="W553" s="39"/>
      <c r="IH553" s="41"/>
      <c r="II553" s="41"/>
      <c r="IJ553" s="41"/>
      <c r="IK553" s="41"/>
      <c r="IL553" s="41"/>
      <c r="IM553" s="41"/>
    </row>
    <row r="554" spans="1:247" s="40" customFormat="1" ht="20.25" customHeight="1" x14ac:dyDescent="0.25">
      <c r="A554" s="75">
        <v>40716</v>
      </c>
      <c r="B554" s="144">
        <v>518.18349999999998</v>
      </c>
      <c r="C554" s="144">
        <f t="shared" si="452"/>
        <v>515.59258249999993</v>
      </c>
      <c r="D554" s="144">
        <f>1.005*B554</f>
        <v>520.77441749999991</v>
      </c>
      <c r="E554" s="78">
        <f>4421.615/1800.553*100</f>
        <v>245.56983326789043</v>
      </c>
      <c r="F554" s="76">
        <v>4421.6149999999998</v>
      </c>
      <c r="G554" s="137"/>
      <c r="H554" s="78">
        <v>161.5487</v>
      </c>
      <c r="I554" s="78">
        <v>151.61709999999999</v>
      </c>
      <c r="J554" s="79">
        <f t="shared" si="450"/>
        <v>211.67273974082883</v>
      </c>
      <c r="K554" s="80">
        <v>1772193.07</v>
      </c>
      <c r="L554" s="81">
        <f t="shared" si="451"/>
        <v>918.321207688345</v>
      </c>
      <c r="M554" s="63"/>
      <c r="N554" s="64"/>
      <c r="O554" s="39"/>
      <c r="P554" s="39"/>
      <c r="Q554" s="39"/>
      <c r="R554" s="39"/>
      <c r="S554" s="39"/>
      <c r="T554" s="39"/>
      <c r="U554" s="39"/>
      <c r="V554" s="39"/>
      <c r="W554" s="39"/>
      <c r="IH554" s="41"/>
      <c r="II554" s="41"/>
      <c r="IJ554" s="41"/>
      <c r="IK554" s="41"/>
      <c r="IL554" s="41"/>
      <c r="IM554" s="41"/>
    </row>
    <row r="555" spans="1:247" s="40" customFormat="1" ht="20.25" customHeight="1" x14ac:dyDescent="0.25">
      <c r="A555" s="75">
        <v>40709</v>
      </c>
      <c r="B555" s="144">
        <v>515.90239999999994</v>
      </c>
      <c r="C555" s="144">
        <f t="shared" si="452"/>
        <v>513.32288799999992</v>
      </c>
      <c r="D555" s="144">
        <f t="shared" ref="D555:D560" si="453">1.005*B555</f>
        <v>518.48191199999985</v>
      </c>
      <c r="E555" s="78">
        <f>4367.321/1800.553*100</f>
        <v>242.55442633457608</v>
      </c>
      <c r="F555" s="76">
        <v>4367.3209999999999</v>
      </c>
      <c r="G555" s="137"/>
      <c r="H555" s="78">
        <v>160.89490000000001</v>
      </c>
      <c r="I555" s="78">
        <v>151.59460000000001</v>
      </c>
      <c r="J555" s="79">
        <f t="shared" si="450"/>
        <v>209.9412076647622</v>
      </c>
      <c r="K555" s="80">
        <v>1770824.53</v>
      </c>
      <c r="L555" s="81">
        <f t="shared" si="451"/>
        <v>913.57262500587194</v>
      </c>
      <c r="M555" s="63"/>
      <c r="N555" s="64"/>
      <c r="O555" s="39"/>
      <c r="P555" s="39"/>
      <c r="Q555" s="39"/>
      <c r="R555" s="39"/>
      <c r="S555" s="39"/>
      <c r="T555" s="39"/>
      <c r="U555" s="39"/>
      <c r="V555" s="39"/>
      <c r="W555" s="39"/>
      <c r="IH555" s="41"/>
      <c r="II555" s="41"/>
      <c r="IJ555" s="41"/>
      <c r="IK555" s="41"/>
      <c r="IL555" s="41"/>
      <c r="IM555" s="41"/>
    </row>
    <row r="556" spans="1:247" s="40" customFormat="1" ht="20.25" customHeight="1" x14ac:dyDescent="0.25">
      <c r="A556" s="75">
        <v>40702</v>
      </c>
      <c r="B556" s="144">
        <v>517.21</v>
      </c>
      <c r="C556" s="144">
        <f t="shared" si="452"/>
        <v>514.62395000000004</v>
      </c>
      <c r="D556" s="144">
        <f t="shared" si="453"/>
        <v>519.79605000000004</v>
      </c>
      <c r="E556" s="78">
        <f>4426.311/1800.553*100</f>
        <v>245.83064203053172</v>
      </c>
      <c r="F556" s="76">
        <v>4426.3109999999997</v>
      </c>
      <c r="G556" s="137"/>
      <c r="H556" s="78">
        <v>162.4171</v>
      </c>
      <c r="I556" s="78">
        <v>151.571</v>
      </c>
      <c r="J556" s="79">
        <f t="shared" si="450"/>
        <v>212.35131985221216</v>
      </c>
      <c r="K556" s="80">
        <v>1771327.3</v>
      </c>
      <c r="L556" s="81">
        <f t="shared" si="451"/>
        <v>916.14819283300005</v>
      </c>
      <c r="M556" s="63"/>
      <c r="N556" s="64"/>
      <c r="O556" s="39"/>
      <c r="P556" s="39"/>
      <c r="Q556" s="39"/>
      <c r="R556" s="39"/>
      <c r="S556" s="39"/>
      <c r="T556" s="39"/>
      <c r="U556" s="39"/>
      <c r="V556" s="39"/>
      <c r="W556" s="39"/>
      <c r="IH556" s="41"/>
      <c r="II556" s="41"/>
      <c r="IJ556" s="41"/>
      <c r="IK556" s="41"/>
      <c r="IL556" s="41"/>
      <c r="IM556" s="41"/>
    </row>
    <row r="557" spans="1:247" s="40" customFormat="1" ht="20.25" customHeight="1" x14ac:dyDescent="0.25">
      <c r="A557" s="75">
        <v>40695</v>
      </c>
      <c r="B557" s="144">
        <v>520.78719999999998</v>
      </c>
      <c r="C557" s="144">
        <f t="shared" si="452"/>
        <v>518.18326400000001</v>
      </c>
      <c r="D557" s="144">
        <f t="shared" si="453"/>
        <v>523.39113599999996</v>
      </c>
      <c r="E557" s="78">
        <f>4539.343/1800.553*100</f>
        <v>252.10826895959184</v>
      </c>
      <c r="F557" s="76">
        <v>4539.3429999999998</v>
      </c>
      <c r="G557" s="137"/>
      <c r="H557" s="78">
        <v>161.41640000000001</v>
      </c>
      <c r="I557" s="78">
        <v>151.54849999999999</v>
      </c>
      <c r="J557" s="79">
        <f t="shared" si="450"/>
        <v>214.35565516732004</v>
      </c>
      <c r="K557" s="80">
        <v>1774080.05</v>
      </c>
      <c r="L557" s="81">
        <f t="shared" si="451"/>
        <v>923.91818181535996</v>
      </c>
      <c r="M557" s="63"/>
      <c r="N557" s="64"/>
      <c r="O557" s="39"/>
      <c r="P557" s="39"/>
      <c r="Q557" s="39"/>
      <c r="R557" s="39"/>
      <c r="S557" s="39"/>
      <c r="T557" s="39"/>
      <c r="U557" s="39"/>
      <c r="V557" s="39"/>
      <c r="W557" s="39"/>
      <c r="IH557" s="41"/>
      <c r="II557" s="41"/>
      <c r="IJ557" s="41"/>
      <c r="IK557" s="41"/>
      <c r="IL557" s="41"/>
      <c r="IM557" s="41"/>
    </row>
    <row r="558" spans="1:247" s="40" customFormat="1" ht="20.25" customHeight="1" x14ac:dyDescent="0.25">
      <c r="A558" s="75">
        <v>40688</v>
      </c>
      <c r="B558" s="144">
        <v>514.53470000000004</v>
      </c>
      <c r="C558" s="144">
        <f t="shared" si="452"/>
        <v>511.96202650000004</v>
      </c>
      <c r="D558" s="144">
        <f t="shared" si="453"/>
        <v>517.10737349999999</v>
      </c>
      <c r="E558" s="78">
        <f>4483.32/1800.553*100</f>
        <v>248.99683597205967</v>
      </c>
      <c r="F558" s="76">
        <v>4483.32</v>
      </c>
      <c r="G558" s="137"/>
      <c r="H558" s="78">
        <v>160.14760000000001</v>
      </c>
      <c r="I558" s="78">
        <v>151.5275</v>
      </c>
      <c r="J558" s="79">
        <f t="shared" si="450"/>
        <v>212.18935411709526</v>
      </c>
      <c r="K558" s="80">
        <v>1771526.04</v>
      </c>
      <c r="L558" s="81">
        <f t="shared" si="451"/>
        <v>911.51161953358803</v>
      </c>
      <c r="M558" s="63"/>
      <c r="N558" s="64"/>
      <c r="O558" s="39"/>
      <c r="P558" s="39"/>
      <c r="Q558" s="39"/>
      <c r="R558" s="39"/>
      <c r="S558" s="39"/>
      <c r="T558" s="39"/>
      <c r="U558" s="39"/>
      <c r="V558" s="39"/>
      <c r="W558" s="39"/>
      <c r="IH558" s="41"/>
      <c r="II558" s="41"/>
      <c r="IJ558" s="41"/>
      <c r="IK558" s="41"/>
      <c r="IL558" s="41"/>
      <c r="IM558" s="41"/>
    </row>
    <row r="559" spans="1:247" s="40" customFormat="1" ht="20.25" customHeight="1" x14ac:dyDescent="0.25">
      <c r="A559" s="75">
        <v>40681</v>
      </c>
      <c r="B559" s="144">
        <v>515.10029999999995</v>
      </c>
      <c r="C559" s="144">
        <f t="shared" ref="C559:C565" si="454">0.995*B559</f>
        <v>512.52479849999997</v>
      </c>
      <c r="D559" s="144">
        <f t="shared" si="453"/>
        <v>517.67580149999992</v>
      </c>
      <c r="E559" s="78">
        <f>4553.23/1800.553*100</f>
        <v>252.87953201044343</v>
      </c>
      <c r="F559" s="76">
        <v>4553.2299999999996</v>
      </c>
      <c r="G559" s="137"/>
      <c r="H559" s="78">
        <v>160.53479999999999</v>
      </c>
      <c r="I559" s="78">
        <v>151.50649999999999</v>
      </c>
      <c r="J559" s="79">
        <f t="shared" si="450"/>
        <v>214.09111193975815</v>
      </c>
      <c r="K559" s="80">
        <v>1760042.35</v>
      </c>
      <c r="L559" s="81">
        <f t="shared" si="451"/>
        <v>906.59834249770495</v>
      </c>
      <c r="M559" s="63"/>
      <c r="N559" s="64"/>
      <c r="O559" s="39"/>
      <c r="P559" s="39"/>
      <c r="Q559" s="39"/>
      <c r="R559" s="39"/>
      <c r="S559" s="39"/>
      <c r="T559" s="39"/>
      <c r="U559" s="39"/>
      <c r="V559" s="39"/>
      <c r="W559" s="39"/>
      <c r="IH559" s="41"/>
      <c r="II559" s="41"/>
      <c r="IJ559" s="41"/>
      <c r="IK559" s="41"/>
      <c r="IL559" s="41"/>
      <c r="IM559" s="41"/>
    </row>
    <row r="560" spans="1:247" s="40" customFormat="1" ht="20.25" customHeight="1" x14ac:dyDescent="0.25">
      <c r="A560" s="75">
        <v>40674</v>
      </c>
      <c r="B560" s="144">
        <v>515.68830000000003</v>
      </c>
      <c r="C560" s="144">
        <f t="shared" si="454"/>
        <v>513.10985849999997</v>
      </c>
      <c r="D560" s="144">
        <f t="shared" si="453"/>
        <v>518.26674149999997</v>
      </c>
      <c r="E560" s="78">
        <f>4600.227/1800.553*100</f>
        <v>255.48967456109315</v>
      </c>
      <c r="F560" s="76">
        <v>4600.2269999999999</v>
      </c>
      <c r="G560" s="137"/>
      <c r="H560" s="78">
        <v>160.7311</v>
      </c>
      <c r="I560" s="78">
        <v>151.48650000000001</v>
      </c>
      <c r="J560" s="79">
        <f t="shared" si="450"/>
        <v>215.32249060126099</v>
      </c>
      <c r="K560" s="80">
        <v>1751967.03</v>
      </c>
      <c r="L560" s="81">
        <f t="shared" si="451"/>
        <v>903.46889935674903</v>
      </c>
      <c r="M560" s="63"/>
      <c r="N560" s="64"/>
      <c r="O560" s="39"/>
      <c r="P560" s="39"/>
      <c r="Q560" s="39"/>
      <c r="R560" s="39"/>
      <c r="S560" s="39"/>
      <c r="T560" s="39"/>
      <c r="U560" s="39"/>
      <c r="V560" s="39"/>
      <c r="W560" s="39"/>
      <c r="IH560" s="41"/>
      <c r="II560" s="41"/>
      <c r="IJ560" s="41"/>
      <c r="IK560" s="41"/>
      <c r="IL560" s="41"/>
      <c r="IM560" s="41"/>
    </row>
    <row r="561" spans="1:247" s="40" customFormat="1" ht="20.25" customHeight="1" x14ac:dyDescent="0.25">
      <c r="A561" s="75">
        <v>40667</v>
      </c>
      <c r="B561" s="144">
        <v>519.55740000000003</v>
      </c>
      <c r="C561" s="144">
        <f t="shared" si="454"/>
        <v>516.95961299999999</v>
      </c>
      <c r="D561" s="144">
        <f t="shared" ref="D561:D566" si="455">1.005*B561</f>
        <v>522.15518699999996</v>
      </c>
      <c r="E561" s="78">
        <f>4640.153/1800.553*100</f>
        <v>257.7071044284728</v>
      </c>
      <c r="F561" s="76">
        <v>4640.1530000000002</v>
      </c>
      <c r="G561" s="137"/>
      <c r="H561" s="78">
        <v>162.66480000000001</v>
      </c>
      <c r="I561" s="78">
        <v>151.46770000000001</v>
      </c>
      <c r="J561" s="79">
        <f t="shared" si="450"/>
        <v>217.5515338496466</v>
      </c>
      <c r="K561" s="80">
        <v>1742735.76</v>
      </c>
      <c r="L561" s="81">
        <f t="shared" si="451"/>
        <v>905.4512603526241</v>
      </c>
      <c r="M561" s="63"/>
      <c r="N561" s="64"/>
      <c r="O561" s="39"/>
      <c r="P561" s="39"/>
      <c r="Q561" s="39"/>
      <c r="R561" s="39"/>
      <c r="S561" s="39"/>
      <c r="T561" s="39"/>
      <c r="U561" s="39"/>
      <c r="V561" s="39"/>
      <c r="W561" s="39"/>
      <c r="IH561" s="41"/>
      <c r="II561" s="41"/>
      <c r="IJ561" s="41"/>
      <c r="IK561" s="41"/>
      <c r="IL561" s="41"/>
      <c r="IM561" s="41"/>
    </row>
    <row r="562" spans="1:247" s="40" customFormat="1" ht="20.25" customHeight="1" x14ac:dyDescent="0.25">
      <c r="A562" s="75">
        <v>40660</v>
      </c>
      <c r="B562" s="144">
        <v>516.24639999999999</v>
      </c>
      <c r="C562" s="144">
        <f t="shared" si="454"/>
        <v>513.66516799999999</v>
      </c>
      <c r="D562" s="144">
        <f t="shared" si="455"/>
        <v>518.82763199999999</v>
      </c>
      <c r="E562" s="78">
        <f>4634.85/1800.553*100</f>
        <v>257.41258380064352</v>
      </c>
      <c r="F562" s="76">
        <v>4634.8500000000004</v>
      </c>
      <c r="G562" s="137"/>
      <c r="H562" s="78">
        <v>162.3742</v>
      </c>
      <c r="I562" s="78">
        <v>151.4495</v>
      </c>
      <c r="J562" s="79">
        <f t="shared" si="450"/>
        <v>217.23286940996687</v>
      </c>
      <c r="K562" s="80">
        <v>1740986.58</v>
      </c>
      <c r="L562" s="81">
        <f t="shared" si="451"/>
        <v>898.77805437331199</v>
      </c>
      <c r="M562" s="63"/>
      <c r="N562" s="64"/>
      <c r="O562" s="39"/>
      <c r="P562" s="39"/>
      <c r="Q562" s="39"/>
      <c r="R562" s="39"/>
      <c r="S562" s="39"/>
      <c r="T562" s="39"/>
      <c r="U562" s="39"/>
      <c r="V562" s="39"/>
      <c r="W562" s="39"/>
      <c r="IH562" s="41"/>
      <c r="II562" s="41"/>
      <c r="IJ562" s="41"/>
      <c r="IK562" s="41"/>
      <c r="IL562" s="41"/>
      <c r="IM562" s="41"/>
    </row>
    <row r="563" spans="1:247" s="40" customFormat="1" ht="20.25" customHeight="1" x14ac:dyDescent="0.25">
      <c r="A563" s="75">
        <v>40653</v>
      </c>
      <c r="B563" s="144">
        <v>512.79060000000004</v>
      </c>
      <c r="C563" s="144">
        <f t="shared" si="454"/>
        <v>510.22664700000001</v>
      </c>
      <c r="D563" s="144">
        <f t="shared" si="455"/>
        <v>515.35455300000001</v>
      </c>
      <c r="E563" s="78">
        <f>4560.357/1800.553*100</f>
        <v>253.2753548493157</v>
      </c>
      <c r="F563" s="76">
        <v>4560.357</v>
      </c>
      <c r="G563" s="137"/>
      <c r="H563" s="78">
        <v>161.16990000000001</v>
      </c>
      <c r="I563" s="78">
        <v>151.43219999999999</v>
      </c>
      <c r="J563" s="79">
        <f t="shared" si="450"/>
        <v>214.67744100388802</v>
      </c>
      <c r="K563" s="80">
        <v>1740711.72</v>
      </c>
      <c r="L563" s="81">
        <f t="shared" si="451"/>
        <v>892.620607325832</v>
      </c>
      <c r="M563" s="63"/>
      <c r="N563" s="64"/>
      <c r="O563" s="39"/>
      <c r="P563" s="39"/>
      <c r="Q563" s="39"/>
      <c r="R563" s="39"/>
      <c r="S563" s="39"/>
      <c r="T563" s="39"/>
      <c r="U563" s="39"/>
      <c r="V563" s="39"/>
      <c r="W563" s="39"/>
      <c r="IH563" s="41"/>
      <c r="II563" s="41"/>
      <c r="IJ563" s="41"/>
      <c r="IK563" s="41"/>
      <c r="IL563" s="41"/>
      <c r="IM563" s="41"/>
    </row>
    <row r="564" spans="1:247" s="40" customFormat="1" ht="20.25" customHeight="1" x14ac:dyDescent="0.25">
      <c r="A564" s="75">
        <v>40646</v>
      </c>
      <c r="B564" s="144">
        <v>505.8322</v>
      </c>
      <c r="C564" s="144">
        <f t="shared" si="454"/>
        <v>503.30303900000001</v>
      </c>
      <c r="D564" s="144">
        <f t="shared" si="455"/>
        <v>508.36136099999993</v>
      </c>
      <c r="E564" s="78">
        <f>4518.077/1800.553*100</f>
        <v>250.9271873696581</v>
      </c>
      <c r="F564" s="76">
        <v>4518.0770000000002</v>
      </c>
      <c r="G564" s="137"/>
      <c r="H564" s="78">
        <v>160.154</v>
      </c>
      <c r="I564" s="78">
        <v>151.41370000000001</v>
      </c>
      <c r="J564" s="79">
        <f t="shared" si="450"/>
        <v>213.00521870029831</v>
      </c>
      <c r="K564" s="80">
        <v>1732285.51</v>
      </c>
      <c r="L564" s="81">
        <f t="shared" ref="L564:L602" si="456">K564*B564/1000000</f>
        <v>876.24579055142203</v>
      </c>
      <c r="M564" s="63"/>
      <c r="N564" s="64"/>
      <c r="O564" s="39"/>
      <c r="P564" s="39"/>
      <c r="Q564" s="39"/>
      <c r="R564" s="39"/>
      <c r="S564" s="39"/>
      <c r="T564" s="39"/>
      <c r="U564" s="39"/>
      <c r="V564" s="39"/>
      <c r="W564" s="39"/>
      <c r="IH564" s="41"/>
      <c r="II564" s="41"/>
      <c r="IJ564" s="41"/>
      <c r="IK564" s="41"/>
      <c r="IL564" s="41"/>
      <c r="IM564" s="41"/>
    </row>
    <row r="565" spans="1:247" s="40" customFormat="1" ht="20.25" customHeight="1" x14ac:dyDescent="0.25">
      <c r="A565" s="75">
        <v>40639</v>
      </c>
      <c r="B565" s="144">
        <v>504.0249</v>
      </c>
      <c r="C565" s="144">
        <f t="shared" si="454"/>
        <v>501.50477549999999</v>
      </c>
      <c r="D565" s="144">
        <f t="shared" si="455"/>
        <v>506.54502449999995</v>
      </c>
      <c r="E565" s="78">
        <f>4550.585/1800.553*100</f>
        <v>252.73263269673259</v>
      </c>
      <c r="F565" s="76">
        <v>4550.585</v>
      </c>
      <c r="G565" s="137"/>
      <c r="H565" s="78">
        <v>159.36709999999999</v>
      </c>
      <c r="I565" s="78">
        <v>151.3956</v>
      </c>
      <c r="J565" s="79">
        <f t="shared" si="450"/>
        <v>213.24042719807332</v>
      </c>
      <c r="K565" s="80">
        <v>1728058.89</v>
      </c>
      <c r="L565" s="81">
        <f t="shared" si="456"/>
        <v>870.98470922636091</v>
      </c>
      <c r="M565" s="63"/>
      <c r="N565" s="64"/>
      <c r="O565" s="39"/>
      <c r="P565" s="39"/>
      <c r="Q565" s="39"/>
      <c r="R565" s="39"/>
      <c r="S565" s="39"/>
      <c r="T565" s="39"/>
      <c r="U565" s="39"/>
      <c r="V565" s="39"/>
      <c r="W565" s="39"/>
      <c r="IH565" s="41"/>
      <c r="II565" s="41"/>
      <c r="IJ565" s="41"/>
      <c r="IK565" s="41"/>
      <c r="IL565" s="41"/>
      <c r="IM565" s="41"/>
    </row>
    <row r="566" spans="1:247" s="40" customFormat="1" ht="20.25" customHeight="1" x14ac:dyDescent="0.25">
      <c r="A566" s="75">
        <v>40632</v>
      </c>
      <c r="B566" s="144">
        <v>500.0385</v>
      </c>
      <c r="C566" s="144">
        <f t="shared" ref="C566:C572" si="457">0.995*B566</f>
        <v>497.53830749999997</v>
      </c>
      <c r="D566" s="144">
        <f t="shared" si="455"/>
        <v>502.53869249999997</v>
      </c>
      <c r="E566" s="78">
        <f>4504.306/1800.553*100</f>
        <v>250.16236678398243</v>
      </c>
      <c r="F566" s="76">
        <v>4504.3059999999996</v>
      </c>
      <c r="G566" s="137"/>
      <c r="H566" s="78">
        <v>159.01429999999999</v>
      </c>
      <c r="I566" s="78">
        <v>151.37799999999999</v>
      </c>
      <c r="J566" s="79">
        <f t="shared" si="450"/>
        <v>211.91668336737223</v>
      </c>
      <c r="K566" s="80">
        <v>1729698.68</v>
      </c>
      <c r="L566" s="81">
        <f t="shared" si="456"/>
        <v>864.91593339917995</v>
      </c>
      <c r="M566" s="63"/>
      <c r="N566" s="64"/>
      <c r="O566" s="39"/>
      <c r="P566" s="39"/>
      <c r="Q566" s="39"/>
      <c r="R566" s="39"/>
      <c r="S566" s="39"/>
      <c r="T566" s="39"/>
      <c r="U566" s="39"/>
      <c r="V566" s="39"/>
      <c r="W566" s="39"/>
      <c r="IH566" s="41"/>
      <c r="II566" s="41"/>
      <c r="IJ566" s="41"/>
      <c r="IK566" s="41"/>
      <c r="IL566" s="41"/>
      <c r="IM566" s="41"/>
    </row>
    <row r="567" spans="1:247" s="40" customFormat="1" ht="20.25" customHeight="1" x14ac:dyDescent="0.25">
      <c r="A567" s="75">
        <v>40625</v>
      </c>
      <c r="B567" s="144">
        <v>503.28609999999998</v>
      </c>
      <c r="C567" s="144">
        <f t="shared" si="457"/>
        <v>500.76966949999996</v>
      </c>
      <c r="D567" s="144">
        <f t="shared" ref="D567:D572" si="458">1.005*B567</f>
        <v>505.80253049999993</v>
      </c>
      <c r="E567" s="78">
        <f>4415.944/1800.553*100</f>
        <v>245.25487447467529</v>
      </c>
      <c r="F567" s="76">
        <v>4415.9440000000004</v>
      </c>
      <c r="G567" s="137"/>
      <c r="H567" s="78">
        <v>159.3656</v>
      </c>
      <c r="I567" s="78">
        <v>151.35939999999999</v>
      </c>
      <c r="J567" s="79">
        <f t="shared" si="450"/>
        <v>210.04670067790931</v>
      </c>
      <c r="K567" s="80">
        <v>1715881.31</v>
      </c>
      <c r="L567" s="81">
        <f t="shared" si="456"/>
        <v>863.57921257279099</v>
      </c>
      <c r="M567" s="63"/>
      <c r="N567" s="64"/>
      <c r="O567" s="39"/>
      <c r="P567" s="39"/>
      <c r="Q567" s="39"/>
      <c r="R567" s="39"/>
      <c r="S567" s="39"/>
      <c r="T567" s="39"/>
      <c r="U567" s="39"/>
      <c r="V567" s="39"/>
      <c r="W567" s="39"/>
      <c r="IH567" s="41"/>
      <c r="II567" s="41"/>
      <c r="IJ567" s="41"/>
      <c r="IK567" s="41"/>
      <c r="IL567" s="41"/>
      <c r="IM567" s="41"/>
    </row>
    <row r="568" spans="1:247" s="40" customFormat="1" ht="20.25" customHeight="1" x14ac:dyDescent="0.25">
      <c r="A568" s="75">
        <v>40618</v>
      </c>
      <c r="B568" s="144">
        <v>496.47030000000001</v>
      </c>
      <c r="C568" s="144">
        <f t="shared" si="457"/>
        <v>493.98794850000002</v>
      </c>
      <c r="D568" s="144">
        <f t="shared" si="458"/>
        <v>498.95265149999994</v>
      </c>
      <c r="E568" s="78">
        <f>4241.801/1800.553*100</f>
        <v>235.58323470622636</v>
      </c>
      <c r="F568" s="76">
        <v>4241.8010000000004</v>
      </c>
      <c r="G568" s="137"/>
      <c r="H568" s="78">
        <v>158.59620000000001</v>
      </c>
      <c r="I568" s="78">
        <v>151.34100000000001</v>
      </c>
      <c r="J568" s="79">
        <f t="shared" si="450"/>
        <v>205.33374321437009</v>
      </c>
      <c r="K568" s="80">
        <v>1680161.35</v>
      </c>
      <c r="L568" s="81">
        <f t="shared" si="456"/>
        <v>834.15020948290498</v>
      </c>
      <c r="M568" s="63"/>
      <c r="N568" s="64"/>
      <c r="O568" s="39"/>
      <c r="P568" s="39"/>
      <c r="Q568" s="39"/>
      <c r="R568" s="39"/>
      <c r="S568" s="39"/>
      <c r="T568" s="39"/>
      <c r="U568" s="39"/>
      <c r="V568" s="39"/>
      <c r="W568" s="39"/>
      <c r="IH568" s="41"/>
      <c r="II568" s="41"/>
      <c r="IJ568" s="41"/>
      <c r="IK568" s="41"/>
      <c r="IL568" s="41"/>
      <c r="IM568" s="41"/>
    </row>
    <row r="569" spans="1:247" s="40" customFormat="1" ht="20.25" customHeight="1" x14ac:dyDescent="0.25">
      <c r="A569" s="75">
        <v>40611</v>
      </c>
      <c r="B569" s="144">
        <v>506.2663</v>
      </c>
      <c r="C569" s="144">
        <f t="shared" si="457"/>
        <v>503.73496849999998</v>
      </c>
      <c r="D569" s="144">
        <f t="shared" si="458"/>
        <v>508.79763149999997</v>
      </c>
      <c r="E569" s="78">
        <f>4507.503/1800.553*100</f>
        <v>250.33992334577206</v>
      </c>
      <c r="F569" s="76">
        <v>4507.5029999999997</v>
      </c>
      <c r="G569" s="137"/>
      <c r="H569" s="78">
        <v>158.33680000000001</v>
      </c>
      <c r="I569" s="78">
        <v>151.32249999999999</v>
      </c>
      <c r="J569" s="79">
        <f t="shared" si="450"/>
        <v>211.39097458599656</v>
      </c>
      <c r="K569" s="80">
        <v>1674583.33</v>
      </c>
      <c r="L569" s="81">
        <f t="shared" si="456"/>
        <v>847.78510652077898</v>
      </c>
      <c r="M569" s="63"/>
      <c r="N569" s="64"/>
      <c r="O569" s="39"/>
      <c r="P569" s="39"/>
      <c r="Q569" s="39"/>
      <c r="R569" s="39"/>
      <c r="S569" s="39"/>
      <c r="T569" s="39"/>
      <c r="U569" s="39"/>
      <c r="V569" s="39"/>
      <c r="W569" s="39"/>
      <c r="IH569" s="41"/>
      <c r="II569" s="41"/>
      <c r="IJ569" s="41"/>
      <c r="IK569" s="41"/>
      <c r="IL569" s="41"/>
      <c r="IM569" s="41"/>
    </row>
    <row r="570" spans="1:247" s="40" customFormat="1" ht="20.25" customHeight="1" x14ac:dyDescent="0.25">
      <c r="A570" s="75">
        <v>40604</v>
      </c>
      <c r="B570" s="144">
        <v>507.5172</v>
      </c>
      <c r="C570" s="144">
        <f t="shared" si="457"/>
        <v>504.97961400000003</v>
      </c>
      <c r="D570" s="144">
        <f t="shared" si="458"/>
        <v>510.05478599999992</v>
      </c>
      <c r="E570" s="78">
        <f>4498.49/1800.553*100</f>
        <v>249.8393549092973</v>
      </c>
      <c r="F570" s="76">
        <v>4498.49</v>
      </c>
      <c r="G570" s="137"/>
      <c r="H570" s="78">
        <v>158.54920000000001</v>
      </c>
      <c r="I570" s="78">
        <v>151.3048</v>
      </c>
      <c r="J570" s="79">
        <f t="shared" si="450"/>
        <v>211.32082516480438</v>
      </c>
      <c r="K570" s="80">
        <v>1621521.72</v>
      </c>
      <c r="L570" s="81">
        <f t="shared" si="456"/>
        <v>822.95016307358401</v>
      </c>
      <c r="M570" s="63"/>
      <c r="N570" s="64"/>
      <c r="O570" s="39"/>
      <c r="P570" s="39"/>
      <c r="Q570" s="39"/>
      <c r="R570" s="39"/>
      <c r="S570" s="39"/>
      <c r="T570" s="39"/>
      <c r="U570" s="39"/>
      <c r="V570" s="39"/>
      <c r="W570" s="39"/>
      <c r="IH570" s="41"/>
      <c r="II570" s="41"/>
      <c r="IJ570" s="41"/>
      <c r="IK570" s="41"/>
      <c r="IL570" s="41"/>
      <c r="IM570" s="41"/>
    </row>
    <row r="571" spans="1:247" s="28" customFormat="1" ht="20.25" customHeight="1" x14ac:dyDescent="0.25">
      <c r="A571" s="75">
        <v>40597</v>
      </c>
      <c r="B571" s="144">
        <v>502.90019999999998</v>
      </c>
      <c r="C571" s="144">
        <f t="shared" si="457"/>
        <v>500.38569899999999</v>
      </c>
      <c r="D571" s="144">
        <f t="shared" si="458"/>
        <v>505.41470099999992</v>
      </c>
      <c r="E571" s="78">
        <f>4467.803/1800.553*100</f>
        <v>248.13504517778702</v>
      </c>
      <c r="F571" s="76">
        <v>4467.8029999999999</v>
      </c>
      <c r="G571" s="137"/>
      <c r="H571" s="78">
        <v>157.7236</v>
      </c>
      <c r="I571" s="78">
        <v>151.2878</v>
      </c>
      <c r="J571" s="79">
        <f t="shared" si="450"/>
        <v>210.04971456927848</v>
      </c>
      <c r="K571" s="80">
        <v>1599790.11</v>
      </c>
      <c r="L571" s="81">
        <f t="shared" si="456"/>
        <v>804.53476627702196</v>
      </c>
      <c r="M571" s="65"/>
      <c r="N571" s="66"/>
      <c r="O571" s="27"/>
      <c r="P571" s="27"/>
      <c r="Q571" s="27"/>
      <c r="R571" s="27"/>
      <c r="S571" s="27"/>
      <c r="T571" s="27"/>
      <c r="U571" s="27"/>
      <c r="V571" s="27"/>
      <c r="W571" s="27"/>
      <c r="IH571" s="32"/>
      <c r="II571" s="32"/>
      <c r="IJ571" s="32"/>
      <c r="IK571" s="32"/>
      <c r="IL571" s="32"/>
      <c r="IM571" s="32"/>
    </row>
    <row r="572" spans="1:247" s="28" customFormat="1" ht="20.25" customHeight="1" x14ac:dyDescent="0.25">
      <c r="A572" s="75">
        <v>40590</v>
      </c>
      <c r="B572" s="144">
        <v>497.798</v>
      </c>
      <c r="C572" s="144">
        <f t="shared" si="457"/>
        <v>495.30901</v>
      </c>
      <c r="D572" s="144">
        <f t="shared" si="458"/>
        <v>500.28698999999995</v>
      </c>
      <c r="E572" s="78">
        <f>4541.07/1800.553*100</f>
        <v>252.20418393682382</v>
      </c>
      <c r="F572" s="76">
        <v>4541.07</v>
      </c>
      <c r="G572" s="137"/>
      <c r="H572" s="78">
        <v>156.73320000000001</v>
      </c>
      <c r="I572" s="78">
        <v>151.2706</v>
      </c>
      <c r="J572" s="79">
        <f t="shared" si="450"/>
        <v>211.08564742014411</v>
      </c>
      <c r="K572" s="80">
        <v>1595184.75</v>
      </c>
      <c r="L572" s="81">
        <f t="shared" si="456"/>
        <v>794.07977818050006</v>
      </c>
      <c r="M572" s="65"/>
      <c r="N572" s="66"/>
      <c r="O572" s="27"/>
      <c r="P572" s="27"/>
      <c r="Q572" s="27"/>
      <c r="R572" s="27"/>
      <c r="S572" s="27"/>
      <c r="T572" s="27"/>
      <c r="U572" s="27"/>
      <c r="V572" s="27"/>
      <c r="W572" s="27"/>
      <c r="IH572" s="32"/>
      <c r="II572" s="32"/>
      <c r="IJ572" s="32"/>
      <c r="IK572" s="32"/>
      <c r="IL572" s="32"/>
      <c r="IM572" s="32"/>
    </row>
    <row r="573" spans="1:247" s="40" customFormat="1" ht="20.25" customHeight="1" x14ac:dyDescent="0.25">
      <c r="A573" s="75">
        <v>40583</v>
      </c>
      <c r="B573" s="144">
        <v>499.4864</v>
      </c>
      <c r="C573" s="144">
        <f t="shared" ref="C573:C579" si="459">0.995*B573</f>
        <v>496.988968</v>
      </c>
      <c r="D573" s="144">
        <f t="shared" ref="D573:D578" si="460">1.005*B573</f>
        <v>501.98383199999995</v>
      </c>
      <c r="E573" s="78">
        <f>4506.462/1800.553*100</f>
        <v>250.282107774667</v>
      </c>
      <c r="F573" s="76">
        <v>4506.4620000000004</v>
      </c>
      <c r="G573" s="137"/>
      <c r="H573" s="78">
        <v>157.4177</v>
      </c>
      <c r="I573" s="78">
        <v>151.25370000000001</v>
      </c>
      <c r="J573" s="79">
        <f t="shared" si="450"/>
        <v>210.73463361108625</v>
      </c>
      <c r="K573" s="80">
        <v>1577477.03</v>
      </c>
      <c r="L573" s="81">
        <f t="shared" si="456"/>
        <v>787.92832279739196</v>
      </c>
      <c r="M573" s="63"/>
      <c r="N573" s="64"/>
      <c r="O573" s="39"/>
      <c r="P573" s="39"/>
      <c r="Q573" s="39"/>
      <c r="R573" s="39"/>
      <c r="S573" s="39"/>
      <c r="T573" s="39"/>
      <c r="U573" s="39"/>
      <c r="V573" s="39"/>
      <c r="W573" s="39"/>
      <c r="IH573" s="41"/>
      <c r="II573" s="41"/>
      <c r="IJ573" s="41"/>
      <c r="IK573" s="41"/>
      <c r="IL573" s="41"/>
      <c r="IM573" s="41"/>
    </row>
    <row r="574" spans="1:247" s="28" customFormat="1" ht="20.25" customHeight="1" x14ac:dyDescent="0.25">
      <c r="A574" s="75">
        <v>40576</v>
      </c>
      <c r="B574" s="144">
        <v>497.6619</v>
      </c>
      <c r="C574" s="144">
        <f t="shared" si="459"/>
        <v>495.17359049999999</v>
      </c>
      <c r="D574" s="144">
        <f t="shared" si="460"/>
        <v>500.15020949999996</v>
      </c>
      <c r="E574" s="78">
        <f>4471.719/1800.553*100</f>
        <v>248.35253391596913</v>
      </c>
      <c r="F574" s="76">
        <v>4471.7190000000001</v>
      </c>
      <c r="G574" s="137"/>
      <c r="H574" s="78">
        <v>158.00749999999999</v>
      </c>
      <c r="I574" s="78">
        <v>151.23599999999999</v>
      </c>
      <c r="J574" s="79">
        <f t="shared" si="450"/>
        <v>210.3101476943086</v>
      </c>
      <c r="K574" s="80">
        <v>1566062.78</v>
      </c>
      <c r="L574" s="81">
        <f t="shared" si="456"/>
        <v>779.36977861408195</v>
      </c>
      <c r="M574" s="65"/>
      <c r="N574" s="66"/>
      <c r="O574" s="27"/>
      <c r="P574" s="27"/>
      <c r="Q574" s="27"/>
      <c r="R574" s="27"/>
      <c r="S574" s="27"/>
      <c r="T574" s="27"/>
      <c r="U574" s="27"/>
      <c r="V574" s="27"/>
      <c r="W574" s="27"/>
      <c r="IH574" s="32"/>
      <c r="II574" s="32"/>
      <c r="IJ574" s="32"/>
      <c r="IK574" s="32"/>
      <c r="IL574" s="32"/>
      <c r="IM574" s="32"/>
    </row>
    <row r="575" spans="1:247" s="40" customFormat="1" ht="20.25" customHeight="1" x14ac:dyDescent="0.25">
      <c r="A575" s="75">
        <v>40569</v>
      </c>
      <c r="B575" s="144">
        <v>497.45159999999998</v>
      </c>
      <c r="C575" s="144">
        <f t="shared" si="459"/>
        <v>494.96434199999999</v>
      </c>
      <c r="D575" s="144">
        <f t="shared" si="460"/>
        <v>499.93885799999993</v>
      </c>
      <c r="E575" s="78">
        <f>4421.99/1800.553*100</f>
        <v>245.59066020272661</v>
      </c>
      <c r="F575" s="76">
        <v>4421.99</v>
      </c>
      <c r="G575" s="137"/>
      <c r="H575" s="78">
        <v>157.22890000000001</v>
      </c>
      <c r="I575" s="78">
        <v>151.21950000000001</v>
      </c>
      <c r="J575" s="79">
        <f t="shared" si="450"/>
        <v>208.62054475370797</v>
      </c>
      <c r="K575" s="80">
        <v>1556197.56</v>
      </c>
      <c r="L575" s="81">
        <f t="shared" si="456"/>
        <v>774.13296613809598</v>
      </c>
      <c r="M575" s="63"/>
      <c r="N575" s="64"/>
      <c r="O575" s="39"/>
      <c r="P575" s="39"/>
      <c r="Q575" s="39"/>
      <c r="R575" s="39"/>
      <c r="S575" s="39"/>
      <c r="T575" s="39"/>
      <c r="U575" s="39"/>
      <c r="V575" s="39"/>
      <c r="W575" s="39"/>
      <c r="IH575" s="41"/>
      <c r="II575" s="41"/>
      <c r="IJ575" s="41"/>
      <c r="IK575" s="41"/>
      <c r="IL575" s="41"/>
      <c r="IM575" s="41"/>
    </row>
    <row r="576" spans="1:247" s="28" customFormat="1" ht="20.25" customHeight="1" x14ac:dyDescent="0.25">
      <c r="A576" s="75">
        <v>40562</v>
      </c>
      <c r="B576" s="144">
        <v>500.77300000000002</v>
      </c>
      <c r="C576" s="144">
        <f t="shared" si="459"/>
        <v>498.26913500000001</v>
      </c>
      <c r="D576" s="144">
        <f t="shared" si="460"/>
        <v>503.27686499999999</v>
      </c>
      <c r="E576" s="78">
        <f>4389.077/1800.553*100</f>
        <v>243.76272178602906</v>
      </c>
      <c r="F576" s="76">
        <v>4389.0770000000002</v>
      </c>
      <c r="G576" s="137"/>
      <c r="H576" s="78">
        <v>156.58590000000001</v>
      </c>
      <c r="I576" s="78">
        <v>151.20320000000001</v>
      </c>
      <c r="J576" s="79">
        <f t="shared" si="450"/>
        <v>207.41698535365413</v>
      </c>
      <c r="K576" s="80">
        <v>1556539.25</v>
      </c>
      <c r="L576" s="81">
        <f t="shared" si="456"/>
        <v>779.47282984025003</v>
      </c>
      <c r="M576" s="65"/>
      <c r="N576" s="66"/>
      <c r="O576" s="27"/>
      <c r="P576" s="27"/>
      <c r="Q576" s="27"/>
      <c r="R576" s="27"/>
      <c r="S576" s="27"/>
      <c r="T576" s="27"/>
      <c r="U576" s="27"/>
      <c r="V576" s="27"/>
      <c r="W576" s="27"/>
      <c r="IH576" s="32"/>
      <c r="II576" s="32"/>
      <c r="IJ576" s="32"/>
      <c r="IK576" s="32"/>
      <c r="IL576" s="32"/>
      <c r="IM576" s="32"/>
    </row>
    <row r="577" spans="1:247" s="28" customFormat="1" ht="20.25" customHeight="1" x14ac:dyDescent="0.25">
      <c r="A577" s="75">
        <v>40555</v>
      </c>
      <c r="B577" s="144">
        <v>500.9907</v>
      </c>
      <c r="C577" s="144">
        <f t="shared" si="459"/>
        <v>498.4857465</v>
      </c>
      <c r="D577" s="144">
        <f t="shared" si="460"/>
        <v>503.49565349999995</v>
      </c>
      <c r="E577" s="78">
        <f>4353.462/1800.553*100</f>
        <v>241.78471836152559</v>
      </c>
      <c r="F577" s="76">
        <v>4353.4620000000004</v>
      </c>
      <c r="G577" s="137"/>
      <c r="H577" s="78">
        <v>155.22620000000001</v>
      </c>
      <c r="I577" s="78">
        <v>151.18790000000001</v>
      </c>
      <c r="J577" s="79">
        <f t="shared" si="450"/>
        <v>205.67488612118086</v>
      </c>
      <c r="K577" s="80">
        <v>1554924.05</v>
      </c>
      <c r="L577" s="81">
        <f t="shared" si="456"/>
        <v>779.00248825633503</v>
      </c>
      <c r="M577" s="65"/>
      <c r="N577" s="66"/>
      <c r="O577" s="27"/>
      <c r="P577" s="27"/>
      <c r="Q577" s="27"/>
      <c r="R577" s="27"/>
      <c r="S577" s="27"/>
      <c r="T577" s="27"/>
      <c r="U577" s="27"/>
      <c r="V577" s="27"/>
      <c r="W577" s="27"/>
      <c r="IH577" s="32"/>
      <c r="II577" s="32"/>
      <c r="IJ577" s="32"/>
      <c r="IK577" s="32"/>
      <c r="IL577" s="32"/>
      <c r="IM577" s="32"/>
    </row>
    <row r="578" spans="1:247" s="28" customFormat="1" ht="20.25" customHeight="1" x14ac:dyDescent="0.25">
      <c r="A578" s="75">
        <v>40548</v>
      </c>
      <c r="B578" s="144">
        <v>500.01830000000001</v>
      </c>
      <c r="C578" s="144">
        <f t="shared" si="459"/>
        <v>497.51820850000001</v>
      </c>
      <c r="D578" s="144">
        <f t="shared" si="460"/>
        <v>502.51839149999995</v>
      </c>
      <c r="E578" s="78">
        <f>4307.559/1800.553*100</f>
        <v>239.2353349221045</v>
      </c>
      <c r="F578" s="76">
        <v>4307.5590000000002</v>
      </c>
      <c r="G578" s="137"/>
      <c r="H578" s="78">
        <v>154.87280000000001</v>
      </c>
      <c r="I578" s="78">
        <v>151.17330000000001</v>
      </c>
      <c r="J578" s="79">
        <f t="shared" si="450"/>
        <v>204.35290105158739</v>
      </c>
      <c r="K578" s="80">
        <v>1551390.55</v>
      </c>
      <c r="L578" s="81">
        <f t="shared" si="456"/>
        <v>775.72366544706495</v>
      </c>
      <c r="M578" s="65"/>
      <c r="N578" s="66"/>
      <c r="O578" s="27"/>
      <c r="P578" s="27"/>
      <c r="Q578" s="27"/>
      <c r="R578" s="27"/>
      <c r="S578" s="27"/>
      <c r="T578" s="27"/>
      <c r="U578" s="27"/>
      <c r="V578" s="27"/>
      <c r="W578" s="27"/>
      <c r="IH578" s="32"/>
      <c r="II578" s="32"/>
      <c r="IJ578" s="32"/>
      <c r="IK578" s="32"/>
      <c r="IL578" s="32"/>
      <c r="IM578" s="32"/>
    </row>
    <row r="579" spans="1:247" s="40" customFormat="1" ht="20.25" customHeight="1" x14ac:dyDescent="0.25">
      <c r="A579" s="75">
        <v>40543</v>
      </c>
      <c r="B579" s="144">
        <v>506.46289999999999</v>
      </c>
      <c r="C579" s="144">
        <f t="shared" si="459"/>
        <v>503.93058550000001</v>
      </c>
      <c r="D579" s="144">
        <f t="shared" ref="D579:D584" si="461">1.005*B579</f>
        <v>508.99521449999992</v>
      </c>
      <c r="E579" s="78">
        <f>4290.045/1800.553*100</f>
        <v>238.26263375751782</v>
      </c>
      <c r="F579" s="76">
        <v>4290.0450000000001</v>
      </c>
      <c r="G579" s="137"/>
      <c r="H579" s="78">
        <v>156.26840000000001</v>
      </c>
      <c r="I579" s="78">
        <v>151.15989999999999</v>
      </c>
      <c r="J579" s="79">
        <f t="shared" si="450"/>
        <v>204.84948833694077</v>
      </c>
      <c r="K579" s="80">
        <v>1551390.55</v>
      </c>
      <c r="L579" s="81">
        <f t="shared" si="456"/>
        <v>785.72175698559499</v>
      </c>
      <c r="M579" s="63"/>
      <c r="N579" s="64"/>
      <c r="O579" s="39"/>
      <c r="P579" s="39"/>
      <c r="Q579" s="39"/>
      <c r="R579" s="39"/>
      <c r="S579" s="39"/>
      <c r="T579" s="39"/>
      <c r="U579" s="39"/>
      <c r="V579" s="39"/>
      <c r="W579" s="39"/>
      <c r="IH579" s="41"/>
      <c r="II579" s="41"/>
      <c r="IJ579" s="41"/>
      <c r="IK579" s="41"/>
      <c r="IL579" s="41"/>
      <c r="IM579" s="41"/>
    </row>
    <row r="580" spans="1:247" s="28" customFormat="1" ht="20.25" customHeight="1" x14ac:dyDescent="0.25">
      <c r="A580" s="75">
        <v>40541</v>
      </c>
      <c r="B580" s="144">
        <v>504.53440000000001</v>
      </c>
      <c r="C580" s="144">
        <f t="shared" ref="C580:C586" si="462">0.995*B580</f>
        <v>502.01172800000001</v>
      </c>
      <c r="D580" s="144">
        <f t="shared" si="461"/>
        <v>507.05707199999995</v>
      </c>
      <c r="E580" s="78">
        <f>4286.581/1800.553*100</f>
        <v>238.07024841812486</v>
      </c>
      <c r="F580" s="76">
        <v>4286.5810000000001</v>
      </c>
      <c r="G580" s="137"/>
      <c r="H580" s="78">
        <v>155.5453</v>
      </c>
      <c r="I580" s="78">
        <v>151.15770000000001</v>
      </c>
      <c r="J580" s="79">
        <f t="shared" si="450"/>
        <v>204.29208659933437</v>
      </c>
      <c r="K580" s="80">
        <v>1550084.52</v>
      </c>
      <c r="L580" s="81">
        <f t="shared" si="456"/>
        <v>782.07096324748807</v>
      </c>
      <c r="M580" s="65"/>
      <c r="N580" s="66"/>
      <c r="O580" s="27"/>
      <c r="P580" s="27"/>
      <c r="Q580" s="27"/>
      <c r="R580" s="27"/>
      <c r="S580" s="27"/>
      <c r="T580" s="27"/>
      <c r="U580" s="27"/>
      <c r="V580" s="27"/>
      <c r="W580" s="27"/>
      <c r="IH580" s="32"/>
      <c r="II580" s="32"/>
      <c r="IJ580" s="32"/>
      <c r="IK580" s="32"/>
      <c r="IL580" s="32"/>
      <c r="IM580" s="32"/>
    </row>
    <row r="581" spans="1:247" s="28" customFormat="1" ht="20.25" customHeight="1" x14ac:dyDescent="0.25">
      <c r="A581" s="75">
        <v>40534</v>
      </c>
      <c r="B581" s="144">
        <v>499.34070000000003</v>
      </c>
      <c r="C581" s="144">
        <f t="shared" si="462"/>
        <v>496.8439965</v>
      </c>
      <c r="D581" s="144">
        <f t="shared" si="461"/>
        <v>501.83740349999999</v>
      </c>
      <c r="E581" s="78">
        <f>4267.172/1800.553*100</f>
        <v>236.99230180949962</v>
      </c>
      <c r="F581" s="76">
        <v>4267.1719999999996</v>
      </c>
      <c r="G581" s="137"/>
      <c r="H581" s="78">
        <v>154.49799999999999</v>
      </c>
      <c r="I581" s="78">
        <v>151.1499</v>
      </c>
      <c r="J581" s="79">
        <f t="shared" si="450"/>
        <v>203.1415765871389</v>
      </c>
      <c r="K581" s="80">
        <v>1531851.94</v>
      </c>
      <c r="L581" s="81">
        <f t="shared" si="456"/>
        <v>764.91602001595811</v>
      </c>
      <c r="M581" s="65"/>
      <c r="N581" s="66"/>
      <c r="O581" s="27"/>
      <c r="P581" s="27"/>
      <c r="Q581" s="27"/>
      <c r="R581" s="27"/>
      <c r="S581" s="27"/>
      <c r="T581" s="27"/>
      <c r="U581" s="27"/>
      <c r="V581" s="27"/>
      <c r="W581" s="27"/>
      <c r="IH581" s="32"/>
      <c r="II581" s="32"/>
      <c r="IJ581" s="32"/>
      <c r="IK581" s="32"/>
      <c r="IL581" s="32"/>
      <c r="IM581" s="32"/>
    </row>
    <row r="582" spans="1:247" s="40" customFormat="1" ht="20.25" customHeight="1" x14ac:dyDescent="0.25">
      <c r="A582" s="75">
        <v>40527</v>
      </c>
      <c r="B582" s="144">
        <v>500.1832</v>
      </c>
      <c r="C582" s="144">
        <f t="shared" si="462"/>
        <v>497.68228399999998</v>
      </c>
      <c r="D582" s="144">
        <f t="shared" si="461"/>
        <v>502.68411599999996</v>
      </c>
      <c r="E582" s="78">
        <f>4219.012/1800.553*100</f>
        <v>234.31756799161144</v>
      </c>
      <c r="F582" s="76">
        <v>4219.0119999999997</v>
      </c>
      <c r="G582" s="137"/>
      <c r="H582" s="78">
        <v>154.79050000000001</v>
      </c>
      <c r="I582" s="78">
        <v>151.14169999999999</v>
      </c>
      <c r="J582" s="79">
        <f t="shared" si="450"/>
        <v>202.17866592206201</v>
      </c>
      <c r="K582" s="80">
        <v>1490506.05</v>
      </c>
      <c r="L582" s="81">
        <f t="shared" si="456"/>
        <v>745.52608570836003</v>
      </c>
      <c r="M582" s="63"/>
      <c r="N582" s="64"/>
      <c r="O582" s="39"/>
      <c r="P582" s="39"/>
      <c r="Q582" s="39"/>
      <c r="R582" s="39"/>
      <c r="S582" s="39"/>
      <c r="T582" s="39"/>
      <c r="U582" s="39"/>
      <c r="V582" s="39"/>
      <c r="W582" s="39"/>
      <c r="IH582" s="41"/>
      <c r="II582" s="41"/>
      <c r="IJ582" s="41"/>
      <c r="IK582" s="41"/>
      <c r="IL582" s="41"/>
      <c r="IM582" s="41"/>
    </row>
    <row r="583" spans="1:247" s="28" customFormat="1" ht="20.25" customHeight="1" x14ac:dyDescent="0.25">
      <c r="A583" s="75">
        <v>40520</v>
      </c>
      <c r="B583" s="76">
        <v>498.24</v>
      </c>
      <c r="C583" s="76">
        <f t="shared" si="462"/>
        <v>495.74880000000002</v>
      </c>
      <c r="D583" s="76">
        <f t="shared" si="461"/>
        <v>500.73119999999994</v>
      </c>
      <c r="E583" s="78">
        <f>4174.107/1800.553*100</f>
        <v>231.82361196810089</v>
      </c>
      <c r="F583" s="76">
        <v>4174.107</v>
      </c>
      <c r="G583" s="137"/>
      <c r="H583" s="78">
        <v>155.2362</v>
      </c>
      <c r="I583" s="78">
        <v>151.13300000000001</v>
      </c>
      <c r="J583" s="79">
        <f t="shared" si="450"/>
        <v>201.38451805736247</v>
      </c>
      <c r="K583" s="80">
        <v>1451902.05</v>
      </c>
      <c r="L583" s="81">
        <f t="shared" si="456"/>
        <v>723.39567739200004</v>
      </c>
      <c r="M583" s="65"/>
      <c r="N583" s="66"/>
      <c r="O583" s="27"/>
      <c r="P583" s="27"/>
      <c r="Q583" s="27"/>
      <c r="R583" s="27"/>
      <c r="S583" s="27"/>
      <c r="T583" s="27"/>
      <c r="U583" s="27"/>
      <c r="V583" s="27"/>
      <c r="W583" s="27"/>
      <c r="IH583" s="32"/>
      <c r="II583" s="32"/>
      <c r="IJ583" s="32"/>
      <c r="IK583" s="32"/>
      <c r="IL583" s="32"/>
      <c r="IM583" s="32"/>
    </row>
    <row r="584" spans="1:247" s="28" customFormat="1" ht="20.25" customHeight="1" x14ac:dyDescent="0.25">
      <c r="A584" s="75">
        <v>40513</v>
      </c>
      <c r="B584" s="76">
        <v>497.05</v>
      </c>
      <c r="C584" s="76">
        <f t="shared" si="462"/>
        <v>494.56475</v>
      </c>
      <c r="D584" s="76">
        <f t="shared" si="461"/>
        <v>499.53524999999996</v>
      </c>
      <c r="E584" s="78">
        <f>4072.977/1800.553*100</f>
        <v>226.20700418149312</v>
      </c>
      <c r="F584" s="76">
        <v>4072.9769999999999</v>
      </c>
      <c r="G584" s="137"/>
      <c r="H584" s="78">
        <v>154.643</v>
      </c>
      <c r="I584" s="78">
        <v>151.12430000000001</v>
      </c>
      <c r="J584" s="79">
        <f t="shared" si="450"/>
        <v>198.53891575517883</v>
      </c>
      <c r="K584" s="80">
        <v>1447405.79</v>
      </c>
      <c r="L584" s="81">
        <f t="shared" si="456"/>
        <v>719.43304791950004</v>
      </c>
      <c r="M584" s="65"/>
      <c r="N584" s="66"/>
      <c r="O584" s="27"/>
      <c r="P584" s="27"/>
      <c r="Q584" s="27"/>
      <c r="R584" s="27"/>
      <c r="S584" s="27"/>
      <c r="T584" s="27"/>
      <c r="U584" s="27"/>
      <c r="V584" s="27"/>
      <c r="W584" s="27"/>
      <c r="IH584" s="32"/>
      <c r="II584" s="32"/>
      <c r="IJ584" s="32"/>
      <c r="IK584" s="32"/>
      <c r="IL584" s="32"/>
      <c r="IM584" s="32"/>
    </row>
    <row r="585" spans="1:247" s="40" customFormat="1" ht="20.25" customHeight="1" x14ac:dyDescent="0.25">
      <c r="A585" s="75">
        <v>40506</v>
      </c>
      <c r="B585" s="76">
        <v>498.04</v>
      </c>
      <c r="C585" s="76">
        <f t="shared" si="462"/>
        <v>495.5498</v>
      </c>
      <c r="D585" s="76">
        <f t="shared" ref="D585:D590" si="463">1.005*B585</f>
        <v>500.53019999999998</v>
      </c>
      <c r="E585" s="78">
        <f>4088.594/1800.553*100</f>
        <v>227.07434882505541</v>
      </c>
      <c r="F585" s="76">
        <v>4088.5940000000001</v>
      </c>
      <c r="G585" s="137"/>
      <c r="H585" s="78">
        <v>155.53710000000001</v>
      </c>
      <c r="I585" s="78">
        <v>151.11539999999999</v>
      </c>
      <c r="J585" s="79">
        <f t="shared" si="450"/>
        <v>199.49330350926658</v>
      </c>
      <c r="K585" s="80">
        <v>1442084.92</v>
      </c>
      <c r="L585" s="81">
        <f t="shared" si="456"/>
        <v>718.21597355680001</v>
      </c>
      <c r="M585" s="63"/>
      <c r="N585" s="64"/>
      <c r="O585" s="39"/>
      <c r="P585" s="39"/>
      <c r="Q585" s="39"/>
      <c r="R585" s="39"/>
      <c r="S585" s="39"/>
      <c r="T585" s="39"/>
      <c r="U585" s="39"/>
      <c r="V585" s="39"/>
      <c r="W585" s="39"/>
      <c r="IH585" s="41"/>
      <c r="II585" s="41"/>
      <c r="IJ585" s="41"/>
      <c r="IK585" s="41"/>
      <c r="IL585" s="41"/>
      <c r="IM585" s="41"/>
    </row>
    <row r="586" spans="1:247" s="40" customFormat="1" ht="20.25" customHeight="1" x14ac:dyDescent="0.25">
      <c r="A586" s="75">
        <v>40499</v>
      </c>
      <c r="B586" s="76">
        <v>495.84</v>
      </c>
      <c r="C586" s="76">
        <f t="shared" si="462"/>
        <v>493.36079999999998</v>
      </c>
      <c r="D586" s="76">
        <f t="shared" si="463"/>
        <v>498.31919999999991</v>
      </c>
      <c r="E586" s="78">
        <f>4063.185/1800.553*100</f>
        <v>225.66317125905204</v>
      </c>
      <c r="F586" s="76">
        <v>4063.1849999999999</v>
      </c>
      <c r="G586" s="137"/>
      <c r="H586" s="78">
        <v>156.316</v>
      </c>
      <c r="I586" s="78">
        <v>151.1062</v>
      </c>
      <c r="J586" s="79">
        <f t="shared" si="450"/>
        <v>199.36664454383697</v>
      </c>
      <c r="K586" s="80">
        <v>1440377.81</v>
      </c>
      <c r="L586" s="81">
        <f t="shared" si="456"/>
        <v>714.19693331040003</v>
      </c>
      <c r="M586" s="63"/>
      <c r="N586" s="64"/>
      <c r="O586" s="39"/>
      <c r="P586" s="39"/>
      <c r="Q586" s="39"/>
      <c r="R586" s="39"/>
      <c r="S586" s="39"/>
      <c r="T586" s="39"/>
      <c r="U586" s="39"/>
      <c r="V586" s="39"/>
      <c r="W586" s="39"/>
      <c r="IH586" s="41"/>
      <c r="II586" s="41"/>
      <c r="IJ586" s="41"/>
      <c r="IK586" s="41"/>
      <c r="IL586" s="41"/>
      <c r="IM586" s="41"/>
    </row>
    <row r="587" spans="1:247" s="28" customFormat="1" ht="20.25" customHeight="1" x14ac:dyDescent="0.25">
      <c r="A587" s="75">
        <v>40492</v>
      </c>
      <c r="B587" s="76">
        <v>503.47</v>
      </c>
      <c r="C587" s="76">
        <f t="shared" ref="C587:C593" si="464">0.995*B587</f>
        <v>500.95265000000001</v>
      </c>
      <c r="D587" s="76">
        <f t="shared" si="463"/>
        <v>505.98734999999999</v>
      </c>
      <c r="E587" s="78">
        <f>4179.936/1800.553*100</f>
        <v>232.1473458431937</v>
      </c>
      <c r="F587" s="76">
        <v>4179.9359999999997</v>
      </c>
      <c r="G587" s="137"/>
      <c r="H587" s="78">
        <v>157.50200000000001</v>
      </c>
      <c r="I587" s="78">
        <v>151.0968</v>
      </c>
      <c r="J587" s="79">
        <f t="shared" si="450"/>
        <v>202.96535753863685</v>
      </c>
      <c r="K587" s="80">
        <v>1417599.74</v>
      </c>
      <c r="L587" s="81">
        <f t="shared" si="456"/>
        <v>713.71894109779998</v>
      </c>
      <c r="M587" s="65"/>
      <c r="N587" s="66"/>
      <c r="O587" s="27"/>
      <c r="P587" s="27"/>
      <c r="Q587" s="27"/>
      <c r="R587" s="27"/>
      <c r="S587" s="27"/>
      <c r="T587" s="27"/>
      <c r="U587" s="27"/>
      <c r="V587" s="27"/>
      <c r="W587" s="27"/>
      <c r="IH587" s="32"/>
      <c r="II587" s="32"/>
      <c r="IJ587" s="32"/>
      <c r="IK587" s="32"/>
      <c r="IL587" s="32"/>
      <c r="IM587" s="32"/>
    </row>
    <row r="588" spans="1:247" s="28" customFormat="1" ht="20.25" customHeight="1" x14ac:dyDescent="0.25">
      <c r="A588" s="75">
        <v>40485</v>
      </c>
      <c r="B588" s="76">
        <v>497.81</v>
      </c>
      <c r="C588" s="76">
        <f t="shared" si="464"/>
        <v>495.32094999999998</v>
      </c>
      <c r="D588" s="76">
        <f t="shared" si="463"/>
        <v>500.29904999999997</v>
      </c>
      <c r="E588" s="78">
        <f>4121.209/1800.553*100</f>
        <v>228.88573677086984</v>
      </c>
      <c r="F588" s="76">
        <v>4121.2089999999998</v>
      </c>
      <c r="G588" s="137"/>
      <c r="H588" s="78">
        <v>158.79310000000001</v>
      </c>
      <c r="I588" s="78">
        <v>151.08709999999999</v>
      </c>
      <c r="J588" s="79">
        <f t="shared" si="450"/>
        <v>202.34625502292781</v>
      </c>
      <c r="K588" s="80">
        <v>1414465.55</v>
      </c>
      <c r="L588" s="81">
        <f t="shared" si="456"/>
        <v>704.13509544550004</v>
      </c>
      <c r="M588" s="65"/>
      <c r="N588" s="66"/>
      <c r="O588" s="27"/>
      <c r="P588" s="27"/>
      <c r="Q588" s="27"/>
      <c r="R588" s="27"/>
      <c r="S588" s="27"/>
      <c r="T588" s="27"/>
      <c r="U588" s="27"/>
      <c r="V588" s="27"/>
      <c r="W588" s="27"/>
      <c r="IH588" s="32"/>
      <c r="II588" s="32"/>
      <c r="IJ588" s="32"/>
      <c r="IK588" s="32"/>
      <c r="IL588" s="32"/>
      <c r="IM588" s="32"/>
    </row>
    <row r="589" spans="1:247" s="28" customFormat="1" ht="20.25" customHeight="1" x14ac:dyDescent="0.25">
      <c r="A589" s="75">
        <v>40478</v>
      </c>
      <c r="B589" s="76">
        <v>492.45</v>
      </c>
      <c r="C589" s="76">
        <f t="shared" si="464"/>
        <v>489.98775000000001</v>
      </c>
      <c r="D589" s="76">
        <f t="shared" si="463"/>
        <v>494.91224999999991</v>
      </c>
      <c r="E589" s="78">
        <f>4053.019/1800.553*100</f>
        <v>225.09856694026777</v>
      </c>
      <c r="F589" s="76">
        <v>4053.0189999999998</v>
      </c>
      <c r="G589" s="137"/>
      <c r="H589" s="78">
        <v>157.22290000000001</v>
      </c>
      <c r="I589" s="78">
        <v>151.07769999999999</v>
      </c>
      <c r="J589" s="79">
        <f t="shared" si="450"/>
        <v>199.66952625886816</v>
      </c>
      <c r="K589" s="80">
        <v>1399745.36</v>
      </c>
      <c r="L589" s="81">
        <f t="shared" si="456"/>
        <v>689.3046025320001</v>
      </c>
      <c r="M589" s="65"/>
      <c r="N589" s="66"/>
      <c r="O589" s="27"/>
      <c r="P589" s="27"/>
      <c r="Q589" s="27"/>
      <c r="R589" s="27"/>
      <c r="S589" s="27"/>
      <c r="T589" s="27"/>
      <c r="U589" s="27"/>
      <c r="V589" s="27"/>
      <c r="W589" s="27"/>
      <c r="IH589" s="32"/>
      <c r="II589" s="32"/>
      <c r="IJ589" s="32"/>
      <c r="IK589" s="32"/>
      <c r="IL589" s="32"/>
      <c r="IM589" s="32"/>
    </row>
    <row r="590" spans="1:247" s="28" customFormat="1" ht="20.25" customHeight="1" x14ac:dyDescent="0.25">
      <c r="A590" s="75">
        <v>40471</v>
      </c>
      <c r="B590" s="76">
        <v>494.13</v>
      </c>
      <c r="C590" s="76">
        <f t="shared" si="464"/>
        <v>491.65935000000002</v>
      </c>
      <c r="D590" s="76">
        <f t="shared" si="463"/>
        <v>496.60064999999992</v>
      </c>
      <c r="E590" s="78">
        <f>4078.737/1800.553*100</f>
        <v>226.52690590057608</v>
      </c>
      <c r="F590" s="76">
        <v>4078.7370000000001</v>
      </c>
      <c r="G590" s="137"/>
      <c r="H590" s="78">
        <v>158.0385</v>
      </c>
      <c r="I590" s="78">
        <v>151.06800000000001</v>
      </c>
      <c r="J590" s="79">
        <f t="shared" si="450"/>
        <v>200.82084734339807</v>
      </c>
      <c r="K590" s="80">
        <v>1389322.61</v>
      </c>
      <c r="L590" s="81">
        <f t="shared" si="456"/>
        <v>686.50598127930004</v>
      </c>
      <c r="M590" s="65"/>
      <c r="N590" s="66"/>
      <c r="O590" s="27"/>
      <c r="P590" s="27"/>
      <c r="Q590" s="27"/>
      <c r="R590" s="27"/>
      <c r="S590" s="27"/>
      <c r="T590" s="27"/>
      <c r="U590" s="27"/>
      <c r="V590" s="27"/>
      <c r="W590" s="27"/>
      <c r="IH590" s="32"/>
      <c r="II590" s="32"/>
      <c r="IJ590" s="32"/>
      <c r="IK590" s="32"/>
      <c r="IL590" s="32"/>
      <c r="IM590" s="32"/>
    </row>
    <row r="591" spans="1:247" s="28" customFormat="1" ht="20.25" customHeight="1" x14ac:dyDescent="0.25">
      <c r="A591" s="75">
        <v>40464</v>
      </c>
      <c r="B591" s="76">
        <v>497.63</v>
      </c>
      <c r="C591" s="76">
        <f t="shared" si="464"/>
        <v>495.14184999999998</v>
      </c>
      <c r="D591" s="76">
        <f t="shared" ref="D591:D596" si="465">1.005*B591</f>
        <v>500.11814999999996</v>
      </c>
      <c r="E591" s="78">
        <f>4078.652/1800.553*100</f>
        <v>226.52218512867992</v>
      </c>
      <c r="F591" s="76">
        <v>4078.652</v>
      </c>
      <c r="G591" s="137"/>
      <c r="H591" s="78">
        <v>157.85759999999999</v>
      </c>
      <c r="I591" s="78">
        <v>151.05850000000001</v>
      </c>
      <c r="J591" s="79">
        <f t="shared" si="450"/>
        <v>200.7037557937557</v>
      </c>
      <c r="K591" s="80">
        <v>1372532.06</v>
      </c>
      <c r="L591" s="81">
        <f t="shared" si="456"/>
        <v>683.0131290178</v>
      </c>
      <c r="M591" s="65"/>
      <c r="N591" s="66"/>
      <c r="O591" s="27"/>
      <c r="P591" s="27"/>
      <c r="Q591" s="27"/>
      <c r="R591" s="27"/>
      <c r="S591" s="27"/>
      <c r="T591" s="27"/>
      <c r="U591" s="27"/>
      <c r="V591" s="27"/>
      <c r="W591" s="27"/>
      <c r="IH591" s="32"/>
      <c r="II591" s="32"/>
      <c r="IJ591" s="32"/>
      <c r="IK591" s="32"/>
      <c r="IL591" s="32"/>
      <c r="IM591" s="32"/>
    </row>
    <row r="592" spans="1:247" s="28" customFormat="1" ht="20.25" customHeight="1" x14ac:dyDescent="0.25">
      <c r="A592" s="75">
        <v>40457</v>
      </c>
      <c r="B592" s="76">
        <v>494.34</v>
      </c>
      <c r="C592" s="76">
        <f t="shared" si="464"/>
        <v>491.86829999999998</v>
      </c>
      <c r="D592" s="76">
        <f t="shared" si="465"/>
        <v>496.81169999999992</v>
      </c>
      <c r="E592" s="78">
        <f>4022.237/1800.553*100</f>
        <v>223.38898105193238</v>
      </c>
      <c r="F592" s="76">
        <v>4022.2370000000001</v>
      </c>
      <c r="G592" s="137"/>
      <c r="H592" s="78">
        <v>157.42939999999999</v>
      </c>
      <c r="I592" s="78">
        <v>151.0498</v>
      </c>
      <c r="J592" s="79">
        <f t="shared" si="450"/>
        <v>199.03724415830749</v>
      </c>
      <c r="K592" s="80">
        <v>1376448.62</v>
      </c>
      <c r="L592" s="81">
        <f t="shared" si="456"/>
        <v>680.43361081080002</v>
      </c>
      <c r="M592" s="65"/>
      <c r="N592" s="66"/>
      <c r="O592" s="27"/>
      <c r="P592" s="27"/>
      <c r="Q592" s="27"/>
      <c r="R592" s="27"/>
      <c r="S592" s="27"/>
      <c r="T592" s="27"/>
      <c r="U592" s="27"/>
      <c r="V592" s="27"/>
      <c r="W592" s="27"/>
      <c r="IH592" s="32"/>
      <c r="II592" s="32"/>
      <c r="IJ592" s="32"/>
      <c r="IK592" s="32"/>
      <c r="IL592" s="32"/>
      <c r="IM592" s="32"/>
    </row>
    <row r="593" spans="1:247" s="28" customFormat="1" ht="20.25" customHeight="1" x14ac:dyDescent="0.25">
      <c r="A593" s="75">
        <v>40450</v>
      </c>
      <c r="B593" s="76">
        <v>489.49</v>
      </c>
      <c r="C593" s="76">
        <f t="shared" si="464"/>
        <v>487.04255000000001</v>
      </c>
      <c r="D593" s="76">
        <f t="shared" si="465"/>
        <v>491.93744999999996</v>
      </c>
      <c r="E593" s="78">
        <f>3949.484/1800.553*100</f>
        <v>219.34838907824431</v>
      </c>
      <c r="F593" s="76">
        <v>3949.4839999999999</v>
      </c>
      <c r="G593" s="137"/>
      <c r="H593" s="78">
        <v>156.22999999999999</v>
      </c>
      <c r="I593" s="78">
        <v>151.04169999999999</v>
      </c>
      <c r="J593" s="79">
        <f t="shared" si="450"/>
        <v>196.47345903821656</v>
      </c>
      <c r="K593" s="80">
        <v>1375046.55</v>
      </c>
      <c r="L593" s="81">
        <f t="shared" si="456"/>
        <v>673.07153575950008</v>
      </c>
      <c r="M593" s="65"/>
      <c r="N593" s="66"/>
      <c r="O593" s="27"/>
      <c r="P593" s="27"/>
      <c r="Q593" s="27"/>
      <c r="R593" s="27"/>
      <c r="S593" s="27"/>
      <c r="T593" s="27"/>
      <c r="U593" s="27"/>
      <c r="V593" s="27"/>
      <c r="W593" s="27"/>
      <c r="IH593" s="32"/>
      <c r="II593" s="32"/>
      <c r="IJ593" s="32"/>
      <c r="IK593" s="32"/>
      <c r="IL593" s="32"/>
      <c r="IM593" s="32"/>
    </row>
    <row r="594" spans="1:247" s="28" customFormat="1" ht="20.25" customHeight="1" x14ac:dyDescent="0.25">
      <c r="A594" s="75">
        <v>40443</v>
      </c>
      <c r="B594" s="76">
        <v>485.01</v>
      </c>
      <c r="C594" s="76">
        <f t="shared" ref="C594:C600" si="466">0.995*B594</f>
        <v>482.58494999999999</v>
      </c>
      <c r="D594" s="76">
        <f t="shared" si="465"/>
        <v>487.43504999999993</v>
      </c>
      <c r="E594" s="78">
        <f>3900.627/1800.553*100</f>
        <v>216.63494493080736</v>
      </c>
      <c r="F594" s="76">
        <v>3900.627</v>
      </c>
      <c r="G594" s="137"/>
      <c r="H594" s="78">
        <v>155.2439</v>
      </c>
      <c r="I594" s="78">
        <v>151.03360000000001</v>
      </c>
      <c r="J594" s="79">
        <f t="shared" si="450"/>
        <v>194.63634857527603</v>
      </c>
      <c r="K594" s="80">
        <v>1369965.5</v>
      </c>
      <c r="L594" s="81">
        <f t="shared" si="456"/>
        <v>664.44696715499992</v>
      </c>
      <c r="M594" s="65"/>
      <c r="N594" s="66"/>
      <c r="O594" s="27"/>
      <c r="P594" s="27"/>
      <c r="Q594" s="27"/>
      <c r="R594" s="27"/>
      <c r="S594" s="27"/>
      <c r="T594" s="27"/>
      <c r="U594" s="27"/>
      <c r="V594" s="27"/>
      <c r="W594" s="27"/>
      <c r="IH594" s="32"/>
      <c r="II594" s="32"/>
      <c r="IJ594" s="32"/>
      <c r="IK594" s="32"/>
      <c r="IL594" s="32"/>
      <c r="IM594" s="32"/>
    </row>
    <row r="595" spans="1:247" s="28" customFormat="1" ht="20.25" customHeight="1" x14ac:dyDescent="0.25">
      <c r="A595" s="75">
        <v>40436</v>
      </c>
      <c r="B595" s="76">
        <v>480.82</v>
      </c>
      <c r="C595" s="76">
        <f t="shared" si="466"/>
        <v>478.41589999999997</v>
      </c>
      <c r="D595" s="76">
        <f t="shared" si="465"/>
        <v>483.22409999999996</v>
      </c>
      <c r="E595" s="78">
        <f>3861.698/1800.553*100</f>
        <v>214.4728869408454</v>
      </c>
      <c r="F595" s="76">
        <v>3861.6979999999999</v>
      </c>
      <c r="G595" s="137"/>
      <c r="H595" s="78">
        <v>153.69130000000001</v>
      </c>
      <c r="I595" s="78">
        <v>151.02690000000001</v>
      </c>
      <c r="J595" s="79">
        <f t="shared" si="450"/>
        <v>192.6918119792295</v>
      </c>
      <c r="K595" s="80">
        <v>1359538.83</v>
      </c>
      <c r="L595" s="81">
        <f t="shared" si="456"/>
        <v>653.69346024059996</v>
      </c>
      <c r="M595" s="65"/>
      <c r="N595" s="66"/>
      <c r="O595" s="27"/>
      <c r="P595" s="27"/>
      <c r="Q595" s="27"/>
      <c r="R595" s="27"/>
      <c r="S595" s="27"/>
      <c r="T595" s="27"/>
      <c r="U595" s="27"/>
      <c r="V595" s="27"/>
      <c r="W595" s="27"/>
      <c r="IH595" s="32"/>
      <c r="II595" s="32"/>
      <c r="IJ595" s="32"/>
      <c r="IK595" s="32"/>
      <c r="IL595" s="32"/>
      <c r="IM595" s="32"/>
    </row>
    <row r="596" spans="1:247" s="28" customFormat="1" ht="20.25" customHeight="1" x14ac:dyDescent="0.25">
      <c r="A596" s="75">
        <v>40429</v>
      </c>
      <c r="B596" s="76">
        <v>477.62</v>
      </c>
      <c r="C596" s="76">
        <f t="shared" si="466"/>
        <v>475.2319</v>
      </c>
      <c r="D596" s="76">
        <f t="shared" si="465"/>
        <v>480.00809999999996</v>
      </c>
      <c r="E596" s="78">
        <f>3758.545/1800.553*100</f>
        <v>208.7439247831083</v>
      </c>
      <c r="F596" s="76">
        <v>3758.5450000000001</v>
      </c>
      <c r="G596" s="137"/>
      <c r="H596" s="78">
        <v>153.15369999999999</v>
      </c>
      <c r="I596" s="78">
        <v>151.0181</v>
      </c>
      <c r="J596" s="79">
        <f t="shared" si="450"/>
        <v>189.75486884726593</v>
      </c>
      <c r="K596" s="80">
        <v>1342724.74</v>
      </c>
      <c r="L596" s="81">
        <f t="shared" si="456"/>
        <v>641.31219031879994</v>
      </c>
      <c r="M596" s="65"/>
      <c r="N596" s="66"/>
      <c r="O596" s="27"/>
      <c r="P596" s="27"/>
      <c r="Q596" s="27"/>
      <c r="R596" s="27"/>
      <c r="S596" s="27"/>
      <c r="T596" s="27"/>
      <c r="U596" s="27"/>
      <c r="V596" s="27"/>
      <c r="W596" s="27"/>
      <c r="IH596" s="32"/>
      <c r="II596" s="32"/>
      <c r="IJ596" s="32"/>
      <c r="IK596" s="32"/>
      <c r="IL596" s="32"/>
      <c r="IM596" s="32"/>
    </row>
    <row r="597" spans="1:247" s="28" customFormat="1" ht="20.25" customHeight="1" x14ac:dyDescent="0.25">
      <c r="A597" s="75">
        <v>40422</v>
      </c>
      <c r="B597" s="76">
        <v>474.13</v>
      </c>
      <c r="C597" s="76">
        <f t="shared" si="466"/>
        <v>471.75934999999998</v>
      </c>
      <c r="D597" s="76">
        <f t="shared" ref="D597:D602" si="467">1.005*B597</f>
        <v>476.50064999999995</v>
      </c>
      <c r="E597" s="78">
        <f>3699.876/1800.553*100</f>
        <v>205.48553694337238</v>
      </c>
      <c r="F597" s="76">
        <v>3699.8760000000002</v>
      </c>
      <c r="G597" s="137"/>
      <c r="H597" s="78">
        <v>153.2433</v>
      </c>
      <c r="I597" s="78">
        <v>151.011</v>
      </c>
      <c r="J597" s="79">
        <f t="shared" si="450"/>
        <v>188.3168506079318</v>
      </c>
      <c r="K597" s="80">
        <v>1340191.1100000001</v>
      </c>
      <c r="L597" s="81">
        <f t="shared" si="456"/>
        <v>635.42481098430005</v>
      </c>
      <c r="M597" s="65"/>
      <c r="N597" s="66"/>
      <c r="O597" s="27"/>
      <c r="P597" s="27"/>
      <c r="Q597" s="27"/>
      <c r="R597" s="27"/>
      <c r="S597" s="27"/>
      <c r="T597" s="27"/>
      <c r="U597" s="27"/>
      <c r="V597" s="27"/>
      <c r="W597" s="27"/>
      <c r="IH597" s="32"/>
      <c r="II597" s="32"/>
      <c r="IJ597" s="32"/>
      <c r="IK597" s="32"/>
      <c r="IL597" s="32"/>
      <c r="IM597" s="32"/>
    </row>
    <row r="598" spans="1:247" s="28" customFormat="1" ht="20.25" customHeight="1" x14ac:dyDescent="0.25">
      <c r="A598" s="75">
        <v>40415</v>
      </c>
      <c r="B598" s="76">
        <v>474.19</v>
      </c>
      <c r="C598" s="76">
        <f t="shared" si="466"/>
        <v>471.81905</v>
      </c>
      <c r="D598" s="76">
        <f t="shared" si="467"/>
        <v>476.56094999999993</v>
      </c>
      <c r="E598" s="78">
        <f>3572.458/1800.553*100</f>
        <v>198.40893325550539</v>
      </c>
      <c r="F598" s="76">
        <v>3572.4580000000001</v>
      </c>
      <c r="G598" s="137"/>
      <c r="H598" s="78">
        <v>152.75149999999999</v>
      </c>
      <c r="I598" s="78">
        <v>151.00360000000001</v>
      </c>
      <c r="J598" s="79">
        <f t="shared" si="450"/>
        <v>184.7252044923622</v>
      </c>
      <c r="K598" s="80">
        <v>1337708.76</v>
      </c>
      <c r="L598" s="81">
        <f t="shared" si="456"/>
        <v>634.32811690439996</v>
      </c>
      <c r="M598" s="65"/>
      <c r="N598" s="66"/>
      <c r="O598" s="27"/>
      <c r="P598" s="27"/>
      <c r="Q598" s="27"/>
      <c r="R598" s="27"/>
      <c r="S598" s="27"/>
      <c r="T598" s="27"/>
      <c r="U598" s="27"/>
      <c r="V598" s="27"/>
      <c r="W598" s="27"/>
      <c r="IH598" s="32"/>
      <c r="II598" s="32"/>
      <c r="IJ598" s="32"/>
      <c r="IK598" s="32"/>
      <c r="IL598" s="32"/>
      <c r="IM598" s="32"/>
    </row>
    <row r="599" spans="1:247" s="40" customFormat="1" ht="20.25" customHeight="1" x14ac:dyDescent="0.25">
      <c r="A599" s="75">
        <v>40408</v>
      </c>
      <c r="B599" s="76">
        <v>473.35</v>
      </c>
      <c r="C599" s="76">
        <f t="shared" si="466"/>
        <v>470.98325</v>
      </c>
      <c r="D599" s="76">
        <f t="shared" si="467"/>
        <v>475.71674999999999</v>
      </c>
      <c r="E599" s="78">
        <f>3723.974/1800.553*100</f>
        <v>206.82390354518861</v>
      </c>
      <c r="F599" s="76">
        <v>3723.9740000000002</v>
      </c>
      <c r="G599" s="137"/>
      <c r="H599" s="78">
        <v>153.21420000000001</v>
      </c>
      <c r="I599" s="78">
        <v>150.99629999999999</v>
      </c>
      <c r="J599" s="79">
        <f t="shared" si="450"/>
        <v>188.85224914917436</v>
      </c>
      <c r="K599" s="80">
        <v>1337393.2</v>
      </c>
      <c r="L599" s="81">
        <f t="shared" si="456"/>
        <v>633.05507122000006</v>
      </c>
      <c r="M599" s="63"/>
      <c r="N599" s="64"/>
      <c r="O599" s="39"/>
      <c r="P599" s="39"/>
      <c r="Q599" s="39"/>
      <c r="R599" s="39"/>
      <c r="S599" s="39"/>
      <c r="T599" s="39"/>
      <c r="U599" s="39"/>
      <c r="V599" s="39"/>
      <c r="W599" s="39"/>
      <c r="IH599" s="41"/>
      <c r="II599" s="41"/>
      <c r="IJ599" s="41"/>
      <c r="IK599" s="41"/>
      <c r="IL599" s="41"/>
      <c r="IM599" s="41"/>
    </row>
    <row r="600" spans="1:247" s="40" customFormat="1" ht="20.25" customHeight="1" x14ac:dyDescent="0.25">
      <c r="A600" s="75">
        <v>40401</v>
      </c>
      <c r="B600" s="76">
        <v>469.51</v>
      </c>
      <c r="C600" s="76">
        <f t="shared" si="466"/>
        <v>467.16244999999998</v>
      </c>
      <c r="D600" s="76">
        <f t="shared" si="467"/>
        <v>471.85754999999995</v>
      </c>
      <c r="E600" s="78">
        <f>3698.884/1800.553*100</f>
        <v>205.43044275841922</v>
      </c>
      <c r="F600" s="76">
        <v>3698.884</v>
      </c>
      <c r="G600" s="137"/>
      <c r="H600" s="78">
        <v>153.33519999999999</v>
      </c>
      <c r="I600" s="78">
        <v>150.9889</v>
      </c>
      <c r="J600" s="79">
        <f t="shared" si="450"/>
        <v>188.28794958145616</v>
      </c>
      <c r="K600" s="80">
        <v>1336525.31</v>
      </c>
      <c r="L600" s="81">
        <f t="shared" si="456"/>
        <v>627.51199829810002</v>
      </c>
      <c r="M600" s="63"/>
      <c r="N600" s="64"/>
      <c r="O600" s="39"/>
      <c r="P600" s="39"/>
      <c r="Q600" s="39"/>
      <c r="R600" s="39"/>
      <c r="S600" s="39"/>
      <c r="T600" s="39"/>
      <c r="U600" s="39"/>
      <c r="V600" s="39"/>
      <c r="W600" s="39"/>
      <c r="IH600" s="41"/>
      <c r="II600" s="41"/>
      <c r="IJ600" s="41"/>
      <c r="IK600" s="41"/>
      <c r="IL600" s="41"/>
      <c r="IM600" s="41"/>
    </row>
    <row r="601" spans="1:247" s="40" customFormat="1" ht="20.25" customHeight="1" x14ac:dyDescent="0.25">
      <c r="A601" s="75">
        <v>40394</v>
      </c>
      <c r="B601" s="76">
        <v>469.58</v>
      </c>
      <c r="C601" s="76">
        <f t="shared" ref="C601:C607" si="468">0.995*B601</f>
        <v>467.2321</v>
      </c>
      <c r="D601" s="76">
        <f t="shared" si="467"/>
        <v>471.92789999999991</v>
      </c>
      <c r="E601" s="78">
        <f>3828.608/1800.553*100</f>
        <v>212.6351182109052</v>
      </c>
      <c r="F601" s="76">
        <v>3828.6080000000002</v>
      </c>
      <c r="G601" s="137"/>
      <c r="H601" s="78">
        <v>154.1601</v>
      </c>
      <c r="I601" s="78">
        <v>150.9813</v>
      </c>
      <c r="J601" s="79">
        <f t="shared" si="450"/>
        <v>192.05547703153564</v>
      </c>
      <c r="K601" s="80">
        <v>1333788.8500000001</v>
      </c>
      <c r="L601" s="81">
        <f t="shared" si="456"/>
        <v>626.32056818299998</v>
      </c>
      <c r="M601" s="63"/>
      <c r="N601" s="64"/>
      <c r="O601" s="39"/>
      <c r="P601" s="39"/>
      <c r="Q601" s="39"/>
      <c r="R601" s="39"/>
      <c r="S601" s="39"/>
      <c r="T601" s="39"/>
      <c r="U601" s="39"/>
      <c r="V601" s="39"/>
      <c r="W601" s="39"/>
      <c r="IH601" s="41"/>
      <c r="II601" s="41"/>
      <c r="IJ601" s="41"/>
      <c r="IK601" s="41"/>
      <c r="IL601" s="41"/>
      <c r="IM601" s="41"/>
    </row>
    <row r="602" spans="1:247" s="3" customFormat="1" ht="20.25" customHeight="1" x14ac:dyDescent="0.25">
      <c r="A602" s="75">
        <v>40387</v>
      </c>
      <c r="B602" s="76">
        <v>466.38</v>
      </c>
      <c r="C602" s="76">
        <f t="shared" si="468"/>
        <v>464.04809999999998</v>
      </c>
      <c r="D602" s="76">
        <f t="shared" si="467"/>
        <v>468.71189999999996</v>
      </c>
      <c r="E602" s="78">
        <f>3749.155/1800.553*100</f>
        <v>208.22241833481158</v>
      </c>
      <c r="F602" s="76">
        <v>3749.1550000000002</v>
      </c>
      <c r="G602" s="137"/>
      <c r="H602" s="78">
        <v>153.0676</v>
      </c>
      <c r="I602" s="78">
        <v>150.9736</v>
      </c>
      <c r="J602" s="79">
        <f t="shared" si="450"/>
        <v>189.37304465331016</v>
      </c>
      <c r="K602" s="80">
        <v>1334165.3899999999</v>
      </c>
      <c r="L602" s="81">
        <f t="shared" si="456"/>
        <v>622.22805458819994</v>
      </c>
      <c r="M602" s="63"/>
      <c r="N602" s="64"/>
      <c r="O602" s="27"/>
      <c r="P602" s="27"/>
      <c r="Q602" s="27"/>
      <c r="R602" s="27"/>
      <c r="S602" s="27"/>
      <c r="T602" s="27"/>
      <c r="U602" s="27"/>
      <c r="V602" s="27"/>
      <c r="W602" s="27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  <c r="BN602" s="28"/>
      <c r="BO602" s="28"/>
      <c r="BP602" s="28"/>
      <c r="BQ602" s="28"/>
      <c r="BR602" s="28"/>
      <c r="BS602" s="28"/>
      <c r="BT602" s="28"/>
      <c r="BU602" s="28"/>
      <c r="BV602" s="28"/>
      <c r="BW602" s="28"/>
      <c r="BX602" s="28"/>
      <c r="BY602" s="28"/>
      <c r="BZ602" s="28"/>
      <c r="CA602" s="28"/>
      <c r="CB602" s="28"/>
      <c r="CC602" s="28"/>
      <c r="CD602" s="28"/>
      <c r="CE602" s="28"/>
      <c r="CF602" s="28"/>
      <c r="CG602" s="28"/>
      <c r="CH602" s="28"/>
      <c r="CI602" s="28"/>
      <c r="CJ602" s="28"/>
      <c r="CK602" s="28"/>
      <c r="CL602" s="28"/>
      <c r="CM602" s="28"/>
      <c r="CN602" s="28"/>
      <c r="CO602" s="28"/>
      <c r="CP602" s="28"/>
      <c r="CQ602" s="28"/>
      <c r="CR602" s="28"/>
      <c r="CS602" s="28"/>
      <c r="CT602" s="28"/>
      <c r="CU602" s="28"/>
      <c r="CV602" s="28"/>
      <c r="CW602" s="28"/>
      <c r="CX602" s="28"/>
      <c r="CY602" s="28"/>
      <c r="CZ602" s="28"/>
      <c r="DA602" s="28"/>
      <c r="DB602" s="28"/>
      <c r="DC602" s="28"/>
      <c r="DD602" s="28"/>
      <c r="DE602" s="28"/>
      <c r="DF602" s="28"/>
      <c r="DG602" s="28"/>
      <c r="DH602" s="28"/>
      <c r="DI602" s="28"/>
      <c r="DJ602" s="28"/>
      <c r="DK602" s="28"/>
      <c r="DL602" s="28"/>
      <c r="DM602" s="28"/>
      <c r="IH602"/>
      <c r="II602"/>
      <c r="IJ602"/>
      <c r="IK602"/>
      <c r="IL602"/>
      <c r="IM602"/>
    </row>
    <row r="603" spans="1:247" s="28" customFormat="1" ht="20.25" customHeight="1" x14ac:dyDescent="0.25">
      <c r="A603" s="75">
        <v>40380</v>
      </c>
      <c r="B603" s="76">
        <v>469.28</v>
      </c>
      <c r="C603" s="76">
        <f t="shared" si="468"/>
        <v>466.93359999999996</v>
      </c>
      <c r="D603" s="76">
        <f t="shared" ref="D603:D608" si="469">1.005*B603</f>
        <v>471.62639999999993</v>
      </c>
      <c r="E603" s="78">
        <f>3612.519/1800.553*100</f>
        <v>200.63386081942602</v>
      </c>
      <c r="F603" s="76">
        <v>3612.5189999999998</v>
      </c>
      <c r="G603" s="137"/>
      <c r="H603" s="78">
        <v>152.01490000000001</v>
      </c>
      <c r="I603" s="78">
        <v>150.96610000000001</v>
      </c>
      <c r="J603" s="79">
        <f t="shared" si="450"/>
        <v>185.22874646722897</v>
      </c>
      <c r="K603" s="80">
        <v>1321238.45</v>
      </c>
      <c r="L603" s="81">
        <f t="shared" ref="L603:L620" si="470">K603*B603/1000000</f>
        <v>620.03077981599995</v>
      </c>
      <c r="M603" s="65"/>
      <c r="N603" s="66"/>
      <c r="O603" s="27"/>
      <c r="P603" s="27"/>
      <c r="Q603" s="27"/>
      <c r="R603" s="27"/>
      <c r="S603" s="27"/>
      <c r="T603" s="27"/>
      <c r="U603" s="27"/>
      <c r="V603" s="27"/>
      <c r="W603" s="27"/>
      <c r="IH603" s="32"/>
      <c r="II603" s="32"/>
      <c r="IJ603" s="32"/>
      <c r="IK603" s="32"/>
      <c r="IL603" s="32"/>
      <c r="IM603" s="32"/>
    </row>
    <row r="604" spans="1:247" s="28" customFormat="1" ht="20.25" customHeight="1" x14ac:dyDescent="0.25">
      <c r="A604" s="75">
        <v>40373</v>
      </c>
      <c r="B604" s="76">
        <v>473.37</v>
      </c>
      <c r="C604" s="76">
        <f t="shared" si="468"/>
        <v>471.00315000000001</v>
      </c>
      <c r="D604" s="76">
        <f t="shared" si="469"/>
        <v>475.73684999999995</v>
      </c>
      <c r="E604" s="78">
        <f>3693.993/1800.553*100</f>
        <v>205.15880398966314</v>
      </c>
      <c r="F604" s="76">
        <v>3693.9929999999999</v>
      </c>
      <c r="G604" s="137"/>
      <c r="H604" s="78">
        <v>151.72569999999999</v>
      </c>
      <c r="I604" s="78">
        <v>150.95840000000001</v>
      </c>
      <c r="J604" s="79">
        <f t="shared" si="450"/>
        <v>187.11389431110013</v>
      </c>
      <c r="K604" s="80">
        <v>1302643.25</v>
      </c>
      <c r="L604" s="81">
        <f t="shared" si="470"/>
        <v>616.6322352525001</v>
      </c>
      <c r="M604" s="65"/>
      <c r="N604" s="66"/>
      <c r="O604" s="27"/>
      <c r="P604" s="27"/>
      <c r="Q604" s="27"/>
      <c r="R604" s="27"/>
      <c r="S604" s="27"/>
      <c r="T604" s="27"/>
      <c r="U604" s="27"/>
      <c r="V604" s="27"/>
      <c r="W604" s="27"/>
      <c r="IH604" s="32"/>
      <c r="II604" s="32"/>
      <c r="IJ604" s="32"/>
      <c r="IK604" s="32"/>
      <c r="IL604" s="32"/>
      <c r="IM604" s="32"/>
    </row>
    <row r="605" spans="1:247" s="28" customFormat="1" ht="20.25" customHeight="1" x14ac:dyDescent="0.25">
      <c r="A605" s="75">
        <v>40366</v>
      </c>
      <c r="B605" s="76">
        <v>470.37</v>
      </c>
      <c r="C605" s="76">
        <f t="shared" si="468"/>
        <v>468.01814999999999</v>
      </c>
      <c r="D605" s="76">
        <f t="shared" si="469"/>
        <v>472.72184999999996</v>
      </c>
      <c r="E605" s="78">
        <f>3556.362/1800.553*100</f>
        <v>197.51498567384576</v>
      </c>
      <c r="F605" s="76">
        <v>3556.3620000000001</v>
      </c>
      <c r="G605" s="137"/>
      <c r="H605" s="78">
        <v>151.5</v>
      </c>
      <c r="I605" s="78">
        <v>150.94999999999999</v>
      </c>
      <c r="J605" s="79">
        <f t="shared" si="450"/>
        <v>183.42793651503075</v>
      </c>
      <c r="K605" s="80">
        <v>1291146.95</v>
      </c>
      <c r="L605" s="81">
        <f t="shared" si="470"/>
        <v>607.31679087149996</v>
      </c>
      <c r="M605" s="65"/>
      <c r="N605" s="66"/>
      <c r="O605" s="27"/>
      <c r="P605" s="27"/>
      <c r="Q605" s="27"/>
      <c r="R605" s="27"/>
      <c r="S605" s="27"/>
      <c r="T605" s="27"/>
      <c r="U605" s="27"/>
      <c r="V605" s="27"/>
      <c r="W605" s="27"/>
      <c r="IH605" s="32"/>
      <c r="II605" s="32"/>
      <c r="IJ605" s="32"/>
      <c r="IK605" s="32"/>
      <c r="IL605" s="32"/>
      <c r="IM605" s="32"/>
    </row>
    <row r="606" spans="1:247" s="3" customFormat="1" ht="20.25" customHeight="1" x14ac:dyDescent="0.25">
      <c r="A606" s="75">
        <v>40359</v>
      </c>
      <c r="B606" s="76">
        <v>472.11</v>
      </c>
      <c r="C606" s="76">
        <f t="shared" si="468"/>
        <v>469.74945000000002</v>
      </c>
      <c r="D606" s="76">
        <f t="shared" si="469"/>
        <v>474.47054999999995</v>
      </c>
      <c r="E606" s="78">
        <f>3453.891/1800.553*100</f>
        <v>191.82390076826397</v>
      </c>
      <c r="F606" s="76">
        <v>3453.8910000000001</v>
      </c>
      <c r="G606" s="137"/>
      <c r="H606" s="78">
        <v>149.84020000000001</v>
      </c>
      <c r="I606" s="78">
        <v>150.94409999999999</v>
      </c>
      <c r="J606" s="79">
        <f t="shared" si="450"/>
        <v>179.7656242453433</v>
      </c>
      <c r="K606" s="80">
        <v>1290300.02</v>
      </c>
      <c r="L606" s="81">
        <f t="shared" si="470"/>
        <v>609.16354244220008</v>
      </c>
      <c r="M606" s="63"/>
      <c r="N606" s="64"/>
      <c r="O606" s="27"/>
      <c r="P606" s="27"/>
      <c r="Q606" s="27"/>
      <c r="R606" s="27"/>
      <c r="S606" s="27"/>
      <c r="T606" s="27"/>
      <c r="U606" s="27"/>
      <c r="V606" s="27"/>
      <c r="W606" s="27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  <c r="BN606" s="28"/>
      <c r="BO606" s="28"/>
      <c r="BP606" s="28"/>
      <c r="BQ606" s="28"/>
      <c r="BR606" s="28"/>
      <c r="BS606" s="28"/>
      <c r="BT606" s="28"/>
      <c r="BU606" s="28"/>
      <c r="BV606" s="28"/>
      <c r="BW606" s="28"/>
      <c r="BX606" s="28"/>
      <c r="BY606" s="28"/>
      <c r="BZ606" s="28"/>
      <c r="CA606" s="28"/>
      <c r="CB606" s="28"/>
      <c r="CC606" s="28"/>
      <c r="CD606" s="28"/>
      <c r="CE606" s="28"/>
      <c r="CF606" s="28"/>
      <c r="CG606" s="28"/>
      <c r="CH606" s="28"/>
      <c r="CI606" s="28"/>
      <c r="CJ606" s="28"/>
      <c r="CK606" s="28"/>
      <c r="CL606" s="28"/>
      <c r="CM606" s="28"/>
      <c r="CN606" s="28"/>
      <c r="CO606" s="28"/>
      <c r="CP606" s="28"/>
      <c r="CQ606" s="28"/>
      <c r="CR606" s="28"/>
      <c r="CS606" s="28"/>
      <c r="CT606" s="28"/>
      <c r="CU606" s="28"/>
      <c r="CV606" s="28"/>
      <c r="CW606" s="28"/>
      <c r="CX606" s="28"/>
      <c r="CY606" s="28"/>
      <c r="CZ606" s="28"/>
      <c r="DA606" s="28"/>
      <c r="DB606" s="28"/>
      <c r="DC606" s="28"/>
      <c r="DD606" s="28"/>
      <c r="DE606" s="28"/>
      <c r="DF606" s="28"/>
      <c r="DG606" s="28"/>
      <c r="DH606" s="28"/>
      <c r="DI606" s="28"/>
      <c r="DJ606" s="28"/>
      <c r="DK606" s="28"/>
      <c r="DL606" s="28"/>
      <c r="DM606" s="28"/>
      <c r="IH606"/>
      <c r="II606"/>
      <c r="IJ606"/>
      <c r="IK606"/>
      <c r="IL606"/>
      <c r="IM606"/>
    </row>
    <row r="607" spans="1:247" s="28" customFormat="1" ht="20.25" customHeight="1" x14ac:dyDescent="0.25">
      <c r="A607" s="75">
        <v>40352</v>
      </c>
      <c r="B607" s="76">
        <v>474.16</v>
      </c>
      <c r="C607" s="76">
        <f t="shared" si="468"/>
        <v>471.78920000000005</v>
      </c>
      <c r="D607" s="76">
        <f t="shared" si="469"/>
        <v>476.5308</v>
      </c>
      <c r="E607" s="78">
        <f>3633.413/1800.553*100</f>
        <v>201.79428209000233</v>
      </c>
      <c r="F607" s="76">
        <v>3633.413</v>
      </c>
      <c r="G607" s="137"/>
      <c r="H607" s="78">
        <v>149.71</v>
      </c>
      <c r="I607" s="78">
        <v>150.93</v>
      </c>
      <c r="J607" s="79">
        <f t="shared" si="450"/>
        <v>184.23695945008228</v>
      </c>
      <c r="K607" s="80">
        <v>1269648.6399999999</v>
      </c>
      <c r="L607" s="81">
        <f t="shared" si="470"/>
        <v>602.01659914240008</v>
      </c>
      <c r="M607" s="65"/>
      <c r="N607" s="66"/>
      <c r="O607" s="27"/>
      <c r="P607" s="27"/>
      <c r="Q607" s="27"/>
      <c r="R607" s="27"/>
      <c r="S607" s="27"/>
      <c r="T607" s="27"/>
      <c r="U607" s="27"/>
      <c r="V607" s="27"/>
      <c r="W607" s="27"/>
      <c r="IH607" s="32"/>
      <c r="II607" s="32"/>
      <c r="IJ607" s="32"/>
      <c r="IK607" s="32"/>
      <c r="IL607" s="32"/>
      <c r="IM607" s="32"/>
    </row>
    <row r="608" spans="1:247" s="3" customFormat="1" ht="20.25" customHeight="1" x14ac:dyDescent="0.25">
      <c r="A608" s="75">
        <v>40345</v>
      </c>
      <c r="B608" s="76">
        <v>471.77</v>
      </c>
      <c r="C608" s="76">
        <f t="shared" ref="C608:C614" si="471">0.995*B608</f>
        <v>469.41114999999996</v>
      </c>
      <c r="D608" s="76">
        <f t="shared" si="469"/>
        <v>474.12884999999994</v>
      </c>
      <c r="E608" s="78">
        <f>3683.46/1800.553*100</f>
        <v>204.57381704398591</v>
      </c>
      <c r="F608" s="76">
        <v>3683.46</v>
      </c>
      <c r="G608" s="137"/>
      <c r="H608" s="78">
        <v>149.07</v>
      </c>
      <c r="I608" s="78">
        <v>150.93</v>
      </c>
      <c r="J608" s="79">
        <f t="shared" si="450"/>
        <v>185.09707488063216</v>
      </c>
      <c r="K608" s="80">
        <v>1247520.8700000001</v>
      </c>
      <c r="L608" s="81">
        <f t="shared" si="470"/>
        <v>588.54292083990003</v>
      </c>
      <c r="M608" s="63"/>
      <c r="N608" s="64"/>
      <c r="O608" s="27"/>
      <c r="P608" s="27"/>
      <c r="Q608" s="27"/>
      <c r="R608" s="27"/>
      <c r="S608" s="27"/>
      <c r="T608" s="27"/>
      <c r="U608" s="27"/>
      <c r="V608" s="27"/>
      <c r="W608" s="27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  <c r="BN608" s="28"/>
      <c r="BO608" s="28"/>
      <c r="BP608" s="28"/>
      <c r="BQ608" s="28"/>
      <c r="BR608" s="28"/>
      <c r="BS608" s="28"/>
      <c r="BT608" s="28"/>
      <c r="BU608" s="28"/>
      <c r="BV608" s="28"/>
      <c r="BW608" s="28"/>
      <c r="BX608" s="28"/>
      <c r="BY608" s="28"/>
      <c r="BZ608" s="28"/>
      <c r="CA608" s="28"/>
      <c r="CB608" s="28"/>
      <c r="CC608" s="28"/>
      <c r="CD608" s="28"/>
      <c r="CE608" s="28"/>
      <c r="CF608" s="28"/>
      <c r="CG608" s="28"/>
      <c r="CH608" s="28"/>
      <c r="CI608" s="28"/>
      <c r="CJ608" s="28"/>
      <c r="CK608" s="28"/>
      <c r="CL608" s="28"/>
      <c r="CM608" s="28"/>
      <c r="CN608" s="28"/>
      <c r="CO608" s="28"/>
      <c r="CP608" s="28"/>
      <c r="CQ608" s="28"/>
      <c r="CR608" s="28"/>
      <c r="CS608" s="28"/>
      <c r="CT608" s="28"/>
      <c r="CU608" s="28"/>
      <c r="CV608" s="28"/>
      <c r="CW608" s="28"/>
      <c r="CX608" s="28"/>
      <c r="CY608" s="28"/>
      <c r="CZ608" s="28"/>
      <c r="DA608" s="28"/>
      <c r="DB608" s="28"/>
      <c r="DC608" s="28"/>
      <c r="DD608" s="28"/>
      <c r="DE608" s="28"/>
      <c r="DF608" s="28"/>
      <c r="DG608" s="28"/>
      <c r="DH608" s="28"/>
      <c r="DI608" s="28"/>
      <c r="DJ608" s="28"/>
      <c r="DK608" s="28"/>
      <c r="DL608" s="28"/>
      <c r="DM608" s="28"/>
      <c r="IH608"/>
      <c r="II608"/>
      <c r="IJ608"/>
      <c r="IK608"/>
      <c r="IL608"/>
      <c r="IM608"/>
    </row>
    <row r="609" spans="1:247" s="3" customFormat="1" ht="20.25" customHeight="1" x14ac:dyDescent="0.25">
      <c r="A609" s="75">
        <v>40338</v>
      </c>
      <c r="B609" s="76">
        <v>465.9</v>
      </c>
      <c r="C609" s="76">
        <f t="shared" si="471"/>
        <v>463.57049999999998</v>
      </c>
      <c r="D609" s="76">
        <f t="shared" ref="D609:D614" si="472">1.005*B609</f>
        <v>468.22949999999992</v>
      </c>
      <c r="E609" s="78">
        <f>3480.487/1800.553*100</f>
        <v>193.30100252533526</v>
      </c>
      <c r="F609" s="76">
        <v>3480.4870000000001</v>
      </c>
      <c r="G609" s="137"/>
      <c r="H609" s="78">
        <v>147.87</v>
      </c>
      <c r="I609" s="78">
        <v>150.91999999999999</v>
      </c>
      <c r="J609" s="79">
        <f t="shared" si="450"/>
        <v>179.14648694908436</v>
      </c>
      <c r="K609" s="80">
        <v>1268941.8600000001</v>
      </c>
      <c r="L609" s="81">
        <f t="shared" si="470"/>
        <v>591.20001257399997</v>
      </c>
      <c r="M609" s="63"/>
      <c r="N609" s="64"/>
      <c r="O609" s="27"/>
      <c r="P609" s="27"/>
      <c r="Q609" s="27"/>
      <c r="R609" s="27"/>
      <c r="S609" s="27"/>
      <c r="T609" s="27"/>
      <c r="U609" s="27"/>
      <c r="V609" s="27"/>
      <c r="W609" s="27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  <c r="BN609" s="28"/>
      <c r="BO609" s="28"/>
      <c r="BP609" s="28"/>
      <c r="BQ609" s="28"/>
      <c r="BR609" s="28"/>
      <c r="BS609" s="28"/>
      <c r="BT609" s="28"/>
      <c r="BU609" s="28"/>
      <c r="BV609" s="28"/>
      <c r="BW609" s="28"/>
      <c r="BX609" s="28"/>
      <c r="BY609" s="28"/>
      <c r="BZ609" s="28"/>
      <c r="CA609" s="28"/>
      <c r="CB609" s="28"/>
      <c r="CC609" s="28"/>
      <c r="CD609" s="28"/>
      <c r="CE609" s="28"/>
      <c r="CF609" s="28"/>
      <c r="CG609" s="28"/>
      <c r="CH609" s="28"/>
      <c r="CI609" s="28"/>
      <c r="CJ609" s="28"/>
      <c r="CK609" s="28"/>
      <c r="CL609" s="28"/>
      <c r="CM609" s="28"/>
      <c r="CN609" s="28"/>
      <c r="CO609" s="28"/>
      <c r="CP609" s="28"/>
      <c r="CQ609" s="28"/>
      <c r="CR609" s="28"/>
      <c r="CS609" s="28"/>
      <c r="CT609" s="28"/>
      <c r="CU609" s="28"/>
      <c r="CV609" s="28"/>
      <c r="CW609" s="28"/>
      <c r="CX609" s="28"/>
      <c r="CY609" s="28"/>
      <c r="CZ609" s="28"/>
      <c r="DA609" s="28"/>
      <c r="DB609" s="28"/>
      <c r="DC609" s="28"/>
      <c r="DD609" s="28"/>
      <c r="DE609" s="28"/>
      <c r="DF609" s="28"/>
      <c r="DG609" s="28"/>
      <c r="DH609" s="28"/>
      <c r="DI609" s="28"/>
      <c r="DJ609" s="28"/>
      <c r="DK609" s="28"/>
      <c r="DL609" s="28"/>
      <c r="DM609" s="28"/>
      <c r="IH609"/>
      <c r="II609"/>
      <c r="IJ609"/>
      <c r="IK609"/>
      <c r="IL609"/>
      <c r="IM609"/>
    </row>
    <row r="610" spans="1:247" s="3" customFormat="1" ht="20.25" customHeight="1" x14ac:dyDescent="0.25">
      <c r="A610" s="75">
        <v>40331</v>
      </c>
      <c r="B610" s="76">
        <v>468.19</v>
      </c>
      <c r="C610" s="76">
        <f t="shared" si="471"/>
        <v>465.84904999999998</v>
      </c>
      <c r="D610" s="76">
        <f t="shared" si="472"/>
        <v>470.53094999999996</v>
      </c>
      <c r="E610" s="78">
        <f>3574.875/1800.553*100</f>
        <v>198.54316979283587</v>
      </c>
      <c r="F610" s="76">
        <v>3574.875</v>
      </c>
      <c r="G610" s="137"/>
      <c r="H610" s="78">
        <v>148.61000000000001</v>
      </c>
      <c r="I610" s="78">
        <v>150.91999999999999</v>
      </c>
      <c r="J610" s="79">
        <f t="shared" si="450"/>
        <v>182.00234373161342</v>
      </c>
      <c r="K610" s="80">
        <v>1266651.33</v>
      </c>
      <c r="L610" s="81">
        <f t="shared" si="470"/>
        <v>593.03348619270002</v>
      </c>
      <c r="M610" s="63"/>
      <c r="N610" s="64"/>
      <c r="O610" s="27"/>
      <c r="P610" s="27"/>
      <c r="Q610" s="27"/>
      <c r="R610" s="27"/>
      <c r="S610" s="27"/>
      <c r="T610" s="27"/>
      <c r="U610" s="27"/>
      <c r="V610" s="27"/>
      <c r="W610" s="27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  <c r="BN610" s="28"/>
      <c r="BO610" s="28"/>
      <c r="BP610" s="28"/>
      <c r="BQ610" s="28"/>
      <c r="BR610" s="28"/>
      <c r="BS610" s="28"/>
      <c r="BT610" s="28"/>
      <c r="BU610" s="28"/>
      <c r="BV610" s="28"/>
      <c r="BW610" s="28"/>
      <c r="BX610" s="28"/>
      <c r="BY610" s="28"/>
      <c r="BZ610" s="28"/>
      <c r="CA610" s="28"/>
      <c r="CB610" s="28"/>
      <c r="CC610" s="28"/>
      <c r="CD610" s="28"/>
      <c r="CE610" s="28"/>
      <c r="CF610" s="28"/>
      <c r="CG610" s="28"/>
      <c r="CH610" s="28"/>
      <c r="CI610" s="28"/>
      <c r="CJ610" s="28"/>
      <c r="CK610" s="28"/>
      <c r="CL610" s="28"/>
      <c r="CM610" s="28"/>
      <c r="CN610" s="28"/>
      <c r="CO610" s="28"/>
      <c r="CP610" s="28"/>
      <c r="CQ610" s="28"/>
      <c r="CR610" s="28"/>
      <c r="CS610" s="28"/>
      <c r="CT610" s="28"/>
      <c r="CU610" s="28"/>
      <c r="CV610" s="28"/>
      <c r="CW610" s="28"/>
      <c r="CX610" s="28"/>
      <c r="CY610" s="28"/>
      <c r="CZ610" s="28"/>
      <c r="DA610" s="28"/>
      <c r="DB610" s="28"/>
      <c r="DC610" s="28"/>
      <c r="DD610" s="28"/>
      <c r="DE610" s="28"/>
      <c r="DF610" s="28"/>
      <c r="DG610" s="28"/>
      <c r="DH610" s="28"/>
      <c r="DI610" s="28"/>
      <c r="DJ610" s="28"/>
      <c r="DK610" s="28"/>
      <c r="DL610" s="28"/>
      <c r="DM610" s="28"/>
      <c r="IH610"/>
      <c r="II610"/>
      <c r="IJ610"/>
      <c r="IK610"/>
      <c r="IL610"/>
      <c r="IM610"/>
    </row>
    <row r="611" spans="1:247" s="3" customFormat="1" ht="20.25" customHeight="1" x14ac:dyDescent="0.25">
      <c r="A611" s="75">
        <v>40324</v>
      </c>
      <c r="B611" s="76">
        <v>462.42</v>
      </c>
      <c r="C611" s="76">
        <f t="shared" si="471"/>
        <v>460.10790000000003</v>
      </c>
      <c r="D611" s="76">
        <f t="shared" si="472"/>
        <v>464.73209999999995</v>
      </c>
      <c r="E611" s="78">
        <f>3485.517/1800.553*100</f>
        <v>193.5803611446039</v>
      </c>
      <c r="F611" s="76">
        <v>3485.5169999999998</v>
      </c>
      <c r="G611" s="137"/>
      <c r="H611" s="78">
        <v>148.65190000000001</v>
      </c>
      <c r="I611" s="78">
        <v>150.9</v>
      </c>
      <c r="J611" s="79">
        <f t="shared" si="450"/>
        <v>179.72388729840287</v>
      </c>
      <c r="K611" s="80">
        <v>1266075.17</v>
      </c>
      <c r="L611" s="81">
        <f t="shared" si="470"/>
        <v>585.45848011140004</v>
      </c>
      <c r="M611" s="63"/>
      <c r="N611" s="64"/>
      <c r="O611" s="27"/>
      <c r="P611" s="27"/>
      <c r="Q611" s="27"/>
      <c r="R611" s="27"/>
      <c r="S611" s="27"/>
      <c r="T611" s="27"/>
      <c r="U611" s="27"/>
      <c r="V611" s="27"/>
      <c r="W611" s="27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  <c r="BN611" s="28"/>
      <c r="BO611" s="28"/>
      <c r="BP611" s="28"/>
      <c r="BQ611" s="28"/>
      <c r="BR611" s="28"/>
      <c r="BS611" s="28"/>
      <c r="BT611" s="28"/>
      <c r="BU611" s="28"/>
      <c r="BV611" s="28"/>
      <c r="BW611" s="28"/>
      <c r="BX611" s="28"/>
      <c r="BY611" s="28"/>
      <c r="BZ611" s="28"/>
      <c r="CA611" s="28"/>
      <c r="CB611" s="28"/>
      <c r="CC611" s="28"/>
      <c r="CD611" s="28"/>
      <c r="CE611" s="28"/>
      <c r="CF611" s="28"/>
      <c r="CG611" s="28"/>
      <c r="CH611" s="28"/>
      <c r="CI611" s="28"/>
      <c r="CJ611" s="28"/>
      <c r="CK611" s="28"/>
      <c r="CL611" s="28"/>
      <c r="CM611" s="28"/>
      <c r="CN611" s="28"/>
      <c r="CO611" s="28"/>
      <c r="CP611" s="28"/>
      <c r="CQ611" s="28"/>
      <c r="CR611" s="28"/>
      <c r="CS611" s="28"/>
      <c r="CT611" s="28"/>
      <c r="CU611" s="28"/>
      <c r="CV611" s="28"/>
      <c r="CW611" s="28"/>
      <c r="CX611" s="28"/>
      <c r="CY611" s="28"/>
      <c r="CZ611" s="28"/>
      <c r="DA611" s="28"/>
      <c r="DB611" s="28"/>
      <c r="DC611" s="28"/>
      <c r="DD611" s="28"/>
      <c r="DE611" s="28"/>
      <c r="DF611" s="28"/>
      <c r="DG611" s="28"/>
      <c r="DH611" s="28"/>
      <c r="DI611" s="28"/>
      <c r="DJ611" s="28"/>
      <c r="DK611" s="28"/>
      <c r="DL611" s="28"/>
      <c r="DM611" s="28"/>
      <c r="IH611"/>
      <c r="II611"/>
      <c r="IJ611"/>
      <c r="IK611"/>
      <c r="IL611"/>
      <c r="IM611"/>
    </row>
    <row r="612" spans="1:247" s="3" customFormat="1" ht="20.25" customHeight="1" x14ac:dyDescent="0.25">
      <c r="A612" s="75">
        <v>40317</v>
      </c>
      <c r="B612" s="76">
        <v>466.85</v>
      </c>
      <c r="C612" s="76">
        <f t="shared" si="471"/>
        <v>464.51575000000003</v>
      </c>
      <c r="D612" s="76">
        <f t="shared" si="472"/>
        <v>469.18424999999996</v>
      </c>
      <c r="E612" s="78">
        <f>3622.937/1800.553*100</f>
        <v>201.21246083842016</v>
      </c>
      <c r="F612" s="76">
        <v>3622.9369999999999</v>
      </c>
      <c r="G612" s="137"/>
      <c r="H612" s="78">
        <v>148.97</v>
      </c>
      <c r="I612" s="78">
        <v>150.9</v>
      </c>
      <c r="J612" s="79">
        <f t="shared" si="450"/>
        <v>183.39788625871108</v>
      </c>
      <c r="K612" s="80">
        <v>1262883.97</v>
      </c>
      <c r="L612" s="81">
        <f t="shared" si="470"/>
        <v>589.57738139449998</v>
      </c>
      <c r="M612" s="63"/>
      <c r="N612" s="64"/>
      <c r="O612" s="27"/>
      <c r="P612" s="27"/>
      <c r="Q612" s="27"/>
      <c r="R612" s="27"/>
      <c r="S612" s="27"/>
      <c r="T612" s="27"/>
      <c r="U612" s="27"/>
      <c r="V612" s="27"/>
      <c r="W612" s="27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  <c r="BN612" s="28"/>
      <c r="BO612" s="28"/>
      <c r="BP612" s="28"/>
      <c r="BQ612" s="28"/>
      <c r="BR612" s="28"/>
      <c r="BS612" s="28"/>
      <c r="BT612" s="28"/>
      <c r="BU612" s="28"/>
      <c r="BV612" s="28"/>
      <c r="BW612" s="28"/>
      <c r="BX612" s="28"/>
      <c r="BY612" s="28"/>
      <c r="BZ612" s="28"/>
      <c r="CA612" s="28"/>
      <c r="CB612" s="28"/>
      <c r="CC612" s="28"/>
      <c r="CD612" s="28"/>
      <c r="CE612" s="28"/>
      <c r="CF612" s="28"/>
      <c r="CG612" s="28"/>
      <c r="CH612" s="28"/>
      <c r="CI612" s="28"/>
      <c r="CJ612" s="28"/>
      <c r="CK612" s="28"/>
      <c r="CL612" s="28"/>
      <c r="CM612" s="28"/>
      <c r="CN612" s="28"/>
      <c r="CO612" s="28"/>
      <c r="CP612" s="28"/>
      <c r="CQ612" s="28"/>
      <c r="CR612" s="28"/>
      <c r="CS612" s="28"/>
      <c r="CT612" s="28"/>
      <c r="CU612" s="28"/>
      <c r="CV612" s="28"/>
      <c r="CW612" s="28"/>
      <c r="CX612" s="28"/>
      <c r="CY612" s="28"/>
      <c r="CZ612" s="28"/>
      <c r="DA612" s="28"/>
      <c r="DB612" s="28"/>
      <c r="DC612" s="28"/>
      <c r="DD612" s="28"/>
      <c r="DE612" s="28"/>
      <c r="DF612" s="28"/>
      <c r="DG612" s="28"/>
      <c r="DH612" s="28"/>
      <c r="DI612" s="28"/>
      <c r="DJ612" s="28"/>
      <c r="DK612" s="28"/>
      <c r="DL612" s="28"/>
      <c r="DM612" s="28"/>
      <c r="IH612"/>
      <c r="II612"/>
      <c r="IJ612"/>
      <c r="IK612"/>
      <c r="IL612"/>
      <c r="IM612"/>
    </row>
    <row r="613" spans="1:247" s="3" customFormat="1" ht="20.25" customHeight="1" x14ac:dyDescent="0.25">
      <c r="A613" s="75">
        <v>40310</v>
      </c>
      <c r="B613" s="76">
        <v>474.51</v>
      </c>
      <c r="C613" s="76">
        <f t="shared" si="471"/>
        <v>472.13745</v>
      </c>
      <c r="D613" s="76">
        <f t="shared" si="472"/>
        <v>476.88254999999992</v>
      </c>
      <c r="E613" s="78">
        <f>3828.497/1800.553*100</f>
        <v>212.62895343819369</v>
      </c>
      <c r="F613" s="76">
        <v>3828.4969999999998</v>
      </c>
      <c r="G613" s="137"/>
      <c r="H613" s="78">
        <v>149.56</v>
      </c>
      <c r="I613" s="78">
        <v>150.9</v>
      </c>
      <c r="J613" s="79">
        <f t="shared" ref="J613:J676" si="473">(E613/E614)*0.5*J614+(H613/H614)*0.5*J614</f>
        <v>188.83997034171534</v>
      </c>
      <c r="K613" s="80">
        <v>1250843.42</v>
      </c>
      <c r="L613" s="81">
        <f t="shared" si="470"/>
        <v>593.53771122420005</v>
      </c>
      <c r="M613" s="63"/>
      <c r="N613" s="64"/>
      <c r="O613" s="27"/>
      <c r="P613" s="27"/>
      <c r="Q613" s="27"/>
      <c r="R613" s="27"/>
      <c r="S613" s="27"/>
      <c r="T613" s="27"/>
      <c r="U613" s="27"/>
      <c r="V613" s="27"/>
      <c r="W613" s="27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  <c r="BN613" s="28"/>
      <c r="BO613" s="28"/>
      <c r="BP613" s="28"/>
      <c r="BQ613" s="28"/>
      <c r="BR613" s="28"/>
      <c r="BS613" s="28"/>
      <c r="BT613" s="28"/>
      <c r="BU613" s="28"/>
      <c r="BV613" s="28"/>
      <c r="BW613" s="28"/>
      <c r="BX613" s="28"/>
      <c r="BY613" s="28"/>
      <c r="BZ613" s="28"/>
      <c r="CA613" s="28"/>
      <c r="CB613" s="28"/>
      <c r="CC613" s="28"/>
      <c r="CD613" s="28"/>
      <c r="CE613" s="28"/>
      <c r="CF613" s="28"/>
      <c r="CG613" s="28"/>
      <c r="CH613" s="28"/>
      <c r="CI613" s="28"/>
      <c r="CJ613" s="28"/>
      <c r="CK613" s="28"/>
      <c r="CL613" s="28"/>
      <c r="CM613" s="28"/>
      <c r="CN613" s="28"/>
      <c r="CO613" s="28"/>
      <c r="CP613" s="28"/>
      <c r="CQ613" s="28"/>
      <c r="CR613" s="28"/>
      <c r="CS613" s="28"/>
      <c r="CT613" s="28"/>
      <c r="CU613" s="28"/>
      <c r="CV613" s="28"/>
      <c r="CW613" s="28"/>
      <c r="CX613" s="28"/>
      <c r="CY613" s="28"/>
      <c r="CZ613" s="28"/>
      <c r="DA613" s="28"/>
      <c r="DB613" s="28"/>
      <c r="DC613" s="28"/>
      <c r="DD613" s="28"/>
      <c r="DE613" s="28"/>
      <c r="DF613" s="28"/>
      <c r="DG613" s="28"/>
      <c r="DH613" s="28"/>
      <c r="DI613" s="28"/>
      <c r="DJ613" s="28"/>
      <c r="DK613" s="28"/>
      <c r="DL613" s="28"/>
      <c r="DM613" s="28"/>
      <c r="IH613"/>
      <c r="II613"/>
      <c r="IJ613"/>
      <c r="IK613"/>
      <c r="IL613"/>
      <c r="IM613"/>
    </row>
    <row r="614" spans="1:247" s="3" customFormat="1" ht="20.25" customHeight="1" x14ac:dyDescent="0.25">
      <c r="A614" s="75">
        <v>40303</v>
      </c>
      <c r="B614" s="76">
        <v>470</v>
      </c>
      <c r="C614" s="76">
        <f t="shared" si="471"/>
        <v>467.65</v>
      </c>
      <c r="D614" s="76">
        <f t="shared" si="472"/>
        <v>472.34999999999997</v>
      </c>
      <c r="E614" s="78">
        <f>3820.255/1800.553*100</f>
        <v>212.17120517974197</v>
      </c>
      <c r="F614" s="76">
        <v>3820.2550000000001</v>
      </c>
      <c r="G614" s="137"/>
      <c r="H614" s="78">
        <v>150.27520000000001</v>
      </c>
      <c r="I614" s="78">
        <v>150.88999999999999</v>
      </c>
      <c r="J614" s="79">
        <f t="shared" si="473"/>
        <v>189.08595421887696</v>
      </c>
      <c r="K614" s="80">
        <v>1246653.03</v>
      </c>
      <c r="L614" s="81">
        <f t="shared" si="470"/>
        <v>585.92692410000006</v>
      </c>
      <c r="M614" s="63"/>
      <c r="N614" s="64"/>
      <c r="O614" s="27"/>
      <c r="P614" s="27"/>
      <c r="Q614" s="27"/>
      <c r="R614" s="27"/>
      <c r="S614" s="27"/>
      <c r="T614" s="27"/>
      <c r="U614" s="27"/>
      <c r="V614" s="27"/>
      <c r="W614" s="27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  <c r="BN614" s="28"/>
      <c r="BO614" s="28"/>
      <c r="BP614" s="28"/>
      <c r="BQ614" s="28"/>
      <c r="BR614" s="28"/>
      <c r="BS614" s="28"/>
      <c r="BT614" s="28"/>
      <c r="BU614" s="28"/>
      <c r="BV614" s="28"/>
      <c r="BW614" s="28"/>
      <c r="BX614" s="28"/>
      <c r="BY614" s="28"/>
      <c r="BZ614" s="28"/>
      <c r="CA614" s="28"/>
      <c r="CB614" s="28"/>
      <c r="CC614" s="28"/>
      <c r="CD614" s="28"/>
      <c r="CE614" s="28"/>
      <c r="CF614" s="28"/>
      <c r="CG614" s="28"/>
      <c r="CH614" s="28"/>
      <c r="CI614" s="28"/>
      <c r="CJ614" s="28"/>
      <c r="CK614" s="28"/>
      <c r="CL614" s="28"/>
      <c r="CM614" s="28"/>
      <c r="CN614" s="28"/>
      <c r="CO614" s="28"/>
      <c r="CP614" s="28"/>
      <c r="CQ614" s="28"/>
      <c r="CR614" s="28"/>
      <c r="CS614" s="28"/>
      <c r="CT614" s="28"/>
      <c r="CU614" s="28"/>
      <c r="CV614" s="28"/>
      <c r="CW614" s="28"/>
      <c r="CX614" s="28"/>
      <c r="CY614" s="28"/>
      <c r="CZ614" s="28"/>
      <c r="DA614" s="28"/>
      <c r="DB614" s="28"/>
      <c r="DC614" s="28"/>
      <c r="DD614" s="28"/>
      <c r="DE614" s="28"/>
      <c r="DF614" s="28"/>
      <c r="DG614" s="28"/>
      <c r="DH614" s="28"/>
      <c r="DI614" s="28"/>
      <c r="DJ614" s="28"/>
      <c r="DK614" s="28"/>
      <c r="DL614" s="28"/>
      <c r="DM614" s="28"/>
      <c r="IH614"/>
      <c r="II614"/>
      <c r="IJ614"/>
      <c r="IK614"/>
      <c r="IL614"/>
      <c r="IM614"/>
    </row>
    <row r="615" spans="1:247" s="3" customFormat="1" ht="20.25" customHeight="1" x14ac:dyDescent="0.25">
      <c r="A615" s="75">
        <v>40296</v>
      </c>
      <c r="B615" s="76">
        <v>471.59</v>
      </c>
      <c r="C615" s="76">
        <f t="shared" ref="C615:C620" si="474">0.995*B615</f>
        <v>469.23204999999996</v>
      </c>
      <c r="D615" s="76">
        <f t="shared" ref="D615:D620" si="475">1.005*B615</f>
        <v>473.94794999999993</v>
      </c>
      <c r="E615" s="78">
        <f>3933.771/1800.553*100</f>
        <v>218.47571273936396</v>
      </c>
      <c r="F615" s="76">
        <v>3933.7710000000002</v>
      </c>
      <c r="G615" s="137"/>
      <c r="H615" s="78">
        <v>151.49</v>
      </c>
      <c r="I615" s="78">
        <v>150.8877</v>
      </c>
      <c r="J615" s="79">
        <f t="shared" si="473"/>
        <v>192.63779055926466</v>
      </c>
      <c r="K615" s="80">
        <v>1203513.31</v>
      </c>
      <c r="L615" s="81">
        <f t="shared" si="470"/>
        <v>567.56484186290004</v>
      </c>
      <c r="M615" s="63"/>
      <c r="N615" s="64"/>
      <c r="O615" s="27"/>
      <c r="P615" s="27"/>
      <c r="Q615" s="27"/>
      <c r="R615" s="27"/>
      <c r="S615" s="27"/>
      <c r="T615" s="27"/>
      <c r="U615" s="27"/>
      <c r="V615" s="27"/>
      <c r="W615" s="27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  <c r="BN615" s="28"/>
      <c r="BO615" s="28"/>
      <c r="BP615" s="28"/>
      <c r="BQ615" s="28"/>
      <c r="BR615" s="28"/>
      <c r="BS615" s="28"/>
      <c r="BT615" s="28"/>
      <c r="BU615" s="28"/>
      <c r="BV615" s="28"/>
      <c r="BW615" s="28"/>
      <c r="BX615" s="28"/>
      <c r="BY615" s="28"/>
      <c r="BZ615" s="28"/>
      <c r="CA615" s="28"/>
      <c r="CB615" s="28"/>
      <c r="CC615" s="28"/>
      <c r="CD615" s="28"/>
      <c r="CE615" s="28"/>
      <c r="CF615" s="28"/>
      <c r="CG615" s="28"/>
      <c r="CH615" s="28"/>
      <c r="CI615" s="28"/>
      <c r="CJ615" s="28"/>
      <c r="CK615" s="28"/>
      <c r="CL615" s="28"/>
      <c r="CM615" s="28"/>
      <c r="CN615" s="28"/>
      <c r="CO615" s="28"/>
      <c r="CP615" s="28"/>
      <c r="CQ615" s="28"/>
      <c r="CR615" s="28"/>
      <c r="CS615" s="28"/>
      <c r="CT615" s="28"/>
      <c r="CU615" s="28"/>
      <c r="CV615" s="28"/>
      <c r="CW615" s="28"/>
      <c r="CX615" s="28"/>
      <c r="CY615" s="28"/>
      <c r="CZ615" s="28"/>
      <c r="DA615" s="28"/>
      <c r="DB615" s="28"/>
      <c r="DC615" s="28"/>
      <c r="DD615" s="28"/>
      <c r="DE615" s="28"/>
      <c r="DF615" s="28"/>
      <c r="DG615" s="28"/>
      <c r="DH615" s="28"/>
      <c r="DI615" s="28"/>
      <c r="DJ615" s="28"/>
      <c r="DK615" s="28"/>
      <c r="DL615" s="28"/>
      <c r="DM615" s="28"/>
      <c r="IH615"/>
      <c r="II615"/>
      <c r="IJ615"/>
      <c r="IK615"/>
      <c r="IL615"/>
      <c r="IM615"/>
    </row>
    <row r="616" spans="1:247" s="3" customFormat="1" ht="20.25" customHeight="1" x14ac:dyDescent="0.25">
      <c r="A616" s="75">
        <v>40289</v>
      </c>
      <c r="B616" s="76">
        <v>470.26</v>
      </c>
      <c r="C616" s="76">
        <f t="shared" si="474"/>
        <v>467.90870000000001</v>
      </c>
      <c r="D616" s="76">
        <f t="shared" si="475"/>
        <v>472.61129999999991</v>
      </c>
      <c r="E616" s="78">
        <f>4033.961/1800.553*100</f>
        <v>224.04011434264913</v>
      </c>
      <c r="F616" s="76">
        <v>4033.9609999999998</v>
      </c>
      <c r="G616" s="137"/>
      <c r="H616" s="78">
        <v>152.37</v>
      </c>
      <c r="I616" s="78">
        <v>150.88</v>
      </c>
      <c r="J616" s="79">
        <f t="shared" si="473"/>
        <v>195.63214059327061</v>
      </c>
      <c r="K616" s="80">
        <v>1200040.73</v>
      </c>
      <c r="L616" s="81">
        <f t="shared" si="470"/>
        <v>564.33115368979998</v>
      </c>
      <c r="M616" s="63"/>
      <c r="N616" s="64"/>
      <c r="O616" s="27"/>
      <c r="P616" s="27"/>
      <c r="Q616" s="27"/>
      <c r="R616" s="27"/>
      <c r="S616" s="27"/>
      <c r="T616" s="27"/>
      <c r="U616" s="27"/>
      <c r="V616" s="27"/>
      <c r="W616" s="27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  <c r="BN616" s="28"/>
      <c r="BO616" s="28"/>
      <c r="BP616" s="28"/>
      <c r="BQ616" s="28"/>
      <c r="BR616" s="28"/>
      <c r="BS616" s="28"/>
      <c r="BT616" s="28"/>
      <c r="BU616" s="28"/>
      <c r="BV616" s="28"/>
      <c r="BW616" s="28"/>
      <c r="BX616" s="28"/>
      <c r="BY616" s="28"/>
      <c r="BZ616" s="28"/>
      <c r="CA616" s="28"/>
      <c r="CB616" s="28"/>
      <c r="CC616" s="28"/>
      <c r="CD616" s="28"/>
      <c r="CE616" s="28"/>
      <c r="CF616" s="28"/>
      <c r="CG616" s="28"/>
      <c r="CH616" s="28"/>
      <c r="CI616" s="28"/>
      <c r="CJ616" s="28"/>
      <c r="CK616" s="28"/>
      <c r="CL616" s="28"/>
      <c r="CM616" s="28"/>
      <c r="CN616" s="28"/>
      <c r="CO616" s="28"/>
      <c r="CP616" s="28"/>
      <c r="CQ616" s="28"/>
      <c r="CR616" s="28"/>
      <c r="CS616" s="28"/>
      <c r="CT616" s="28"/>
      <c r="CU616" s="28"/>
      <c r="CV616" s="28"/>
      <c r="CW616" s="28"/>
      <c r="CX616" s="28"/>
      <c r="CY616" s="28"/>
      <c r="CZ616" s="28"/>
      <c r="DA616" s="28"/>
      <c r="DB616" s="28"/>
      <c r="DC616" s="28"/>
      <c r="DD616" s="28"/>
      <c r="DE616" s="28"/>
      <c r="DF616" s="28"/>
      <c r="DG616" s="28"/>
      <c r="DH616" s="28"/>
      <c r="DI616" s="28"/>
      <c r="DJ616" s="28"/>
      <c r="DK616" s="28"/>
      <c r="DL616" s="28"/>
      <c r="DM616" s="28"/>
      <c r="IH616"/>
      <c r="II616"/>
      <c r="IJ616"/>
      <c r="IK616"/>
      <c r="IL616"/>
      <c r="IM616"/>
    </row>
    <row r="617" spans="1:247" s="3" customFormat="1" ht="20.25" customHeight="1" x14ac:dyDescent="0.25">
      <c r="A617" s="75">
        <v>40282</v>
      </c>
      <c r="B617" s="76">
        <v>471.41</v>
      </c>
      <c r="C617" s="76">
        <f t="shared" si="474"/>
        <v>469.05295000000001</v>
      </c>
      <c r="D617" s="76">
        <f t="shared" si="475"/>
        <v>473.76704999999998</v>
      </c>
      <c r="E617" s="78">
        <f>4077.718/1800.553*100</f>
        <v>226.47031217631471</v>
      </c>
      <c r="F617" s="76">
        <v>4077.7179999999998</v>
      </c>
      <c r="G617" s="137"/>
      <c r="H617" s="78">
        <v>153.13999999999999</v>
      </c>
      <c r="I617" s="78">
        <v>150.87</v>
      </c>
      <c r="J617" s="79">
        <f t="shared" si="473"/>
        <v>197.18585029629918</v>
      </c>
      <c r="K617" s="80">
        <v>1195512.1599999999</v>
      </c>
      <c r="L617" s="81">
        <f t="shared" si="470"/>
        <v>563.57638734559998</v>
      </c>
      <c r="M617" s="63"/>
      <c r="N617" s="64"/>
      <c r="O617" s="27"/>
      <c r="P617" s="27"/>
      <c r="Q617" s="27"/>
      <c r="R617" s="27"/>
      <c r="S617" s="27"/>
      <c r="T617" s="27"/>
      <c r="U617" s="27"/>
      <c r="V617" s="27"/>
      <c r="W617" s="27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  <c r="BN617" s="28"/>
      <c r="BO617" s="28"/>
      <c r="BP617" s="28"/>
      <c r="BQ617" s="28"/>
      <c r="BR617" s="28"/>
      <c r="BS617" s="28"/>
      <c r="BT617" s="28"/>
      <c r="BU617" s="28"/>
      <c r="BV617" s="28"/>
      <c r="BW617" s="28"/>
      <c r="BX617" s="28"/>
      <c r="BY617" s="28"/>
      <c r="BZ617" s="28"/>
      <c r="CA617" s="28"/>
      <c r="CB617" s="28"/>
      <c r="CC617" s="28"/>
      <c r="CD617" s="28"/>
      <c r="CE617" s="28"/>
      <c r="CF617" s="28"/>
      <c r="CG617" s="28"/>
      <c r="CH617" s="28"/>
      <c r="CI617" s="28"/>
      <c r="CJ617" s="28"/>
      <c r="CK617" s="28"/>
      <c r="CL617" s="28"/>
      <c r="CM617" s="28"/>
      <c r="CN617" s="28"/>
      <c r="CO617" s="28"/>
      <c r="CP617" s="28"/>
      <c r="CQ617" s="28"/>
      <c r="CR617" s="28"/>
      <c r="CS617" s="28"/>
      <c r="CT617" s="28"/>
      <c r="CU617" s="28"/>
      <c r="CV617" s="28"/>
      <c r="CW617" s="28"/>
      <c r="CX617" s="28"/>
      <c r="CY617" s="28"/>
      <c r="CZ617" s="28"/>
      <c r="DA617" s="28"/>
      <c r="DB617" s="28"/>
      <c r="DC617" s="28"/>
      <c r="DD617" s="28"/>
      <c r="DE617" s="28"/>
      <c r="DF617" s="28"/>
      <c r="DG617" s="28"/>
      <c r="DH617" s="28"/>
      <c r="DI617" s="28"/>
      <c r="DJ617" s="28"/>
      <c r="DK617" s="28"/>
      <c r="DL617" s="28"/>
      <c r="DM617" s="28"/>
      <c r="IH617"/>
      <c r="II617"/>
      <c r="IJ617"/>
      <c r="IK617"/>
      <c r="IL617"/>
      <c r="IM617"/>
    </row>
    <row r="618" spans="1:247" s="3" customFormat="1" ht="20.25" customHeight="1" x14ac:dyDescent="0.25">
      <c r="A618" s="75">
        <v>40275</v>
      </c>
      <c r="B618" s="76">
        <v>470.08</v>
      </c>
      <c r="C618" s="76">
        <f t="shared" si="474"/>
        <v>467.7296</v>
      </c>
      <c r="D618" s="76">
        <f t="shared" si="475"/>
        <v>472.43039999999991</v>
      </c>
      <c r="E618" s="78">
        <f>3990.967/1800.553*100</f>
        <v>221.65229237906354</v>
      </c>
      <c r="F618" s="76">
        <v>3990.9670000000001</v>
      </c>
      <c r="G618" s="77"/>
      <c r="H618" s="78">
        <v>152</v>
      </c>
      <c r="I618" s="78">
        <v>150.86000000000001</v>
      </c>
      <c r="J618" s="79">
        <f t="shared" si="473"/>
        <v>194.3448361278067</v>
      </c>
      <c r="K618" s="80">
        <v>1186640.3500000001</v>
      </c>
      <c r="L618" s="81">
        <f t="shared" si="470"/>
        <v>557.8158957280001</v>
      </c>
      <c r="M618" s="63"/>
      <c r="N618" s="64"/>
      <c r="O618" s="27"/>
      <c r="P618" s="27"/>
      <c r="Q618" s="27"/>
      <c r="R618" s="27"/>
      <c r="S618" s="27"/>
      <c r="T618" s="27"/>
      <c r="U618" s="27"/>
      <c r="V618" s="27"/>
      <c r="W618" s="27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  <c r="BN618" s="28"/>
      <c r="BO618" s="28"/>
      <c r="BP618" s="28"/>
      <c r="BQ618" s="28"/>
      <c r="BR618" s="28"/>
      <c r="BS618" s="28"/>
      <c r="BT618" s="28"/>
      <c r="BU618" s="28"/>
      <c r="BV618" s="28"/>
      <c r="BW618" s="28"/>
      <c r="BX618" s="28"/>
      <c r="BY618" s="28"/>
      <c r="BZ618" s="28"/>
      <c r="CA618" s="28"/>
      <c r="CB618" s="28"/>
      <c r="CC618" s="28"/>
      <c r="CD618" s="28"/>
      <c r="CE618" s="28"/>
      <c r="CF618" s="28"/>
      <c r="CG618" s="28"/>
      <c r="CH618" s="28"/>
      <c r="CI618" s="28"/>
      <c r="CJ618" s="28"/>
      <c r="CK618" s="28"/>
      <c r="CL618" s="28"/>
      <c r="CM618" s="28"/>
      <c r="CN618" s="28"/>
      <c r="CO618" s="28"/>
      <c r="CP618" s="28"/>
      <c r="CQ618" s="28"/>
      <c r="CR618" s="28"/>
      <c r="CS618" s="28"/>
      <c r="CT618" s="28"/>
      <c r="CU618" s="28"/>
      <c r="CV618" s="28"/>
      <c r="CW618" s="28"/>
      <c r="CX618" s="28"/>
      <c r="CY618" s="28"/>
      <c r="CZ618" s="28"/>
      <c r="DA618" s="28"/>
      <c r="DB618" s="28"/>
      <c r="DC618" s="28"/>
      <c r="DD618" s="28"/>
      <c r="DE618" s="28"/>
      <c r="DF618" s="28"/>
      <c r="DG618" s="28"/>
      <c r="DH618" s="28"/>
      <c r="DI618" s="28"/>
      <c r="DJ618" s="28"/>
      <c r="DK618" s="28"/>
      <c r="DL618" s="28"/>
      <c r="DM618" s="28"/>
      <c r="IH618"/>
      <c r="II618"/>
      <c r="IJ618"/>
      <c r="IK618"/>
      <c r="IL618"/>
      <c r="IM618"/>
    </row>
    <row r="619" spans="1:247" s="56" customFormat="1" ht="20.25" customHeight="1" x14ac:dyDescent="0.25">
      <c r="A619" s="75">
        <v>40268</v>
      </c>
      <c r="B619" s="76">
        <v>465.9</v>
      </c>
      <c r="C619" s="76">
        <f t="shared" si="474"/>
        <v>463.57049999999998</v>
      </c>
      <c r="D619" s="76">
        <f t="shared" si="475"/>
        <v>468.22949999999992</v>
      </c>
      <c r="E619" s="78">
        <f>3946.96/1800.553*100</f>
        <v>219.20820992217389</v>
      </c>
      <c r="F619" s="76">
        <v>3946.96</v>
      </c>
      <c r="G619" s="77"/>
      <c r="H619" s="78">
        <v>152.3767</v>
      </c>
      <c r="I619" s="78">
        <v>150.85570000000001</v>
      </c>
      <c r="J619" s="79">
        <f t="shared" si="473"/>
        <v>193.50527181797486</v>
      </c>
      <c r="K619" s="80">
        <v>1185986.8400000001</v>
      </c>
      <c r="L619" s="81">
        <f t="shared" si="470"/>
        <v>552.55126875600001</v>
      </c>
      <c r="M619" s="65"/>
      <c r="N619" s="66"/>
      <c r="O619" s="19"/>
      <c r="P619" s="19"/>
      <c r="Q619" s="19"/>
      <c r="R619" s="19"/>
      <c r="S619" s="19"/>
      <c r="T619" s="19"/>
      <c r="U619" s="19"/>
      <c r="V619" s="19"/>
      <c r="W619" s="19"/>
      <c r="IH619" s="60"/>
      <c r="II619" s="60"/>
      <c r="IJ619" s="60"/>
      <c r="IK619" s="60"/>
      <c r="IL619" s="60"/>
      <c r="IM619" s="60"/>
    </row>
    <row r="620" spans="1:247" s="61" customFormat="1" ht="20.25" customHeight="1" x14ac:dyDescent="0.25">
      <c r="A620" s="75">
        <v>40261</v>
      </c>
      <c r="B620" s="76">
        <v>461.99</v>
      </c>
      <c r="C620" s="76">
        <f t="shared" si="474"/>
        <v>459.68004999999999</v>
      </c>
      <c r="D620" s="76">
        <f t="shared" si="475"/>
        <v>464.29994999999997</v>
      </c>
      <c r="E620" s="78">
        <f>3908.406/1800.553*100</f>
        <v>217.06697886704808</v>
      </c>
      <c r="F620" s="76">
        <v>3908.4059999999999</v>
      </c>
      <c r="G620" s="77"/>
      <c r="H620" s="78">
        <v>151.7722</v>
      </c>
      <c r="I620" s="78">
        <v>150.84899999999999</v>
      </c>
      <c r="J620" s="79">
        <f t="shared" si="473"/>
        <v>192.17471917584464</v>
      </c>
      <c r="K620" s="80">
        <v>1184937.68</v>
      </c>
      <c r="L620" s="82">
        <f t="shared" si="470"/>
        <v>547.42935878319997</v>
      </c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IH620" s="62"/>
      <c r="II620" s="62"/>
      <c r="IJ620" s="62"/>
      <c r="IK620" s="62"/>
      <c r="IL620" s="62"/>
      <c r="IM620" s="62"/>
    </row>
    <row r="621" spans="1:247" s="61" customFormat="1" ht="20.25" customHeight="1" x14ac:dyDescent="0.25">
      <c r="A621" s="75">
        <v>40254</v>
      </c>
      <c r="B621" s="76">
        <v>467.99</v>
      </c>
      <c r="C621" s="76">
        <f t="shared" ref="C621:C626" si="476">0.995*B621</f>
        <v>465.65005000000002</v>
      </c>
      <c r="D621" s="76">
        <f t="shared" ref="D621:D626" si="477">1.005*B621</f>
        <v>470.32994999999994</v>
      </c>
      <c r="E621" s="78">
        <f>3947.595/1800.553*100</f>
        <v>219.24347686516307</v>
      </c>
      <c r="F621" s="76">
        <v>3947.5949999999998</v>
      </c>
      <c r="G621" s="77"/>
      <c r="H621" s="78">
        <v>153.9083</v>
      </c>
      <c r="I621" s="78">
        <v>150.26079999999999</v>
      </c>
      <c r="J621" s="79">
        <f t="shared" si="473"/>
        <v>194.4897652503189</v>
      </c>
      <c r="K621" s="80">
        <v>1184900.03</v>
      </c>
      <c r="L621" s="83">
        <f t="shared" ref="L621:L626" si="478">K621*B621/1000000</f>
        <v>554.52136503970007</v>
      </c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IH621" s="62"/>
      <c r="II621" s="62"/>
      <c r="IJ621" s="62"/>
      <c r="IK621" s="62"/>
      <c r="IL621" s="62"/>
      <c r="IM621" s="62"/>
    </row>
    <row r="622" spans="1:247" s="61" customFormat="1" ht="20.25" customHeight="1" x14ac:dyDescent="0.25">
      <c r="A622" s="75">
        <v>40247</v>
      </c>
      <c r="B622" s="76">
        <v>464.97</v>
      </c>
      <c r="C622" s="76">
        <f t="shared" si="476"/>
        <v>462.64515</v>
      </c>
      <c r="D622" s="76">
        <f t="shared" si="477"/>
        <v>467.29485</v>
      </c>
      <c r="E622" s="78">
        <f>3873.371/1800.553*100</f>
        <v>215.12118776842448</v>
      </c>
      <c r="F622" s="76">
        <v>3873.3710000000001</v>
      </c>
      <c r="G622" s="77"/>
      <c r="H622" s="78">
        <v>153.26050000000001</v>
      </c>
      <c r="I622" s="78">
        <v>150.25309999999999</v>
      </c>
      <c r="J622" s="79">
        <f t="shared" si="473"/>
        <v>192.24155536593935</v>
      </c>
      <c r="K622" s="80">
        <v>1160453.6299999999</v>
      </c>
      <c r="L622" s="83">
        <f t="shared" si="478"/>
        <v>539.57612434110001</v>
      </c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IH622" s="62"/>
      <c r="II622" s="62"/>
      <c r="IJ622" s="62"/>
      <c r="IK622" s="62"/>
      <c r="IL622" s="62"/>
      <c r="IM622" s="62"/>
    </row>
    <row r="623" spans="1:247" s="56" customFormat="1" ht="20.25" customHeight="1" x14ac:dyDescent="0.25">
      <c r="A623" s="75">
        <v>40240</v>
      </c>
      <c r="B623" s="76">
        <v>469.65</v>
      </c>
      <c r="C623" s="76">
        <f t="shared" si="476"/>
        <v>467.30174999999997</v>
      </c>
      <c r="D623" s="76">
        <f t="shared" si="477"/>
        <v>471.99824999999993</v>
      </c>
      <c r="E623" s="78">
        <f>3795.677/1800.553*100</f>
        <v>210.80618010133554</v>
      </c>
      <c r="F623" s="76">
        <v>3795.6770000000001</v>
      </c>
      <c r="G623" s="77"/>
      <c r="H623" s="78">
        <v>154.01929999999999</v>
      </c>
      <c r="I623" s="78">
        <v>150.24600000000001</v>
      </c>
      <c r="J623" s="79">
        <f t="shared" si="473"/>
        <v>190.75912609520822</v>
      </c>
      <c r="K623" s="80">
        <v>1149371.79</v>
      </c>
      <c r="L623" s="83">
        <f t="shared" si="478"/>
        <v>539.80246117349998</v>
      </c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IH623" s="60"/>
      <c r="II623" s="60"/>
      <c r="IJ623" s="60"/>
      <c r="IK623" s="60"/>
      <c r="IL623" s="60"/>
      <c r="IM623" s="60"/>
    </row>
    <row r="624" spans="1:247" s="61" customFormat="1" ht="20.25" customHeight="1" x14ac:dyDescent="0.25">
      <c r="A624" s="75">
        <v>40233</v>
      </c>
      <c r="B624" s="76">
        <v>463.12</v>
      </c>
      <c r="C624" s="76">
        <f t="shared" si="476"/>
        <v>460.80439999999999</v>
      </c>
      <c r="D624" s="76">
        <f t="shared" si="477"/>
        <v>465.43559999999997</v>
      </c>
      <c r="E624" s="78">
        <f>3713.771/1800.553*100</f>
        <v>206.25724430216715</v>
      </c>
      <c r="F624" s="76">
        <v>3713.7710000000002</v>
      </c>
      <c r="G624" s="84"/>
      <c r="H624" s="78">
        <v>153.435</v>
      </c>
      <c r="I624" s="78">
        <v>150.2388</v>
      </c>
      <c r="J624" s="79">
        <f t="shared" si="473"/>
        <v>188.32383535678207</v>
      </c>
      <c r="K624" s="80">
        <v>1102942.28</v>
      </c>
      <c r="L624" s="83">
        <f t="shared" si="478"/>
        <v>510.79462871360005</v>
      </c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IH624" s="62"/>
      <c r="II624" s="62"/>
      <c r="IJ624" s="62"/>
      <c r="IK624" s="62"/>
      <c r="IL624" s="62"/>
      <c r="IM624" s="62"/>
    </row>
    <row r="625" spans="1:247" s="61" customFormat="1" ht="20.25" customHeight="1" x14ac:dyDescent="0.25">
      <c r="A625" s="75">
        <v>40226</v>
      </c>
      <c r="B625" s="76">
        <v>466.28</v>
      </c>
      <c r="C625" s="76">
        <f t="shared" si="476"/>
        <v>463.9486</v>
      </c>
      <c r="D625" s="76">
        <f t="shared" si="477"/>
        <v>468.61139999999995</v>
      </c>
      <c r="E625" s="78">
        <f>3713.987/1800.553*100</f>
        <v>206.2692406166328</v>
      </c>
      <c r="F625" s="76">
        <v>3713.9870000000001</v>
      </c>
      <c r="G625" s="84"/>
      <c r="H625" s="78">
        <v>153.5942</v>
      </c>
      <c r="I625" s="78">
        <v>150.23269999999999</v>
      </c>
      <c r="J625" s="79">
        <f t="shared" si="473"/>
        <v>188.42696671118017</v>
      </c>
      <c r="K625" s="80">
        <v>1099261.3</v>
      </c>
      <c r="L625" s="83">
        <f t="shared" si="478"/>
        <v>512.56355896399998</v>
      </c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IH625" s="62"/>
      <c r="II625" s="62"/>
      <c r="IJ625" s="62"/>
      <c r="IK625" s="62"/>
      <c r="IL625" s="62"/>
      <c r="IM625" s="62"/>
    </row>
    <row r="626" spans="1:247" s="61" customFormat="1" ht="20.25" customHeight="1" x14ac:dyDescent="0.25">
      <c r="A626" s="75">
        <v>40219</v>
      </c>
      <c r="B626" s="76">
        <v>463.19</v>
      </c>
      <c r="C626" s="76">
        <f t="shared" si="476"/>
        <v>460.87405000000001</v>
      </c>
      <c r="D626" s="76">
        <f t="shared" si="477"/>
        <v>465.50594999999993</v>
      </c>
      <c r="E626" s="78">
        <f>3606.043/1800.553*100</f>
        <v>200.27419353942926</v>
      </c>
      <c r="F626" s="76">
        <v>3606.0430000000001</v>
      </c>
      <c r="G626" s="77"/>
      <c r="H626" s="78">
        <v>154.20670000000001</v>
      </c>
      <c r="I626" s="78">
        <v>150.2259</v>
      </c>
      <c r="J626" s="79">
        <f t="shared" si="473"/>
        <v>186.01231710504931</v>
      </c>
      <c r="K626" s="80">
        <v>1097472</v>
      </c>
      <c r="L626" s="83">
        <f t="shared" si="478"/>
        <v>508.33805568000002</v>
      </c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IH626" s="62"/>
      <c r="II626" s="62"/>
      <c r="IJ626" s="62"/>
      <c r="IK626" s="62"/>
      <c r="IL626" s="62"/>
      <c r="IM626" s="62"/>
    </row>
    <row r="627" spans="1:247" s="56" customFormat="1" ht="20.25" customHeight="1" x14ac:dyDescent="0.25">
      <c r="A627" s="75">
        <v>40212</v>
      </c>
      <c r="B627" s="76">
        <v>465.67</v>
      </c>
      <c r="C627" s="76">
        <f t="shared" ref="C627:C633" si="479">0.995*B627</f>
        <v>463.34165000000002</v>
      </c>
      <c r="D627" s="76">
        <f t="shared" ref="D627:D634" si="480">1.005*B627</f>
        <v>467.99834999999996</v>
      </c>
      <c r="E627" s="78">
        <f>3726.456/1800.553*100</f>
        <v>206.96175008455734</v>
      </c>
      <c r="F627" s="76">
        <v>3726.4560000000001</v>
      </c>
      <c r="G627" s="77"/>
      <c r="H627" s="85">
        <v>154.65719999999999</v>
      </c>
      <c r="I627" s="85">
        <v>150.21899999999999</v>
      </c>
      <c r="J627" s="79">
        <f t="shared" si="473"/>
        <v>189.3472814116889</v>
      </c>
      <c r="K627" s="86">
        <v>1110753</v>
      </c>
      <c r="L627" s="83">
        <f t="shared" ref="L627:L633" si="481">K627*B627/1000000</f>
        <v>517.24434951000001</v>
      </c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IH627" s="60"/>
      <c r="II627" s="60"/>
      <c r="IJ627" s="60"/>
      <c r="IK627" s="60"/>
      <c r="IL627" s="60"/>
      <c r="IM627" s="60"/>
    </row>
    <row r="628" spans="1:247" s="57" customFormat="1" ht="20.25" customHeight="1" x14ac:dyDescent="0.25">
      <c r="A628" s="75">
        <v>40205</v>
      </c>
      <c r="B628" s="76">
        <v>464.03</v>
      </c>
      <c r="C628" s="76">
        <f t="shared" si="479"/>
        <v>461.70984999999996</v>
      </c>
      <c r="D628" s="76">
        <f t="shared" si="480"/>
        <v>466.35014999999993</v>
      </c>
      <c r="E628" s="78">
        <f>3729.324/1800.553*100</f>
        <v>207.12103448218406</v>
      </c>
      <c r="F628" s="76">
        <v>3729.3240000000001</v>
      </c>
      <c r="G628" s="84"/>
      <c r="H628" s="85">
        <v>155.53</v>
      </c>
      <c r="I628" s="85">
        <v>150.21250000000001</v>
      </c>
      <c r="J628" s="79">
        <f t="shared" si="473"/>
        <v>189.9533102818657</v>
      </c>
      <c r="K628" s="86">
        <v>1104848.82</v>
      </c>
      <c r="L628" s="83">
        <f t="shared" si="481"/>
        <v>512.68299794459995</v>
      </c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56"/>
      <c r="Y628" s="56"/>
      <c r="Z628" s="56"/>
      <c r="AA628" s="56"/>
      <c r="AB628" s="56"/>
      <c r="AC628" s="56"/>
      <c r="AD628" s="56"/>
      <c r="AE628" s="56"/>
      <c r="AF628" s="56"/>
      <c r="AG628" s="56"/>
      <c r="AH628" s="56"/>
      <c r="AI628" s="56"/>
      <c r="AJ628" s="56"/>
      <c r="AK628" s="56"/>
      <c r="AL628" s="56"/>
      <c r="AM628" s="56"/>
      <c r="AN628" s="56"/>
      <c r="AO628" s="56"/>
      <c r="AP628" s="56"/>
      <c r="AQ628" s="56"/>
      <c r="AR628" s="56"/>
      <c r="AS628" s="56"/>
      <c r="AT628" s="56"/>
      <c r="AU628" s="56"/>
      <c r="AV628" s="56"/>
      <c r="AW628" s="56"/>
      <c r="AX628" s="56"/>
      <c r="AY628" s="56"/>
      <c r="AZ628" s="56"/>
      <c r="BA628" s="56"/>
      <c r="BB628" s="56"/>
      <c r="BC628" s="56"/>
      <c r="BD628" s="56"/>
      <c r="BE628" s="56"/>
      <c r="BF628" s="56"/>
      <c r="BG628" s="56"/>
      <c r="BH628" s="56"/>
      <c r="BI628" s="56"/>
      <c r="BJ628" s="56"/>
      <c r="BK628" s="56"/>
      <c r="BL628" s="56"/>
      <c r="BM628" s="56"/>
      <c r="BN628" s="56"/>
      <c r="BO628" s="56"/>
      <c r="BP628" s="56"/>
      <c r="BQ628" s="56"/>
      <c r="BR628" s="56"/>
      <c r="BS628" s="56"/>
      <c r="BT628" s="56"/>
      <c r="BU628" s="56"/>
      <c r="BV628" s="56"/>
      <c r="BW628" s="56"/>
      <c r="BX628" s="56"/>
      <c r="BY628" s="56"/>
      <c r="BZ628" s="56"/>
      <c r="CA628" s="56"/>
      <c r="CB628" s="56"/>
      <c r="CC628" s="56"/>
      <c r="CD628" s="56"/>
      <c r="CE628" s="56"/>
      <c r="CF628" s="56"/>
      <c r="CG628" s="56"/>
      <c r="CH628" s="56"/>
      <c r="CI628" s="56"/>
      <c r="CJ628" s="56"/>
      <c r="CK628" s="56"/>
      <c r="CL628" s="56"/>
      <c r="CM628" s="56"/>
      <c r="CN628" s="56"/>
      <c r="CO628" s="56"/>
      <c r="CP628" s="56"/>
      <c r="CQ628" s="56"/>
      <c r="CR628" s="56"/>
      <c r="CS628" s="56"/>
      <c r="CT628" s="56"/>
      <c r="CU628" s="56"/>
      <c r="CV628" s="56"/>
      <c r="CW628" s="56"/>
      <c r="CX628" s="56"/>
      <c r="CY628" s="56"/>
      <c r="CZ628" s="56"/>
      <c r="DA628" s="56"/>
      <c r="DB628" s="56"/>
      <c r="DC628" s="56"/>
      <c r="DD628" s="56"/>
      <c r="DE628" s="56"/>
      <c r="DF628" s="56"/>
      <c r="DG628" s="56"/>
      <c r="DH628" s="56"/>
      <c r="DI628" s="56"/>
      <c r="DJ628" s="56"/>
      <c r="DK628" s="56"/>
      <c r="DL628" s="56"/>
      <c r="DM628" s="56"/>
      <c r="IH628" s="58"/>
      <c r="II628" s="58"/>
      <c r="IJ628" s="58"/>
      <c r="IK628" s="58"/>
      <c r="IL628" s="58"/>
      <c r="IM628" s="58"/>
    </row>
    <row r="629" spans="1:247" s="57" customFormat="1" ht="20.25" customHeight="1" x14ac:dyDescent="0.25">
      <c r="A629" s="87">
        <v>40198</v>
      </c>
      <c r="B629" s="88">
        <v>468.89</v>
      </c>
      <c r="C629" s="76">
        <f t="shared" si="479"/>
        <v>466.54554999999999</v>
      </c>
      <c r="D629" s="76">
        <f t="shared" si="480"/>
        <v>471.23444999999992</v>
      </c>
      <c r="E629" s="78">
        <f>3873.151/1800.553*100</f>
        <v>215.10896929998725</v>
      </c>
      <c r="F629" s="88">
        <v>3873.1509999999998</v>
      </c>
      <c r="G629" s="77"/>
      <c r="H629" s="89">
        <v>155.54</v>
      </c>
      <c r="I629" s="89">
        <v>150.20599999999999</v>
      </c>
      <c r="J629" s="79">
        <f t="shared" si="473"/>
        <v>193.55327109376219</v>
      </c>
      <c r="K629" s="90">
        <v>1102985.97</v>
      </c>
      <c r="L629" s="91">
        <f t="shared" si="481"/>
        <v>517.17909147329999</v>
      </c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56"/>
      <c r="Y629" s="56"/>
      <c r="Z629" s="56"/>
      <c r="AA629" s="56"/>
      <c r="AB629" s="56"/>
      <c r="AC629" s="56"/>
      <c r="AD629" s="56"/>
      <c r="AE629" s="56"/>
      <c r="AF629" s="56"/>
      <c r="AG629" s="56"/>
      <c r="AH629" s="56"/>
      <c r="AI629" s="56"/>
      <c r="AJ629" s="56"/>
      <c r="AK629" s="56"/>
      <c r="AL629" s="56"/>
      <c r="AM629" s="56"/>
      <c r="AN629" s="56"/>
      <c r="AO629" s="56"/>
      <c r="AP629" s="56"/>
      <c r="AQ629" s="56"/>
      <c r="AR629" s="56"/>
      <c r="AS629" s="56"/>
      <c r="AT629" s="56"/>
      <c r="AU629" s="56"/>
      <c r="AV629" s="56"/>
      <c r="AW629" s="56"/>
      <c r="AX629" s="56"/>
      <c r="AY629" s="56"/>
      <c r="AZ629" s="56"/>
      <c r="BA629" s="56"/>
      <c r="BB629" s="56"/>
      <c r="BC629" s="56"/>
      <c r="BD629" s="56"/>
      <c r="BE629" s="56"/>
      <c r="BF629" s="56"/>
      <c r="BG629" s="56"/>
      <c r="BH629" s="56"/>
      <c r="BI629" s="56"/>
      <c r="BJ629" s="56"/>
      <c r="BK629" s="56"/>
      <c r="BL629" s="56"/>
      <c r="BM629" s="56"/>
      <c r="BN629" s="56"/>
      <c r="BO629" s="56"/>
      <c r="BP629" s="56"/>
      <c r="BQ629" s="56"/>
      <c r="BR629" s="56"/>
      <c r="BS629" s="56"/>
      <c r="BT629" s="56"/>
      <c r="BU629" s="56"/>
      <c r="BV629" s="56"/>
      <c r="BW629" s="56"/>
      <c r="BX629" s="56"/>
      <c r="BY629" s="56"/>
      <c r="BZ629" s="56"/>
      <c r="CA629" s="56"/>
      <c r="CB629" s="56"/>
      <c r="CC629" s="56"/>
      <c r="CD629" s="56"/>
      <c r="CE629" s="56"/>
      <c r="CF629" s="56"/>
      <c r="CG629" s="56"/>
      <c r="CH629" s="56"/>
      <c r="CI629" s="56"/>
      <c r="CJ629" s="56"/>
      <c r="CK629" s="56"/>
      <c r="CL629" s="56"/>
      <c r="CM629" s="56"/>
      <c r="CN629" s="56"/>
      <c r="CO629" s="56"/>
      <c r="CP629" s="56"/>
      <c r="CQ629" s="56"/>
      <c r="CR629" s="56"/>
      <c r="CS629" s="56"/>
      <c r="CT629" s="56"/>
      <c r="CU629" s="56"/>
      <c r="CV629" s="56"/>
      <c r="CW629" s="56"/>
      <c r="CX629" s="56"/>
      <c r="CY629" s="56"/>
      <c r="CZ629" s="56"/>
      <c r="DA629" s="56"/>
      <c r="DB629" s="56"/>
      <c r="DC629" s="56"/>
      <c r="DD629" s="56"/>
      <c r="DE629" s="56"/>
      <c r="DF629" s="56"/>
      <c r="DG629" s="56"/>
      <c r="DH629" s="56"/>
      <c r="DI629" s="56"/>
      <c r="DJ629" s="56"/>
      <c r="DK629" s="56"/>
      <c r="DL629" s="56"/>
      <c r="DM629" s="56"/>
      <c r="IH629" s="58"/>
      <c r="II629" s="58"/>
      <c r="IJ629" s="58"/>
      <c r="IK629" s="58"/>
      <c r="IL629" s="58"/>
      <c r="IM629" s="58"/>
    </row>
    <row r="630" spans="1:247" s="56" customFormat="1" ht="20.25" customHeight="1" x14ac:dyDescent="0.25">
      <c r="A630" s="87">
        <v>40191</v>
      </c>
      <c r="B630" s="88">
        <v>471.32</v>
      </c>
      <c r="C630" s="76">
        <f t="shared" si="479"/>
        <v>468.96339999999998</v>
      </c>
      <c r="D630" s="76">
        <f t="shared" si="480"/>
        <v>473.67659999999995</v>
      </c>
      <c r="E630" s="78">
        <f>3928.576/1800.553*100</f>
        <v>218.18719026876741</v>
      </c>
      <c r="F630" s="88">
        <v>3928.576</v>
      </c>
      <c r="G630" s="77"/>
      <c r="H630" s="89">
        <v>156.58000000000001</v>
      </c>
      <c r="I630" s="89">
        <v>150.19980000000001</v>
      </c>
      <c r="J630" s="79">
        <f t="shared" si="473"/>
        <v>195.58245249013848</v>
      </c>
      <c r="K630" s="90">
        <v>1097748.92</v>
      </c>
      <c r="L630" s="91">
        <f t="shared" si="481"/>
        <v>517.39102097440002</v>
      </c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IH630" s="60"/>
      <c r="II630" s="60"/>
      <c r="IJ630" s="60"/>
      <c r="IK630" s="60"/>
      <c r="IL630" s="60"/>
      <c r="IM630" s="60"/>
    </row>
    <row r="631" spans="1:247" s="57" customFormat="1" ht="20.25" customHeight="1" x14ac:dyDescent="0.25">
      <c r="A631" s="75">
        <v>40184</v>
      </c>
      <c r="B631" s="76">
        <v>467.17</v>
      </c>
      <c r="C631" s="76">
        <f t="shared" si="479"/>
        <v>464.83415000000002</v>
      </c>
      <c r="D631" s="76">
        <f t="shared" si="480"/>
        <v>469.50584999999995</v>
      </c>
      <c r="E631" s="78">
        <f>3901.754/1800.553*100</f>
        <v>216.69753681230156</v>
      </c>
      <c r="F631" s="76">
        <v>3901.7539999999999</v>
      </c>
      <c r="G631" s="84"/>
      <c r="H631" s="78">
        <v>155.81</v>
      </c>
      <c r="I631" s="78">
        <v>150.19</v>
      </c>
      <c r="J631" s="79">
        <f t="shared" si="473"/>
        <v>194.4337127762719</v>
      </c>
      <c r="K631" s="80">
        <v>1086699.42</v>
      </c>
      <c r="L631" s="83">
        <f t="shared" si="481"/>
        <v>507.67336804139995</v>
      </c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56"/>
      <c r="Y631" s="56"/>
      <c r="Z631" s="56"/>
      <c r="AA631" s="56"/>
      <c r="AB631" s="56"/>
      <c r="AC631" s="56"/>
      <c r="AD631" s="56"/>
      <c r="AE631" s="56"/>
      <c r="AF631" s="56"/>
      <c r="AG631" s="56"/>
      <c r="AH631" s="56"/>
      <c r="AI631" s="56"/>
      <c r="AJ631" s="56"/>
      <c r="AK631" s="56"/>
      <c r="AL631" s="56"/>
      <c r="AM631" s="56"/>
      <c r="AN631" s="56"/>
      <c r="AO631" s="56"/>
      <c r="AP631" s="56"/>
      <c r="AQ631" s="56"/>
      <c r="AR631" s="56"/>
      <c r="AS631" s="56"/>
      <c r="AT631" s="56"/>
      <c r="AU631" s="56"/>
      <c r="AV631" s="56"/>
      <c r="AW631" s="56"/>
      <c r="AX631" s="56"/>
      <c r="AY631" s="56"/>
      <c r="AZ631" s="56"/>
      <c r="BA631" s="56"/>
      <c r="BB631" s="56"/>
      <c r="BC631" s="56"/>
      <c r="BD631" s="56"/>
      <c r="BE631" s="56"/>
      <c r="BF631" s="56"/>
      <c r="BG631" s="56"/>
      <c r="BH631" s="56"/>
      <c r="BI631" s="56"/>
      <c r="BJ631" s="56"/>
      <c r="BK631" s="56"/>
      <c r="BL631" s="56"/>
      <c r="BM631" s="56"/>
      <c r="BN631" s="56"/>
      <c r="BO631" s="56"/>
      <c r="BP631" s="56"/>
      <c r="BQ631" s="56"/>
      <c r="BR631" s="56"/>
      <c r="BS631" s="56"/>
      <c r="BT631" s="56"/>
      <c r="BU631" s="56"/>
      <c r="BV631" s="56"/>
      <c r="BW631" s="56"/>
      <c r="BX631" s="56"/>
      <c r="BY631" s="56"/>
      <c r="BZ631" s="56"/>
      <c r="CA631" s="56"/>
      <c r="CB631" s="56"/>
      <c r="CC631" s="56"/>
      <c r="CD631" s="56"/>
      <c r="CE631" s="56"/>
      <c r="CF631" s="56"/>
      <c r="CG631" s="56"/>
      <c r="CH631" s="56"/>
      <c r="CI631" s="56"/>
      <c r="CJ631" s="56"/>
      <c r="CK631" s="56"/>
      <c r="CL631" s="56"/>
      <c r="CM631" s="56"/>
      <c r="CN631" s="56"/>
      <c r="CO631" s="56"/>
      <c r="CP631" s="56"/>
      <c r="CQ631" s="56"/>
      <c r="CR631" s="56"/>
      <c r="CS631" s="56"/>
      <c r="CT631" s="56"/>
      <c r="CU631" s="56"/>
      <c r="CV631" s="56"/>
      <c r="CW631" s="56"/>
      <c r="CX631" s="56"/>
      <c r="CY631" s="56"/>
      <c r="CZ631" s="56"/>
      <c r="DA631" s="56"/>
      <c r="DB631" s="56"/>
      <c r="DC631" s="56"/>
      <c r="DD631" s="56"/>
      <c r="DE631" s="56"/>
      <c r="DF631" s="56"/>
      <c r="DG631" s="56"/>
      <c r="DH631" s="56"/>
      <c r="DI631" s="56"/>
      <c r="DJ631" s="56"/>
      <c r="DK631" s="56"/>
      <c r="DL631" s="56"/>
      <c r="DM631" s="56"/>
      <c r="IH631" s="58"/>
      <c r="II631" s="58"/>
      <c r="IJ631" s="58"/>
      <c r="IK631" s="58"/>
      <c r="IL631" s="58"/>
      <c r="IM631" s="58"/>
    </row>
    <row r="632" spans="1:247" s="57" customFormat="1" ht="20.25" customHeight="1" x14ac:dyDescent="0.25">
      <c r="A632" s="75">
        <v>40178</v>
      </c>
      <c r="B632" s="76">
        <v>461.89</v>
      </c>
      <c r="C632" s="76">
        <f t="shared" si="479"/>
        <v>459.58054999999996</v>
      </c>
      <c r="D632" s="76">
        <f t="shared" si="480"/>
        <v>464.19944999999996</v>
      </c>
      <c r="E632" s="78">
        <f>3818.859/1800.553*100</f>
        <v>212.09367344365864</v>
      </c>
      <c r="F632" s="76">
        <v>3818.8589999999999</v>
      </c>
      <c r="G632" s="84"/>
      <c r="H632" s="78">
        <v>155.53</v>
      </c>
      <c r="I632" s="78">
        <v>150.1876</v>
      </c>
      <c r="J632" s="79">
        <f t="shared" si="473"/>
        <v>192.17498019213875</v>
      </c>
      <c r="K632" s="80">
        <v>1085525.3338848678</v>
      </c>
      <c r="L632" s="83">
        <f t="shared" si="481"/>
        <v>501.39329646808159</v>
      </c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56"/>
      <c r="Y632" s="56"/>
      <c r="Z632" s="56"/>
      <c r="AA632" s="56"/>
      <c r="AB632" s="56"/>
      <c r="AC632" s="56"/>
      <c r="AD632" s="56"/>
      <c r="AE632" s="56"/>
      <c r="AF632" s="56"/>
      <c r="AG632" s="56"/>
      <c r="AH632" s="56"/>
      <c r="AI632" s="56"/>
      <c r="AJ632" s="56"/>
      <c r="AK632" s="56"/>
      <c r="AL632" s="56"/>
      <c r="AM632" s="56"/>
      <c r="AN632" s="56"/>
      <c r="AO632" s="56"/>
      <c r="AP632" s="56"/>
      <c r="AQ632" s="56"/>
      <c r="AR632" s="56"/>
      <c r="AS632" s="56"/>
      <c r="AT632" s="56"/>
      <c r="AU632" s="56"/>
      <c r="AV632" s="56"/>
      <c r="AW632" s="56"/>
      <c r="AX632" s="56"/>
      <c r="AY632" s="56"/>
      <c r="AZ632" s="56"/>
      <c r="BA632" s="56"/>
      <c r="BB632" s="56"/>
      <c r="BC632" s="56"/>
      <c r="BD632" s="56"/>
      <c r="BE632" s="56"/>
      <c r="BF632" s="56"/>
      <c r="BG632" s="56"/>
      <c r="BH632" s="56"/>
      <c r="BI632" s="56"/>
      <c r="BJ632" s="56"/>
      <c r="BK632" s="56"/>
      <c r="BL632" s="56"/>
      <c r="BM632" s="56"/>
      <c r="BN632" s="56"/>
      <c r="BO632" s="56"/>
      <c r="BP632" s="56"/>
      <c r="BQ632" s="56"/>
      <c r="BR632" s="56"/>
      <c r="BS632" s="56"/>
      <c r="BT632" s="56"/>
      <c r="BU632" s="56"/>
      <c r="BV632" s="56"/>
      <c r="BW632" s="56"/>
      <c r="BX632" s="56"/>
      <c r="BY632" s="56"/>
      <c r="BZ632" s="56"/>
      <c r="CA632" s="56"/>
      <c r="CB632" s="56"/>
      <c r="CC632" s="56"/>
      <c r="CD632" s="56"/>
      <c r="CE632" s="56"/>
      <c r="CF632" s="56"/>
      <c r="CG632" s="56"/>
      <c r="CH632" s="56"/>
      <c r="CI632" s="56"/>
      <c r="CJ632" s="56"/>
      <c r="CK632" s="56"/>
      <c r="CL632" s="56"/>
      <c r="CM632" s="56"/>
      <c r="CN632" s="56"/>
      <c r="CO632" s="56"/>
      <c r="CP632" s="56"/>
      <c r="CQ632" s="56"/>
      <c r="CR632" s="56"/>
      <c r="CS632" s="56"/>
      <c r="CT632" s="56"/>
      <c r="CU632" s="56"/>
      <c r="CV632" s="56"/>
      <c r="CW632" s="56"/>
      <c r="CX632" s="56"/>
      <c r="CY632" s="56"/>
      <c r="CZ632" s="56"/>
      <c r="DA632" s="56"/>
      <c r="DB632" s="56"/>
      <c r="DC632" s="56"/>
      <c r="DD632" s="56"/>
      <c r="DE632" s="56"/>
      <c r="DF632" s="56"/>
      <c r="DG632" s="56"/>
      <c r="DH632" s="56"/>
      <c r="DI632" s="56"/>
      <c r="DJ632" s="56"/>
      <c r="DK632" s="56"/>
      <c r="DL632" s="56"/>
      <c r="DM632" s="56"/>
      <c r="IH632" s="58"/>
      <c r="II632" s="58"/>
      <c r="IJ632" s="58"/>
      <c r="IK632" s="58"/>
      <c r="IL632" s="58"/>
      <c r="IM632" s="58"/>
    </row>
    <row r="633" spans="1:247" s="57" customFormat="1" ht="20.25" customHeight="1" x14ac:dyDescent="0.25">
      <c r="A633" s="75">
        <v>40171</v>
      </c>
      <c r="B633" s="76">
        <v>463.1</v>
      </c>
      <c r="C633" s="76">
        <f t="shared" si="479"/>
        <v>460.78450000000004</v>
      </c>
      <c r="D633" s="76">
        <f t="shared" si="480"/>
        <v>465.41549999999995</v>
      </c>
      <c r="E633" s="78">
        <f>3829.458/1800.553*100</f>
        <v>212.68232592986709</v>
      </c>
      <c r="F633" s="76">
        <v>3829.4580000000001</v>
      </c>
      <c r="G633" s="84"/>
      <c r="H633" s="78">
        <v>155.85339999999999</v>
      </c>
      <c r="I633" s="78">
        <v>150.18</v>
      </c>
      <c r="J633" s="79">
        <f t="shared" si="473"/>
        <v>192.64144039567708</v>
      </c>
      <c r="K633" s="80">
        <v>1068886.6677000001</v>
      </c>
      <c r="L633" s="83">
        <f t="shared" si="481"/>
        <v>495.00141581187012</v>
      </c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56"/>
      <c r="Y633" s="56"/>
      <c r="Z633" s="56"/>
      <c r="AA633" s="56"/>
      <c r="AB633" s="56"/>
      <c r="AC633" s="56"/>
      <c r="AD633" s="56"/>
      <c r="AE633" s="56"/>
      <c r="AF633" s="56"/>
      <c r="AG633" s="56"/>
      <c r="AH633" s="56"/>
      <c r="AI633" s="56"/>
      <c r="AJ633" s="56"/>
      <c r="AK633" s="56"/>
      <c r="AL633" s="56"/>
      <c r="AM633" s="56"/>
      <c r="AN633" s="56"/>
      <c r="AO633" s="56"/>
      <c r="AP633" s="56"/>
      <c r="AQ633" s="56"/>
      <c r="AR633" s="56"/>
      <c r="AS633" s="56"/>
      <c r="AT633" s="56"/>
      <c r="AU633" s="56"/>
      <c r="AV633" s="56"/>
      <c r="AW633" s="56"/>
      <c r="AX633" s="56"/>
      <c r="AY633" s="56"/>
      <c r="AZ633" s="56"/>
      <c r="BA633" s="56"/>
      <c r="BB633" s="56"/>
      <c r="BC633" s="56"/>
      <c r="BD633" s="56"/>
      <c r="BE633" s="56"/>
      <c r="BF633" s="56"/>
      <c r="BG633" s="56"/>
      <c r="BH633" s="56"/>
      <c r="BI633" s="56"/>
      <c r="BJ633" s="56"/>
      <c r="BK633" s="56"/>
      <c r="BL633" s="56"/>
      <c r="BM633" s="56"/>
      <c r="BN633" s="56"/>
      <c r="BO633" s="56"/>
      <c r="BP633" s="56"/>
      <c r="BQ633" s="56"/>
      <c r="BR633" s="56"/>
      <c r="BS633" s="56"/>
      <c r="BT633" s="56"/>
      <c r="BU633" s="56"/>
      <c r="BV633" s="56"/>
      <c r="BW633" s="56"/>
      <c r="BX633" s="56"/>
      <c r="BY633" s="56"/>
      <c r="BZ633" s="56"/>
      <c r="CA633" s="56"/>
      <c r="CB633" s="56"/>
      <c r="CC633" s="56"/>
      <c r="CD633" s="56"/>
      <c r="CE633" s="56"/>
      <c r="CF633" s="56"/>
      <c r="CG633" s="56"/>
      <c r="CH633" s="56"/>
      <c r="CI633" s="56"/>
      <c r="CJ633" s="56"/>
      <c r="CK633" s="56"/>
      <c r="CL633" s="56"/>
      <c r="CM633" s="56"/>
      <c r="CN633" s="56"/>
      <c r="CO633" s="56"/>
      <c r="CP633" s="56"/>
      <c r="CQ633" s="56"/>
      <c r="CR633" s="56"/>
      <c r="CS633" s="56"/>
      <c r="CT633" s="56"/>
      <c r="CU633" s="56"/>
      <c r="CV633" s="56"/>
      <c r="CW633" s="56"/>
      <c r="CX633" s="56"/>
      <c r="CY633" s="56"/>
      <c r="CZ633" s="56"/>
      <c r="DA633" s="56"/>
      <c r="DB633" s="56"/>
      <c r="DC633" s="56"/>
      <c r="DD633" s="56"/>
      <c r="DE633" s="56"/>
      <c r="DF633" s="56"/>
      <c r="DG633" s="56"/>
      <c r="DH633" s="56"/>
      <c r="DI633" s="56"/>
      <c r="DJ633" s="56"/>
      <c r="DK633" s="56"/>
      <c r="DL633" s="56"/>
      <c r="DM633" s="56"/>
      <c r="IH633" s="58"/>
      <c r="II633" s="58"/>
      <c r="IJ633" s="58"/>
      <c r="IK633" s="58"/>
      <c r="IL633" s="58"/>
      <c r="IM633" s="58"/>
    </row>
    <row r="634" spans="1:247" s="56" customFormat="1" ht="20.25" customHeight="1" x14ac:dyDescent="0.25">
      <c r="A634" s="75">
        <v>40164</v>
      </c>
      <c r="B634" s="76">
        <v>462.28</v>
      </c>
      <c r="C634" s="76">
        <f t="shared" ref="C634:C645" si="482">0.995*B634</f>
        <v>459.96859999999998</v>
      </c>
      <c r="D634" s="76">
        <f t="shared" si="480"/>
        <v>464.59139999999991</v>
      </c>
      <c r="E634" s="78">
        <f>3740.887/1800.553*100</f>
        <v>207.76322607554457</v>
      </c>
      <c r="F634" s="76">
        <v>3740.8870000000002</v>
      </c>
      <c r="G634" s="84"/>
      <c r="H634" s="78">
        <v>156.31739999999999</v>
      </c>
      <c r="I634" s="78">
        <v>150.17259999999999</v>
      </c>
      <c r="J634" s="79">
        <f t="shared" si="473"/>
        <v>190.66725724477533</v>
      </c>
      <c r="K634" s="80">
        <v>1066428.42</v>
      </c>
      <c r="L634" s="83">
        <f t="shared" ref="L634:L696" si="483">K634*B634/1000000</f>
        <v>492.98852999759998</v>
      </c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IH634" s="60"/>
      <c r="II634" s="60"/>
      <c r="IJ634" s="60"/>
      <c r="IK634" s="60"/>
      <c r="IL634" s="60"/>
      <c r="IM634" s="60"/>
    </row>
    <row r="635" spans="1:247" s="57" customFormat="1" ht="20.25" customHeight="1" x14ac:dyDescent="0.25">
      <c r="A635" s="75">
        <v>40157</v>
      </c>
      <c r="B635" s="76">
        <v>467.26</v>
      </c>
      <c r="C635" s="76">
        <f t="shared" si="482"/>
        <v>464.9237</v>
      </c>
      <c r="D635" s="76">
        <f t="shared" ref="D635:D640" si="484">1.005*B635</f>
        <v>469.59629999999993</v>
      </c>
      <c r="E635" s="78">
        <f>3768.327/1800.553*100</f>
        <v>209.28720232062039</v>
      </c>
      <c r="F635" s="76">
        <v>3768.3270000000002</v>
      </c>
      <c r="G635" s="84"/>
      <c r="H635" s="78">
        <v>157.95089999999999</v>
      </c>
      <c r="I635" s="78">
        <v>150.16550000000001</v>
      </c>
      <c r="J635" s="79">
        <f t="shared" si="473"/>
        <v>192.36231233293898</v>
      </c>
      <c r="K635" s="80">
        <v>968829.26</v>
      </c>
      <c r="L635" s="83">
        <f t="shared" si="483"/>
        <v>452.69516002759997</v>
      </c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56"/>
      <c r="Y635" s="56"/>
      <c r="Z635" s="56"/>
      <c r="AA635" s="56"/>
      <c r="AB635" s="56"/>
      <c r="AC635" s="56"/>
      <c r="AD635" s="56"/>
      <c r="AE635" s="56"/>
      <c r="AF635" s="56"/>
      <c r="AG635" s="56"/>
      <c r="AH635" s="56"/>
      <c r="AI635" s="56"/>
      <c r="AJ635" s="56"/>
      <c r="AK635" s="56"/>
      <c r="AL635" s="56"/>
      <c r="AM635" s="56"/>
      <c r="AN635" s="56"/>
      <c r="AO635" s="56"/>
      <c r="AP635" s="56"/>
      <c r="AQ635" s="56"/>
      <c r="AR635" s="56"/>
      <c r="AS635" s="56"/>
      <c r="AT635" s="56"/>
      <c r="AU635" s="56"/>
      <c r="AV635" s="56"/>
      <c r="AW635" s="56"/>
      <c r="AX635" s="56"/>
      <c r="AY635" s="56"/>
      <c r="AZ635" s="56"/>
      <c r="BA635" s="56"/>
      <c r="BB635" s="56"/>
      <c r="BC635" s="56"/>
      <c r="BD635" s="56"/>
      <c r="BE635" s="56"/>
      <c r="BF635" s="56"/>
      <c r="BG635" s="56"/>
      <c r="BH635" s="56"/>
      <c r="BI635" s="56"/>
      <c r="BJ635" s="56"/>
      <c r="BK635" s="56"/>
      <c r="BL635" s="56"/>
      <c r="BM635" s="56"/>
      <c r="BN635" s="56"/>
      <c r="BO635" s="56"/>
      <c r="BP635" s="56"/>
      <c r="BQ635" s="56"/>
      <c r="BR635" s="56"/>
      <c r="BS635" s="56"/>
      <c r="BT635" s="56"/>
      <c r="BU635" s="56"/>
      <c r="BV635" s="56"/>
      <c r="BW635" s="56"/>
      <c r="BX635" s="56"/>
      <c r="BY635" s="56"/>
      <c r="BZ635" s="56"/>
      <c r="CA635" s="56"/>
      <c r="CB635" s="56"/>
      <c r="CC635" s="56"/>
      <c r="CD635" s="56"/>
      <c r="CE635" s="56"/>
      <c r="CF635" s="56"/>
      <c r="CG635" s="56"/>
      <c r="CH635" s="56"/>
      <c r="CI635" s="56"/>
      <c r="CJ635" s="56"/>
      <c r="CK635" s="56"/>
      <c r="CL635" s="56"/>
      <c r="CM635" s="56"/>
      <c r="CN635" s="56"/>
      <c r="CO635" s="56"/>
      <c r="CP635" s="56"/>
      <c r="CQ635" s="56"/>
      <c r="CR635" s="56"/>
      <c r="CS635" s="56"/>
      <c r="CT635" s="56"/>
      <c r="CU635" s="56"/>
      <c r="CV635" s="56"/>
      <c r="CW635" s="56"/>
      <c r="CX635" s="56"/>
      <c r="CY635" s="56"/>
      <c r="CZ635" s="56"/>
      <c r="DA635" s="56"/>
      <c r="DB635" s="56"/>
      <c r="DC635" s="56"/>
      <c r="DD635" s="56"/>
      <c r="DE635" s="56"/>
      <c r="DF635" s="56"/>
      <c r="DG635" s="56"/>
      <c r="DH635" s="56"/>
      <c r="DI635" s="56"/>
      <c r="DJ635" s="56"/>
      <c r="DK635" s="56"/>
      <c r="DL635" s="56"/>
      <c r="DM635" s="56"/>
      <c r="IH635" s="58"/>
      <c r="II635" s="58"/>
      <c r="IJ635" s="58"/>
      <c r="IK635" s="58"/>
      <c r="IL635" s="58"/>
      <c r="IM635" s="58"/>
    </row>
    <row r="636" spans="1:247" s="57" customFormat="1" ht="20.25" customHeight="1" x14ac:dyDescent="0.25">
      <c r="A636" s="75">
        <v>40150</v>
      </c>
      <c r="B636" s="76">
        <v>474.8</v>
      </c>
      <c r="C636" s="76">
        <f t="shared" si="482"/>
        <v>472.42599999999999</v>
      </c>
      <c r="D636" s="76">
        <f t="shared" si="484"/>
        <v>477.17399999999998</v>
      </c>
      <c r="E636" s="78">
        <f>3821.326/1800.553*100</f>
        <v>212.23068690563397</v>
      </c>
      <c r="F636" s="76">
        <v>3821.326</v>
      </c>
      <c r="G636" s="84"/>
      <c r="H636" s="78">
        <v>159.0257</v>
      </c>
      <c r="I636" s="78">
        <v>150.15809999999999</v>
      </c>
      <c r="J636" s="79">
        <f t="shared" si="473"/>
        <v>194.36700639221053</v>
      </c>
      <c r="K636" s="80">
        <v>957677.74</v>
      </c>
      <c r="L636" s="83">
        <f t="shared" si="483"/>
        <v>454.70539095200002</v>
      </c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56"/>
      <c r="Y636" s="56"/>
      <c r="Z636" s="56"/>
      <c r="AA636" s="56"/>
      <c r="AB636" s="56"/>
      <c r="AC636" s="56"/>
      <c r="AD636" s="56"/>
      <c r="AE636" s="56"/>
      <c r="AF636" s="56"/>
      <c r="AG636" s="56"/>
      <c r="AH636" s="56"/>
      <c r="AI636" s="56"/>
      <c r="AJ636" s="56"/>
      <c r="AK636" s="56"/>
      <c r="AL636" s="56"/>
      <c r="AM636" s="56"/>
      <c r="AN636" s="56"/>
      <c r="AO636" s="56"/>
      <c r="AP636" s="56"/>
      <c r="AQ636" s="56"/>
      <c r="AR636" s="56"/>
      <c r="AS636" s="56"/>
      <c r="AT636" s="56"/>
      <c r="AU636" s="56"/>
      <c r="AV636" s="56"/>
      <c r="AW636" s="56"/>
      <c r="AX636" s="56"/>
      <c r="AY636" s="56"/>
      <c r="AZ636" s="56"/>
      <c r="BA636" s="56"/>
      <c r="BB636" s="56"/>
      <c r="BC636" s="56"/>
      <c r="BD636" s="56"/>
      <c r="BE636" s="56"/>
      <c r="BF636" s="56"/>
      <c r="BG636" s="56"/>
      <c r="BH636" s="56"/>
      <c r="BI636" s="56"/>
      <c r="BJ636" s="56"/>
      <c r="BK636" s="56"/>
      <c r="BL636" s="56"/>
      <c r="BM636" s="56"/>
      <c r="BN636" s="56"/>
      <c r="BO636" s="56"/>
      <c r="BP636" s="56"/>
      <c r="BQ636" s="56"/>
      <c r="BR636" s="56"/>
      <c r="BS636" s="56"/>
      <c r="BT636" s="56"/>
      <c r="BU636" s="56"/>
      <c r="BV636" s="56"/>
      <c r="BW636" s="56"/>
      <c r="BX636" s="56"/>
      <c r="BY636" s="56"/>
      <c r="BZ636" s="56"/>
      <c r="CA636" s="56"/>
      <c r="CB636" s="56"/>
      <c r="CC636" s="56"/>
      <c r="CD636" s="56"/>
      <c r="CE636" s="56"/>
      <c r="CF636" s="56"/>
      <c r="CG636" s="56"/>
      <c r="CH636" s="56"/>
      <c r="CI636" s="56"/>
      <c r="CJ636" s="56"/>
      <c r="CK636" s="56"/>
      <c r="CL636" s="56"/>
      <c r="CM636" s="56"/>
      <c r="CN636" s="56"/>
      <c r="CO636" s="56"/>
      <c r="CP636" s="56"/>
      <c r="CQ636" s="56"/>
      <c r="CR636" s="56"/>
      <c r="CS636" s="56"/>
      <c r="CT636" s="56"/>
      <c r="CU636" s="56"/>
      <c r="CV636" s="56"/>
      <c r="CW636" s="56"/>
      <c r="CX636" s="56"/>
      <c r="CY636" s="56"/>
      <c r="CZ636" s="56"/>
      <c r="DA636" s="56"/>
      <c r="DB636" s="56"/>
      <c r="DC636" s="56"/>
      <c r="DD636" s="56"/>
      <c r="DE636" s="56"/>
      <c r="DF636" s="56"/>
      <c r="DG636" s="56"/>
      <c r="DH636" s="56"/>
      <c r="DI636" s="56"/>
      <c r="DJ636" s="56"/>
      <c r="DK636" s="56"/>
      <c r="DL636" s="56"/>
      <c r="DM636" s="56"/>
      <c r="IH636" s="58"/>
      <c r="II636" s="58"/>
      <c r="IJ636" s="58"/>
      <c r="IK636" s="58"/>
      <c r="IL636" s="58"/>
      <c r="IM636" s="58"/>
    </row>
    <row r="637" spans="1:247" s="57" customFormat="1" ht="20.25" customHeight="1" x14ac:dyDescent="0.25">
      <c r="A637" s="75">
        <v>40143</v>
      </c>
      <c r="B637" s="76">
        <v>472.38</v>
      </c>
      <c r="C637" s="76">
        <f t="shared" si="482"/>
        <v>470.0181</v>
      </c>
      <c r="D637" s="76">
        <f t="shared" si="484"/>
        <v>474.74189999999993</v>
      </c>
      <c r="E637" s="78">
        <f>3768.701/1800.553*100</f>
        <v>209.3079737169636</v>
      </c>
      <c r="F637" s="76">
        <v>3768.701</v>
      </c>
      <c r="G637" s="84"/>
      <c r="H637" s="78">
        <v>159.3776</v>
      </c>
      <c r="I637" s="78">
        <v>150.1514</v>
      </c>
      <c r="J637" s="79">
        <f t="shared" si="473"/>
        <v>193.2312190515064</v>
      </c>
      <c r="K637" s="80">
        <v>954983.21</v>
      </c>
      <c r="L637" s="83">
        <f t="shared" si="483"/>
        <v>451.11496873979996</v>
      </c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56"/>
      <c r="Y637" s="56"/>
      <c r="Z637" s="56"/>
      <c r="AA637" s="56"/>
      <c r="AB637" s="56"/>
      <c r="AC637" s="56"/>
      <c r="AD637" s="56"/>
      <c r="AE637" s="56"/>
      <c r="AF637" s="56"/>
      <c r="AG637" s="56"/>
      <c r="AH637" s="56"/>
      <c r="AI637" s="56"/>
      <c r="AJ637" s="56"/>
      <c r="AK637" s="56"/>
      <c r="AL637" s="56"/>
      <c r="AM637" s="56"/>
      <c r="AN637" s="56"/>
      <c r="AO637" s="56"/>
      <c r="AP637" s="56"/>
      <c r="AQ637" s="56"/>
      <c r="AR637" s="56"/>
      <c r="AS637" s="56"/>
      <c r="AT637" s="56"/>
      <c r="AU637" s="56"/>
      <c r="AV637" s="56"/>
      <c r="AW637" s="56"/>
      <c r="AX637" s="56"/>
      <c r="AY637" s="56"/>
      <c r="AZ637" s="56"/>
      <c r="BA637" s="56"/>
      <c r="BB637" s="56"/>
      <c r="BC637" s="56"/>
      <c r="BD637" s="56"/>
      <c r="BE637" s="56"/>
      <c r="BF637" s="56"/>
      <c r="BG637" s="56"/>
      <c r="BH637" s="56"/>
      <c r="BI637" s="56"/>
      <c r="BJ637" s="56"/>
      <c r="BK637" s="56"/>
      <c r="BL637" s="56"/>
      <c r="BM637" s="56"/>
      <c r="BN637" s="56"/>
      <c r="BO637" s="56"/>
      <c r="BP637" s="56"/>
      <c r="BQ637" s="56"/>
      <c r="BR637" s="56"/>
      <c r="BS637" s="56"/>
      <c r="BT637" s="56"/>
      <c r="BU637" s="56"/>
      <c r="BV637" s="56"/>
      <c r="BW637" s="56"/>
      <c r="BX637" s="56"/>
      <c r="BY637" s="56"/>
      <c r="BZ637" s="56"/>
      <c r="CA637" s="56"/>
      <c r="CB637" s="56"/>
      <c r="CC637" s="56"/>
      <c r="CD637" s="56"/>
      <c r="CE637" s="56"/>
      <c r="CF637" s="56"/>
      <c r="CG637" s="56"/>
      <c r="CH637" s="56"/>
      <c r="CI637" s="56"/>
      <c r="CJ637" s="56"/>
      <c r="CK637" s="56"/>
      <c r="CL637" s="56"/>
      <c r="CM637" s="56"/>
      <c r="CN637" s="56"/>
      <c r="CO637" s="56"/>
      <c r="CP637" s="56"/>
      <c r="CQ637" s="56"/>
      <c r="CR637" s="56"/>
      <c r="CS637" s="56"/>
      <c r="CT637" s="56"/>
      <c r="CU637" s="56"/>
      <c r="CV637" s="56"/>
      <c r="CW637" s="56"/>
      <c r="CX637" s="56"/>
      <c r="CY637" s="56"/>
      <c r="CZ637" s="56"/>
      <c r="DA637" s="56"/>
      <c r="DB637" s="56"/>
      <c r="DC637" s="56"/>
      <c r="DD637" s="56"/>
      <c r="DE637" s="56"/>
      <c r="DF637" s="56"/>
      <c r="DG637" s="56"/>
      <c r="DH637" s="56"/>
      <c r="DI637" s="56"/>
      <c r="DJ637" s="56"/>
      <c r="DK637" s="56"/>
      <c r="DL637" s="56"/>
      <c r="DM637" s="56"/>
      <c r="IH637" s="58"/>
      <c r="II637" s="58"/>
      <c r="IJ637" s="58"/>
      <c r="IK637" s="58"/>
      <c r="IL637" s="58"/>
      <c r="IM637" s="58"/>
    </row>
    <row r="638" spans="1:247" s="57" customFormat="1" ht="20.25" customHeight="1" x14ac:dyDescent="0.25">
      <c r="A638" s="75">
        <v>40136</v>
      </c>
      <c r="B638" s="76">
        <v>467.71</v>
      </c>
      <c r="C638" s="76">
        <f t="shared" si="482"/>
        <v>465.37144999999998</v>
      </c>
      <c r="D638" s="76">
        <f t="shared" si="484"/>
        <v>470.04854999999992</v>
      </c>
      <c r="E638" s="78">
        <f>3757.917/1800.553*100</f>
        <v>208.70904660956938</v>
      </c>
      <c r="F638" s="76">
        <v>3757.9169999999999</v>
      </c>
      <c r="G638" s="84"/>
      <c r="H638" s="78">
        <v>158.5882</v>
      </c>
      <c r="I638" s="78">
        <v>150.14420000000001</v>
      </c>
      <c r="J638" s="79">
        <f t="shared" si="473"/>
        <v>192.47600608489842</v>
      </c>
      <c r="K638" s="80">
        <v>944518.49</v>
      </c>
      <c r="L638" s="83">
        <f t="shared" si="483"/>
        <v>441.76074295789999</v>
      </c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56"/>
      <c r="Y638" s="56"/>
      <c r="Z638" s="56"/>
      <c r="AA638" s="56"/>
      <c r="AB638" s="56"/>
      <c r="AC638" s="56"/>
      <c r="AD638" s="56"/>
      <c r="AE638" s="56"/>
      <c r="AF638" s="56"/>
      <c r="AG638" s="56"/>
      <c r="AH638" s="56"/>
      <c r="AI638" s="56"/>
      <c r="AJ638" s="56"/>
      <c r="AK638" s="56"/>
      <c r="AL638" s="56"/>
      <c r="AM638" s="56"/>
      <c r="AN638" s="56"/>
      <c r="AO638" s="56"/>
      <c r="AP638" s="56"/>
      <c r="AQ638" s="56"/>
      <c r="AR638" s="56"/>
      <c r="AS638" s="56"/>
      <c r="AT638" s="56"/>
      <c r="AU638" s="56"/>
      <c r="AV638" s="56"/>
      <c r="AW638" s="56"/>
      <c r="AX638" s="56"/>
      <c r="AY638" s="56"/>
      <c r="AZ638" s="56"/>
      <c r="BA638" s="56"/>
      <c r="BB638" s="56"/>
      <c r="BC638" s="56"/>
      <c r="BD638" s="56"/>
      <c r="BE638" s="56"/>
      <c r="BF638" s="56"/>
      <c r="BG638" s="56"/>
      <c r="BH638" s="56"/>
      <c r="BI638" s="56"/>
      <c r="BJ638" s="56"/>
      <c r="BK638" s="56"/>
      <c r="BL638" s="56"/>
      <c r="BM638" s="56"/>
      <c r="BN638" s="56"/>
      <c r="BO638" s="56"/>
      <c r="BP638" s="56"/>
      <c r="BQ638" s="56"/>
      <c r="BR638" s="56"/>
      <c r="BS638" s="56"/>
      <c r="BT638" s="56"/>
      <c r="BU638" s="56"/>
      <c r="BV638" s="56"/>
      <c r="BW638" s="56"/>
      <c r="BX638" s="56"/>
      <c r="BY638" s="56"/>
      <c r="BZ638" s="56"/>
      <c r="CA638" s="56"/>
      <c r="CB638" s="56"/>
      <c r="CC638" s="56"/>
      <c r="CD638" s="56"/>
      <c r="CE638" s="56"/>
      <c r="CF638" s="56"/>
      <c r="CG638" s="56"/>
      <c r="CH638" s="56"/>
      <c r="CI638" s="56"/>
      <c r="CJ638" s="56"/>
      <c r="CK638" s="56"/>
      <c r="CL638" s="56"/>
      <c r="CM638" s="56"/>
      <c r="CN638" s="56"/>
      <c r="CO638" s="56"/>
      <c r="CP638" s="56"/>
      <c r="CQ638" s="56"/>
      <c r="CR638" s="56"/>
      <c r="CS638" s="56"/>
      <c r="CT638" s="56"/>
      <c r="CU638" s="56"/>
      <c r="CV638" s="56"/>
      <c r="CW638" s="56"/>
      <c r="CX638" s="56"/>
      <c r="CY638" s="56"/>
      <c r="CZ638" s="56"/>
      <c r="DA638" s="56"/>
      <c r="DB638" s="56"/>
      <c r="DC638" s="56"/>
      <c r="DD638" s="56"/>
      <c r="DE638" s="56"/>
      <c r="DF638" s="56"/>
      <c r="DG638" s="56"/>
      <c r="DH638" s="56"/>
      <c r="DI638" s="56"/>
      <c r="DJ638" s="56"/>
      <c r="DK638" s="56"/>
      <c r="DL638" s="56"/>
      <c r="DM638" s="56"/>
      <c r="IH638" s="58"/>
      <c r="II638" s="58"/>
      <c r="IJ638" s="58"/>
      <c r="IK638" s="58"/>
      <c r="IL638" s="58"/>
      <c r="IM638" s="58"/>
    </row>
    <row r="639" spans="1:247" s="57" customFormat="1" ht="20.25" customHeight="1" x14ac:dyDescent="0.25">
      <c r="A639" s="75">
        <v>40129</v>
      </c>
      <c r="B639" s="76">
        <v>463.76</v>
      </c>
      <c r="C639" s="76">
        <f t="shared" si="482"/>
        <v>461.44119999999998</v>
      </c>
      <c r="D639" s="76">
        <f t="shared" si="484"/>
        <v>466.07879999999994</v>
      </c>
      <c r="E639" s="78">
        <f>3756.75/1800.553*100</f>
        <v>208.64423318835935</v>
      </c>
      <c r="F639" s="76">
        <v>3756.75</v>
      </c>
      <c r="G639" s="84"/>
      <c r="H639" s="78">
        <v>157.9248</v>
      </c>
      <c r="I639" s="78">
        <v>150.1369</v>
      </c>
      <c r="J639" s="79">
        <f t="shared" si="473"/>
        <v>192.04281756329556</v>
      </c>
      <c r="K639" s="80">
        <v>941092</v>
      </c>
      <c r="L639" s="83">
        <f t="shared" si="483"/>
        <v>436.44082592000001</v>
      </c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56"/>
      <c r="Y639" s="56"/>
      <c r="Z639" s="56"/>
      <c r="AA639" s="56"/>
      <c r="AB639" s="56"/>
      <c r="AC639" s="56"/>
      <c r="AD639" s="56"/>
      <c r="AE639" s="56"/>
      <c r="AF639" s="56"/>
      <c r="AG639" s="56"/>
      <c r="AH639" s="56"/>
      <c r="AI639" s="56"/>
      <c r="AJ639" s="56"/>
      <c r="AK639" s="56"/>
      <c r="AL639" s="56"/>
      <c r="AM639" s="56"/>
      <c r="AN639" s="56"/>
      <c r="AO639" s="56"/>
      <c r="AP639" s="56"/>
      <c r="AQ639" s="56"/>
      <c r="AR639" s="56"/>
      <c r="AS639" s="56"/>
      <c r="AT639" s="56"/>
      <c r="AU639" s="56"/>
      <c r="AV639" s="56"/>
      <c r="AW639" s="56"/>
      <c r="AX639" s="56"/>
      <c r="AY639" s="56"/>
      <c r="AZ639" s="56"/>
      <c r="BA639" s="56"/>
      <c r="BB639" s="56"/>
      <c r="BC639" s="56"/>
      <c r="BD639" s="56"/>
      <c r="BE639" s="56"/>
      <c r="BF639" s="56"/>
      <c r="BG639" s="56"/>
      <c r="BH639" s="56"/>
      <c r="BI639" s="56"/>
      <c r="BJ639" s="56"/>
      <c r="BK639" s="56"/>
      <c r="BL639" s="56"/>
      <c r="BM639" s="56"/>
      <c r="BN639" s="56"/>
      <c r="BO639" s="56"/>
      <c r="BP639" s="56"/>
      <c r="BQ639" s="56"/>
      <c r="BR639" s="56"/>
      <c r="BS639" s="56"/>
      <c r="BT639" s="56"/>
      <c r="BU639" s="56"/>
      <c r="BV639" s="56"/>
      <c r="BW639" s="56"/>
      <c r="BX639" s="56"/>
      <c r="BY639" s="56"/>
      <c r="BZ639" s="56"/>
      <c r="CA639" s="56"/>
      <c r="CB639" s="56"/>
      <c r="CC639" s="56"/>
      <c r="CD639" s="56"/>
      <c r="CE639" s="56"/>
      <c r="CF639" s="56"/>
      <c r="CG639" s="56"/>
      <c r="CH639" s="56"/>
      <c r="CI639" s="56"/>
      <c r="CJ639" s="56"/>
      <c r="CK639" s="56"/>
      <c r="CL639" s="56"/>
      <c r="CM639" s="56"/>
      <c r="CN639" s="56"/>
      <c r="CO639" s="56"/>
      <c r="CP639" s="56"/>
      <c r="CQ639" s="56"/>
      <c r="CR639" s="56"/>
      <c r="CS639" s="56"/>
      <c r="CT639" s="56"/>
      <c r="CU639" s="56"/>
      <c r="CV639" s="56"/>
      <c r="CW639" s="56"/>
      <c r="CX639" s="56"/>
      <c r="CY639" s="56"/>
      <c r="CZ639" s="56"/>
      <c r="DA639" s="56"/>
      <c r="DB639" s="56"/>
      <c r="DC639" s="56"/>
      <c r="DD639" s="56"/>
      <c r="DE639" s="56"/>
      <c r="DF639" s="56"/>
      <c r="DG639" s="56"/>
      <c r="DH639" s="56"/>
      <c r="DI639" s="56"/>
      <c r="DJ639" s="56"/>
      <c r="DK639" s="56"/>
      <c r="DL639" s="56"/>
      <c r="DM639" s="56"/>
      <c r="IH639" s="58"/>
      <c r="II639" s="58"/>
      <c r="IJ639" s="58"/>
      <c r="IK639" s="58"/>
      <c r="IL639" s="58"/>
      <c r="IM639" s="58"/>
    </row>
    <row r="640" spans="1:247" s="57" customFormat="1" ht="20.25" customHeight="1" x14ac:dyDescent="0.25">
      <c r="A640" s="75">
        <v>40122</v>
      </c>
      <c r="B640" s="76">
        <v>461.72</v>
      </c>
      <c r="C640" s="76">
        <f t="shared" si="482"/>
        <v>459.41140000000001</v>
      </c>
      <c r="D640" s="76">
        <f t="shared" si="484"/>
        <v>464.02859999999998</v>
      </c>
      <c r="E640" s="78">
        <f>3675.321/1800.553*100</f>
        <v>204.12178925030253</v>
      </c>
      <c r="F640" s="76">
        <v>3675.3209999999999</v>
      </c>
      <c r="G640" s="84"/>
      <c r="H640" s="78">
        <v>157.88589999999999</v>
      </c>
      <c r="I640" s="78">
        <v>150.12950000000001</v>
      </c>
      <c r="J640" s="79">
        <f t="shared" si="473"/>
        <v>189.91557357963148</v>
      </c>
      <c r="K640" s="80">
        <v>903419.12</v>
      </c>
      <c r="L640" s="83">
        <f t="shared" si="483"/>
        <v>417.12667608640004</v>
      </c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56"/>
      <c r="Y640" s="56"/>
      <c r="Z640" s="56"/>
      <c r="AA640" s="56"/>
      <c r="AB640" s="56"/>
      <c r="AC640" s="56"/>
      <c r="AD640" s="56"/>
      <c r="AE640" s="56"/>
      <c r="AF640" s="56"/>
      <c r="AG640" s="56"/>
      <c r="AH640" s="56"/>
      <c r="AI640" s="56"/>
      <c r="AJ640" s="56"/>
      <c r="AK640" s="56"/>
      <c r="AL640" s="56"/>
      <c r="AM640" s="56"/>
      <c r="AN640" s="56"/>
      <c r="AO640" s="56"/>
      <c r="AP640" s="56"/>
      <c r="AQ640" s="56"/>
      <c r="AR640" s="56"/>
      <c r="AS640" s="56"/>
      <c r="AT640" s="56"/>
      <c r="AU640" s="56"/>
      <c r="AV640" s="56"/>
      <c r="AW640" s="56"/>
      <c r="AX640" s="56"/>
      <c r="AY640" s="56"/>
      <c r="AZ640" s="56"/>
      <c r="BA640" s="56"/>
      <c r="BB640" s="56"/>
      <c r="BC640" s="56"/>
      <c r="BD640" s="56"/>
      <c r="BE640" s="56"/>
      <c r="BF640" s="56"/>
      <c r="BG640" s="56"/>
      <c r="BH640" s="56"/>
      <c r="BI640" s="56"/>
      <c r="BJ640" s="56"/>
      <c r="BK640" s="56"/>
      <c r="BL640" s="56"/>
      <c r="BM640" s="56"/>
      <c r="BN640" s="56"/>
      <c r="BO640" s="56"/>
      <c r="BP640" s="56"/>
      <c r="BQ640" s="56"/>
      <c r="BR640" s="56"/>
      <c r="BS640" s="56"/>
      <c r="BT640" s="56"/>
      <c r="BU640" s="56"/>
      <c r="BV640" s="56"/>
      <c r="BW640" s="56"/>
      <c r="BX640" s="56"/>
      <c r="BY640" s="56"/>
      <c r="BZ640" s="56"/>
      <c r="CA640" s="56"/>
      <c r="CB640" s="56"/>
      <c r="CC640" s="56"/>
      <c r="CD640" s="56"/>
      <c r="CE640" s="56"/>
      <c r="CF640" s="56"/>
      <c r="CG640" s="56"/>
      <c r="CH640" s="56"/>
      <c r="CI640" s="56"/>
      <c r="CJ640" s="56"/>
      <c r="CK640" s="56"/>
      <c r="CL640" s="56"/>
      <c r="CM640" s="56"/>
      <c r="CN640" s="56"/>
      <c r="CO640" s="56"/>
      <c r="CP640" s="56"/>
      <c r="CQ640" s="56"/>
      <c r="CR640" s="56"/>
      <c r="CS640" s="56"/>
      <c r="CT640" s="56"/>
      <c r="CU640" s="56"/>
      <c r="CV640" s="56"/>
      <c r="CW640" s="56"/>
      <c r="CX640" s="56"/>
      <c r="CY640" s="56"/>
      <c r="CZ640" s="56"/>
      <c r="DA640" s="56"/>
      <c r="DB640" s="56"/>
      <c r="DC640" s="56"/>
      <c r="DD640" s="56"/>
      <c r="DE640" s="56"/>
      <c r="DF640" s="56"/>
      <c r="DG640" s="56"/>
      <c r="DH640" s="56"/>
      <c r="DI640" s="56"/>
      <c r="DJ640" s="56"/>
      <c r="DK640" s="56"/>
      <c r="DL640" s="56"/>
      <c r="DM640" s="56"/>
      <c r="IH640" s="58"/>
      <c r="II640" s="58"/>
      <c r="IJ640" s="58"/>
      <c r="IK640" s="58"/>
      <c r="IL640" s="58"/>
      <c r="IM640" s="58"/>
    </row>
    <row r="641" spans="1:247" s="57" customFormat="1" ht="20.25" customHeight="1" x14ac:dyDescent="0.25">
      <c r="A641" s="75">
        <v>40115</v>
      </c>
      <c r="B641" s="76">
        <v>456.26</v>
      </c>
      <c r="C641" s="76">
        <f t="shared" si="482"/>
        <v>453.9787</v>
      </c>
      <c r="D641" s="76">
        <f t="shared" ref="D641:D646" si="485">1.005*B641</f>
        <v>458.54129999999992</v>
      </c>
      <c r="E641" s="78">
        <f>3671.792/1800.553*100</f>
        <v>203.9257939088713</v>
      </c>
      <c r="F641" s="76">
        <v>3671.7919999999999</v>
      </c>
      <c r="G641" s="84"/>
      <c r="H641" s="78">
        <v>157.53270000000001</v>
      </c>
      <c r="I641" s="78">
        <v>150.12190000000001</v>
      </c>
      <c r="J641" s="79">
        <f t="shared" si="473"/>
        <v>189.61189256878248</v>
      </c>
      <c r="K641" s="80">
        <v>895121.54</v>
      </c>
      <c r="L641" s="83">
        <f t="shared" si="483"/>
        <v>408.40815384039996</v>
      </c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56"/>
      <c r="Y641" s="56"/>
      <c r="Z641" s="56"/>
      <c r="AA641" s="56"/>
      <c r="AB641" s="56"/>
      <c r="AC641" s="56"/>
      <c r="AD641" s="56"/>
      <c r="AE641" s="56"/>
      <c r="AF641" s="56"/>
      <c r="AG641" s="56"/>
      <c r="AH641" s="56"/>
      <c r="AI641" s="56"/>
      <c r="AJ641" s="56"/>
      <c r="AK641" s="56"/>
      <c r="AL641" s="56"/>
      <c r="AM641" s="56"/>
      <c r="AN641" s="56"/>
      <c r="AO641" s="56"/>
      <c r="AP641" s="56"/>
      <c r="AQ641" s="56"/>
      <c r="AR641" s="56"/>
      <c r="AS641" s="56"/>
      <c r="AT641" s="56"/>
      <c r="AU641" s="56"/>
      <c r="AV641" s="56"/>
      <c r="AW641" s="56"/>
      <c r="AX641" s="56"/>
      <c r="AY641" s="56"/>
      <c r="AZ641" s="56"/>
      <c r="BA641" s="56"/>
      <c r="BB641" s="56"/>
      <c r="BC641" s="56"/>
      <c r="BD641" s="56"/>
      <c r="BE641" s="56"/>
      <c r="BF641" s="56"/>
      <c r="BG641" s="56"/>
      <c r="BH641" s="56"/>
      <c r="BI641" s="56"/>
      <c r="BJ641" s="56"/>
      <c r="BK641" s="56"/>
      <c r="BL641" s="56"/>
      <c r="BM641" s="56"/>
      <c r="BN641" s="56"/>
      <c r="BO641" s="56"/>
      <c r="BP641" s="56"/>
      <c r="BQ641" s="56"/>
      <c r="BR641" s="56"/>
      <c r="BS641" s="56"/>
      <c r="BT641" s="56"/>
      <c r="BU641" s="56"/>
      <c r="BV641" s="56"/>
      <c r="BW641" s="56"/>
      <c r="BX641" s="56"/>
      <c r="BY641" s="56"/>
      <c r="BZ641" s="56"/>
      <c r="CA641" s="56"/>
      <c r="CB641" s="56"/>
      <c r="CC641" s="56"/>
      <c r="CD641" s="56"/>
      <c r="CE641" s="56"/>
      <c r="CF641" s="56"/>
      <c r="CG641" s="56"/>
      <c r="CH641" s="56"/>
      <c r="CI641" s="56"/>
      <c r="CJ641" s="56"/>
      <c r="CK641" s="56"/>
      <c r="CL641" s="56"/>
      <c r="CM641" s="56"/>
      <c r="CN641" s="56"/>
      <c r="CO641" s="56"/>
      <c r="CP641" s="56"/>
      <c r="CQ641" s="56"/>
      <c r="CR641" s="56"/>
      <c r="CS641" s="56"/>
      <c r="CT641" s="56"/>
      <c r="CU641" s="56"/>
      <c r="CV641" s="56"/>
      <c r="CW641" s="56"/>
      <c r="CX641" s="56"/>
      <c r="CY641" s="56"/>
      <c r="CZ641" s="56"/>
      <c r="DA641" s="56"/>
      <c r="DB641" s="56"/>
      <c r="DC641" s="56"/>
      <c r="DD641" s="56"/>
      <c r="DE641" s="56"/>
      <c r="DF641" s="56"/>
      <c r="DG641" s="56"/>
      <c r="DH641" s="56"/>
      <c r="DI641" s="56"/>
      <c r="DJ641" s="56"/>
      <c r="DK641" s="56"/>
      <c r="DL641" s="56"/>
      <c r="DM641" s="56"/>
      <c r="IH641" s="58"/>
      <c r="II641" s="58"/>
      <c r="IJ641" s="58"/>
      <c r="IK641" s="58"/>
      <c r="IL641" s="58"/>
      <c r="IM641" s="58"/>
    </row>
    <row r="642" spans="1:247" s="57" customFormat="1" ht="20.25" customHeight="1" x14ac:dyDescent="0.25">
      <c r="A642" s="75">
        <v>40108</v>
      </c>
      <c r="B642" s="76">
        <v>461.99</v>
      </c>
      <c r="C642" s="76">
        <f t="shared" si="482"/>
        <v>459.68004999999999</v>
      </c>
      <c r="D642" s="76">
        <f t="shared" si="485"/>
        <v>464.29994999999997</v>
      </c>
      <c r="E642" s="78">
        <f>3787.427/1800.553*100</f>
        <v>210.34798753494064</v>
      </c>
      <c r="F642" s="76">
        <v>3787.4270000000001</v>
      </c>
      <c r="G642" s="84"/>
      <c r="H642" s="78">
        <v>158.18639999999999</v>
      </c>
      <c r="I642" s="78">
        <v>150.14400000000001</v>
      </c>
      <c r="J642" s="79">
        <f t="shared" si="473"/>
        <v>192.95618485558506</v>
      </c>
      <c r="K642" s="80">
        <v>893471.92</v>
      </c>
      <c r="L642" s="83">
        <f t="shared" si="483"/>
        <v>412.77509232080001</v>
      </c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56"/>
      <c r="Y642" s="56"/>
      <c r="Z642" s="56"/>
      <c r="AA642" s="56"/>
      <c r="AB642" s="56"/>
      <c r="AC642" s="56"/>
      <c r="AD642" s="56"/>
      <c r="AE642" s="56"/>
      <c r="AF642" s="56"/>
      <c r="AG642" s="56"/>
      <c r="AH642" s="56"/>
      <c r="AI642" s="56"/>
      <c r="AJ642" s="56"/>
      <c r="AK642" s="56"/>
      <c r="AL642" s="56"/>
      <c r="AM642" s="56"/>
      <c r="AN642" s="56"/>
      <c r="AO642" s="56"/>
      <c r="AP642" s="56"/>
      <c r="AQ642" s="56"/>
      <c r="AR642" s="56"/>
      <c r="AS642" s="56"/>
      <c r="AT642" s="56"/>
      <c r="AU642" s="56"/>
      <c r="AV642" s="56"/>
      <c r="AW642" s="56"/>
      <c r="AX642" s="56"/>
      <c r="AY642" s="56"/>
      <c r="AZ642" s="56"/>
      <c r="BA642" s="56"/>
      <c r="BB642" s="56"/>
      <c r="BC642" s="56"/>
      <c r="BD642" s="56"/>
      <c r="BE642" s="56"/>
      <c r="BF642" s="56"/>
      <c r="BG642" s="56"/>
      <c r="BH642" s="56"/>
      <c r="BI642" s="56"/>
      <c r="BJ642" s="56"/>
      <c r="BK642" s="56"/>
      <c r="BL642" s="56"/>
      <c r="BM642" s="56"/>
      <c r="BN642" s="56"/>
      <c r="BO642" s="56"/>
      <c r="BP642" s="56"/>
      <c r="BQ642" s="56"/>
      <c r="BR642" s="56"/>
      <c r="BS642" s="56"/>
      <c r="BT642" s="56"/>
      <c r="BU642" s="56"/>
      <c r="BV642" s="56"/>
      <c r="BW642" s="56"/>
      <c r="BX642" s="56"/>
      <c r="BY642" s="56"/>
      <c r="BZ642" s="56"/>
      <c r="CA642" s="56"/>
      <c r="CB642" s="56"/>
      <c r="CC642" s="56"/>
      <c r="CD642" s="56"/>
      <c r="CE642" s="56"/>
      <c r="CF642" s="56"/>
      <c r="CG642" s="56"/>
      <c r="CH642" s="56"/>
      <c r="CI642" s="56"/>
      <c r="CJ642" s="56"/>
      <c r="CK642" s="56"/>
      <c r="CL642" s="56"/>
      <c r="CM642" s="56"/>
      <c r="CN642" s="56"/>
      <c r="CO642" s="56"/>
      <c r="CP642" s="56"/>
      <c r="CQ642" s="56"/>
      <c r="CR642" s="56"/>
      <c r="CS642" s="56"/>
      <c r="CT642" s="56"/>
      <c r="CU642" s="56"/>
      <c r="CV642" s="56"/>
      <c r="CW642" s="56"/>
      <c r="CX642" s="56"/>
      <c r="CY642" s="56"/>
      <c r="CZ642" s="56"/>
      <c r="DA642" s="56"/>
      <c r="DB642" s="56"/>
      <c r="DC642" s="56"/>
      <c r="DD642" s="56"/>
      <c r="DE642" s="56"/>
      <c r="DF642" s="56"/>
      <c r="DG642" s="56"/>
      <c r="DH642" s="56"/>
      <c r="DI642" s="56"/>
      <c r="DJ642" s="56"/>
      <c r="DK642" s="56"/>
      <c r="DL642" s="56"/>
      <c r="DM642" s="56"/>
      <c r="IH642" s="58"/>
      <c r="II642" s="58"/>
      <c r="IJ642" s="58"/>
      <c r="IK642" s="58"/>
      <c r="IL642" s="58"/>
      <c r="IM642" s="58"/>
    </row>
    <row r="643" spans="1:247" s="57" customFormat="1" ht="20.25" customHeight="1" x14ac:dyDescent="0.25">
      <c r="A643" s="75">
        <v>40101</v>
      </c>
      <c r="B643" s="76">
        <v>463.87</v>
      </c>
      <c r="C643" s="76">
        <f t="shared" si="482"/>
        <v>461.55065000000002</v>
      </c>
      <c r="D643" s="76">
        <f t="shared" si="485"/>
        <v>466.18934999999993</v>
      </c>
      <c r="E643" s="78">
        <f>3796.717/1800.553*100</f>
        <v>210.86394013394772</v>
      </c>
      <c r="F643" s="76">
        <v>3796.7170000000001</v>
      </c>
      <c r="G643" s="84"/>
      <c r="H643" s="78">
        <v>157.7944</v>
      </c>
      <c r="I643" s="78">
        <v>150.1061</v>
      </c>
      <c r="J643" s="79">
        <f t="shared" si="473"/>
        <v>192.95257717017978</v>
      </c>
      <c r="K643" s="80">
        <v>887766.18</v>
      </c>
      <c r="L643" s="83">
        <f t="shared" si="483"/>
        <v>411.80809791660005</v>
      </c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56"/>
      <c r="Y643" s="56"/>
      <c r="Z643" s="56"/>
      <c r="AA643" s="56"/>
      <c r="AB643" s="56"/>
      <c r="AC643" s="56"/>
      <c r="AD643" s="56"/>
      <c r="AE643" s="56"/>
      <c r="AF643" s="56"/>
      <c r="AG643" s="56"/>
      <c r="AH643" s="56"/>
      <c r="AI643" s="56"/>
      <c r="AJ643" s="56"/>
      <c r="AK643" s="56"/>
      <c r="AL643" s="56"/>
      <c r="AM643" s="56"/>
      <c r="AN643" s="56"/>
      <c r="AO643" s="56"/>
      <c r="AP643" s="56"/>
      <c r="AQ643" s="56"/>
      <c r="AR643" s="56"/>
      <c r="AS643" s="56"/>
      <c r="AT643" s="56"/>
      <c r="AU643" s="56"/>
      <c r="AV643" s="56"/>
      <c r="AW643" s="56"/>
      <c r="AX643" s="56"/>
      <c r="AY643" s="56"/>
      <c r="AZ643" s="56"/>
      <c r="BA643" s="56"/>
      <c r="BB643" s="56"/>
      <c r="BC643" s="56"/>
      <c r="BD643" s="56"/>
      <c r="BE643" s="56"/>
      <c r="BF643" s="56"/>
      <c r="BG643" s="56"/>
      <c r="BH643" s="56"/>
      <c r="BI643" s="56"/>
      <c r="BJ643" s="56"/>
      <c r="BK643" s="56"/>
      <c r="BL643" s="56"/>
      <c r="BM643" s="56"/>
      <c r="BN643" s="56"/>
      <c r="BO643" s="56"/>
      <c r="BP643" s="56"/>
      <c r="BQ643" s="56"/>
      <c r="BR643" s="56"/>
      <c r="BS643" s="56"/>
      <c r="BT643" s="56"/>
      <c r="BU643" s="56"/>
      <c r="BV643" s="56"/>
      <c r="BW643" s="56"/>
      <c r="BX643" s="56"/>
      <c r="BY643" s="56"/>
      <c r="BZ643" s="56"/>
      <c r="CA643" s="56"/>
      <c r="CB643" s="56"/>
      <c r="CC643" s="56"/>
      <c r="CD643" s="56"/>
      <c r="CE643" s="56"/>
      <c r="CF643" s="56"/>
      <c r="CG643" s="56"/>
      <c r="CH643" s="56"/>
      <c r="CI643" s="56"/>
      <c r="CJ643" s="56"/>
      <c r="CK643" s="56"/>
      <c r="CL643" s="56"/>
      <c r="CM643" s="56"/>
      <c r="CN643" s="56"/>
      <c r="CO643" s="56"/>
      <c r="CP643" s="56"/>
      <c r="CQ643" s="56"/>
      <c r="CR643" s="56"/>
      <c r="CS643" s="56"/>
      <c r="CT643" s="56"/>
      <c r="CU643" s="56"/>
      <c r="CV643" s="56"/>
      <c r="CW643" s="56"/>
      <c r="CX643" s="56"/>
      <c r="CY643" s="56"/>
      <c r="CZ643" s="56"/>
      <c r="DA643" s="56"/>
      <c r="DB643" s="56"/>
      <c r="DC643" s="56"/>
      <c r="DD643" s="56"/>
      <c r="DE643" s="56"/>
      <c r="DF643" s="56"/>
      <c r="DG643" s="56"/>
      <c r="DH643" s="56"/>
      <c r="DI643" s="56"/>
      <c r="DJ643" s="56"/>
      <c r="DK643" s="56"/>
      <c r="DL643" s="56"/>
      <c r="DM643" s="56"/>
      <c r="IH643" s="58"/>
      <c r="II643" s="58"/>
      <c r="IJ643" s="58"/>
      <c r="IK643" s="58"/>
      <c r="IL643" s="58"/>
      <c r="IM643" s="58"/>
    </row>
    <row r="644" spans="1:247" s="57" customFormat="1" ht="20.25" customHeight="1" x14ac:dyDescent="0.25">
      <c r="A644" s="75">
        <v>40094</v>
      </c>
      <c r="B644" s="76">
        <v>461.25</v>
      </c>
      <c r="C644" s="76">
        <f t="shared" si="482"/>
        <v>458.94375000000002</v>
      </c>
      <c r="D644" s="76">
        <f t="shared" si="485"/>
        <v>463.55624999999998</v>
      </c>
      <c r="E644" s="78">
        <f>3701.564/1800.553*100</f>
        <v>205.57928591938142</v>
      </c>
      <c r="F644" s="76">
        <v>3701.5639999999999</v>
      </c>
      <c r="G644" s="84"/>
      <c r="H644" s="78">
        <v>157.7533</v>
      </c>
      <c r="I644" s="78">
        <v>150.09809999999999</v>
      </c>
      <c r="J644" s="79">
        <f t="shared" si="473"/>
        <v>190.47951549173655</v>
      </c>
      <c r="K644" s="80">
        <v>882140.65</v>
      </c>
      <c r="L644" s="83">
        <f t="shared" si="483"/>
        <v>406.88737481250001</v>
      </c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56"/>
      <c r="Y644" s="56"/>
      <c r="Z644" s="56"/>
      <c r="AA644" s="56"/>
      <c r="AB644" s="56"/>
      <c r="AC644" s="56"/>
      <c r="AD644" s="56"/>
      <c r="AE644" s="56"/>
      <c r="AF644" s="56"/>
      <c r="AG644" s="56"/>
      <c r="AH644" s="56"/>
      <c r="AI644" s="56"/>
      <c r="AJ644" s="56"/>
      <c r="AK644" s="56"/>
      <c r="AL644" s="56"/>
      <c r="AM644" s="56"/>
      <c r="AN644" s="56"/>
      <c r="AO644" s="56"/>
      <c r="AP644" s="56"/>
      <c r="AQ644" s="56"/>
      <c r="AR644" s="56"/>
      <c r="AS644" s="56"/>
      <c r="AT644" s="56"/>
      <c r="AU644" s="56"/>
      <c r="AV644" s="56"/>
      <c r="AW644" s="56"/>
      <c r="AX644" s="56"/>
      <c r="AY644" s="56"/>
      <c r="AZ644" s="56"/>
      <c r="BA644" s="56"/>
      <c r="BB644" s="56"/>
      <c r="BC644" s="56"/>
      <c r="BD644" s="56"/>
      <c r="BE644" s="56"/>
      <c r="BF644" s="56"/>
      <c r="BG644" s="56"/>
      <c r="BH644" s="56"/>
      <c r="BI644" s="56"/>
      <c r="BJ644" s="56"/>
      <c r="BK644" s="56"/>
      <c r="BL644" s="56"/>
      <c r="BM644" s="56"/>
      <c r="BN644" s="56"/>
      <c r="BO644" s="56"/>
      <c r="BP644" s="56"/>
      <c r="BQ644" s="56"/>
      <c r="BR644" s="56"/>
      <c r="BS644" s="56"/>
      <c r="BT644" s="56"/>
      <c r="BU644" s="56"/>
      <c r="BV644" s="56"/>
      <c r="BW644" s="56"/>
      <c r="BX644" s="56"/>
      <c r="BY644" s="56"/>
      <c r="BZ644" s="56"/>
      <c r="CA644" s="56"/>
      <c r="CB644" s="56"/>
      <c r="CC644" s="56"/>
      <c r="CD644" s="56"/>
      <c r="CE644" s="56"/>
      <c r="CF644" s="56"/>
      <c r="CG644" s="56"/>
      <c r="CH644" s="56"/>
      <c r="CI644" s="56"/>
      <c r="CJ644" s="56"/>
      <c r="CK644" s="56"/>
      <c r="CL644" s="56"/>
      <c r="CM644" s="56"/>
      <c r="CN644" s="56"/>
      <c r="CO644" s="56"/>
      <c r="CP644" s="56"/>
      <c r="CQ644" s="56"/>
      <c r="CR644" s="56"/>
      <c r="CS644" s="56"/>
      <c r="CT644" s="56"/>
      <c r="CU644" s="56"/>
      <c r="CV644" s="56"/>
      <c r="CW644" s="56"/>
      <c r="CX644" s="56"/>
      <c r="CY644" s="56"/>
      <c r="CZ644" s="56"/>
      <c r="DA644" s="56"/>
      <c r="DB644" s="56"/>
      <c r="DC644" s="56"/>
      <c r="DD644" s="56"/>
      <c r="DE644" s="56"/>
      <c r="DF644" s="56"/>
      <c r="DG644" s="56"/>
      <c r="DH644" s="56"/>
      <c r="DI644" s="56"/>
      <c r="DJ644" s="56"/>
      <c r="DK644" s="56"/>
      <c r="DL644" s="56"/>
      <c r="DM644" s="56"/>
      <c r="IH644" s="58"/>
      <c r="II644" s="58"/>
      <c r="IJ644" s="58"/>
      <c r="IK644" s="58"/>
      <c r="IL644" s="58"/>
      <c r="IM644" s="58"/>
    </row>
    <row r="645" spans="1:247" s="57" customFormat="1" ht="20.25" customHeight="1" x14ac:dyDescent="0.25">
      <c r="A645" s="75">
        <v>40087</v>
      </c>
      <c r="B645" s="76">
        <v>451.92</v>
      </c>
      <c r="C645" s="76">
        <f t="shared" si="482"/>
        <v>449.66040000000004</v>
      </c>
      <c r="D645" s="76">
        <f t="shared" si="485"/>
        <v>454.17959999999999</v>
      </c>
      <c r="E645" s="78">
        <f>3584.715/1800.553*100</f>
        <v>199.08966856293594</v>
      </c>
      <c r="F645" s="76">
        <v>3584.7150000000001</v>
      </c>
      <c r="G645" s="84"/>
      <c r="H645" s="78">
        <v>156.64279999999999</v>
      </c>
      <c r="I645" s="78">
        <v>150.0908</v>
      </c>
      <c r="J645" s="79">
        <f t="shared" si="473"/>
        <v>186.77338681564081</v>
      </c>
      <c r="K645" s="80">
        <v>825414.75</v>
      </c>
      <c r="L645" s="83">
        <f t="shared" si="483"/>
        <v>373.02143381999997</v>
      </c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56"/>
      <c r="Y645" s="56"/>
      <c r="Z645" s="56"/>
      <c r="AA645" s="56"/>
      <c r="AB645" s="56"/>
      <c r="AC645" s="56"/>
      <c r="AD645" s="56"/>
      <c r="AE645" s="56"/>
      <c r="AF645" s="56"/>
      <c r="AG645" s="56"/>
      <c r="AH645" s="56"/>
      <c r="AI645" s="56"/>
      <c r="AJ645" s="56"/>
      <c r="AK645" s="56"/>
      <c r="AL645" s="56"/>
      <c r="AM645" s="56"/>
      <c r="AN645" s="56"/>
      <c r="AO645" s="56"/>
      <c r="AP645" s="56"/>
      <c r="AQ645" s="56"/>
      <c r="AR645" s="56"/>
      <c r="AS645" s="56"/>
      <c r="AT645" s="56"/>
      <c r="AU645" s="56"/>
      <c r="AV645" s="56"/>
      <c r="AW645" s="56"/>
      <c r="AX645" s="56"/>
      <c r="AY645" s="56"/>
      <c r="AZ645" s="56"/>
      <c r="BA645" s="56"/>
      <c r="BB645" s="56"/>
      <c r="BC645" s="56"/>
      <c r="BD645" s="56"/>
      <c r="BE645" s="56"/>
      <c r="BF645" s="56"/>
      <c r="BG645" s="56"/>
      <c r="BH645" s="56"/>
      <c r="BI645" s="56"/>
      <c r="BJ645" s="56"/>
      <c r="BK645" s="56"/>
      <c r="BL645" s="56"/>
      <c r="BM645" s="56"/>
      <c r="BN645" s="56"/>
      <c r="BO645" s="56"/>
      <c r="BP645" s="56"/>
      <c r="BQ645" s="56"/>
      <c r="BR645" s="56"/>
      <c r="BS645" s="56"/>
      <c r="BT645" s="56"/>
      <c r="BU645" s="56"/>
      <c r="BV645" s="56"/>
      <c r="BW645" s="56"/>
      <c r="BX645" s="56"/>
      <c r="BY645" s="56"/>
      <c r="BZ645" s="56"/>
      <c r="CA645" s="56"/>
      <c r="CB645" s="56"/>
      <c r="CC645" s="56"/>
      <c r="CD645" s="56"/>
      <c r="CE645" s="56"/>
      <c r="CF645" s="56"/>
      <c r="CG645" s="56"/>
      <c r="CH645" s="56"/>
      <c r="CI645" s="56"/>
      <c r="CJ645" s="56"/>
      <c r="CK645" s="56"/>
      <c r="CL645" s="56"/>
      <c r="CM645" s="56"/>
      <c r="CN645" s="56"/>
      <c r="CO645" s="56"/>
      <c r="CP645" s="56"/>
      <c r="CQ645" s="56"/>
      <c r="CR645" s="56"/>
      <c r="CS645" s="56"/>
      <c r="CT645" s="56"/>
      <c r="CU645" s="56"/>
      <c r="CV645" s="56"/>
      <c r="CW645" s="56"/>
      <c r="CX645" s="56"/>
      <c r="CY645" s="56"/>
      <c r="CZ645" s="56"/>
      <c r="DA645" s="56"/>
      <c r="DB645" s="56"/>
      <c r="DC645" s="56"/>
      <c r="DD645" s="56"/>
      <c r="DE645" s="56"/>
      <c r="DF645" s="56"/>
      <c r="DG645" s="56"/>
      <c r="DH645" s="56"/>
      <c r="DI645" s="56"/>
      <c r="DJ645" s="56"/>
      <c r="DK645" s="56"/>
      <c r="DL645" s="56"/>
      <c r="DM645" s="56"/>
      <c r="IH645" s="58"/>
      <c r="II645" s="58"/>
      <c r="IJ645" s="58"/>
      <c r="IK645" s="58"/>
      <c r="IL645" s="58"/>
      <c r="IM645" s="58"/>
    </row>
    <row r="646" spans="1:247" s="54" customFormat="1" ht="20.25" customHeight="1" x14ac:dyDescent="0.25">
      <c r="A646" s="75">
        <v>40080</v>
      </c>
      <c r="B646" s="76">
        <v>452.19</v>
      </c>
      <c r="C646" s="76">
        <f t="shared" ref="C646:C702" si="486">0.995*B646</f>
        <v>449.92905000000002</v>
      </c>
      <c r="D646" s="76">
        <f t="shared" si="485"/>
        <v>454.45094999999998</v>
      </c>
      <c r="E646" s="78">
        <f>3649.23/1800.553*100</f>
        <v>202.6727344321439</v>
      </c>
      <c r="F646" s="76">
        <v>3649.23</v>
      </c>
      <c r="G646" s="84"/>
      <c r="H646" s="78">
        <v>156.62010000000001</v>
      </c>
      <c r="I646" s="78">
        <v>150.0838</v>
      </c>
      <c r="J646" s="79">
        <f t="shared" si="473"/>
        <v>188.42532438396333</v>
      </c>
      <c r="K646" s="80">
        <v>818540.01</v>
      </c>
      <c r="L646" s="83">
        <f t="shared" si="483"/>
        <v>370.13560712190002</v>
      </c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  <c r="BN646" s="28"/>
      <c r="BO646" s="28"/>
      <c r="BP646" s="28"/>
      <c r="BQ646" s="28"/>
      <c r="BR646" s="28"/>
      <c r="BS646" s="28"/>
      <c r="BT646" s="28"/>
      <c r="BU646" s="28"/>
      <c r="BV646" s="28"/>
      <c r="BW646" s="28"/>
      <c r="BX646" s="28"/>
      <c r="BY646" s="28"/>
      <c r="BZ646" s="28"/>
      <c r="CA646" s="28"/>
      <c r="CB646" s="28"/>
      <c r="CC646" s="28"/>
      <c r="CD646" s="28"/>
      <c r="CE646" s="28"/>
      <c r="CF646" s="28"/>
      <c r="CG646" s="28"/>
      <c r="CH646" s="28"/>
      <c r="CI646" s="28"/>
      <c r="CJ646" s="28"/>
      <c r="CK646" s="28"/>
      <c r="CL646" s="28"/>
      <c r="CM646" s="28"/>
      <c r="CN646" s="28"/>
      <c r="CO646" s="28"/>
      <c r="CP646" s="28"/>
      <c r="CQ646" s="28"/>
      <c r="CR646" s="28"/>
      <c r="CS646" s="28"/>
      <c r="CT646" s="28"/>
      <c r="CU646" s="28"/>
      <c r="CV646" s="28"/>
      <c r="CW646" s="28"/>
      <c r="CX646" s="28"/>
      <c r="CY646" s="28"/>
      <c r="CZ646" s="28"/>
      <c r="DA646" s="28"/>
      <c r="DB646" s="28"/>
      <c r="DC646" s="28"/>
      <c r="DD646" s="28"/>
      <c r="DE646" s="28"/>
      <c r="DF646" s="28"/>
      <c r="DG646" s="28"/>
      <c r="DH646" s="28"/>
      <c r="DI646" s="28"/>
      <c r="DJ646" s="28"/>
      <c r="DK646" s="28"/>
      <c r="DL646" s="28"/>
      <c r="DM646" s="28"/>
      <c r="IH646" s="55"/>
      <c r="II646" s="55"/>
      <c r="IJ646" s="55"/>
      <c r="IK646" s="55"/>
      <c r="IL646" s="55"/>
      <c r="IM646" s="55"/>
    </row>
    <row r="647" spans="1:247" s="54" customFormat="1" ht="20.25" customHeight="1" x14ac:dyDescent="0.25">
      <c r="A647" s="75">
        <v>40073</v>
      </c>
      <c r="B647" s="76">
        <v>453.89</v>
      </c>
      <c r="C647" s="76">
        <f t="shared" si="486"/>
        <v>451.62054999999998</v>
      </c>
      <c r="D647" s="76">
        <f t="shared" ref="D647:D652" si="487">1.005*B647</f>
        <v>456.15944999999994</v>
      </c>
      <c r="E647" s="78">
        <f>3711.201/1800.553*100</f>
        <v>206.11451037542352</v>
      </c>
      <c r="F647" s="76">
        <v>3711.201</v>
      </c>
      <c r="G647" s="84"/>
      <c r="H647" s="78">
        <v>157.2379</v>
      </c>
      <c r="I647" s="78">
        <v>150.07640000000001</v>
      </c>
      <c r="J647" s="79">
        <f t="shared" si="473"/>
        <v>190.3889432220551</v>
      </c>
      <c r="K647" s="80">
        <v>807893.13</v>
      </c>
      <c r="L647" s="83">
        <f t="shared" si="483"/>
        <v>366.69461277569997</v>
      </c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  <c r="BN647" s="28"/>
      <c r="BO647" s="28"/>
      <c r="BP647" s="28"/>
      <c r="BQ647" s="28"/>
      <c r="BR647" s="28"/>
      <c r="BS647" s="28"/>
      <c r="BT647" s="28"/>
      <c r="BU647" s="28"/>
      <c r="BV647" s="28"/>
      <c r="BW647" s="28"/>
      <c r="BX647" s="28"/>
      <c r="BY647" s="28"/>
      <c r="BZ647" s="28"/>
      <c r="CA647" s="28"/>
      <c r="CB647" s="28"/>
      <c r="CC647" s="28"/>
      <c r="CD647" s="28"/>
      <c r="CE647" s="28"/>
      <c r="CF647" s="28"/>
      <c r="CG647" s="28"/>
      <c r="CH647" s="28"/>
      <c r="CI647" s="28"/>
      <c r="CJ647" s="28"/>
      <c r="CK647" s="28"/>
      <c r="CL647" s="28"/>
      <c r="CM647" s="28"/>
      <c r="CN647" s="28"/>
      <c r="CO647" s="28"/>
      <c r="CP647" s="28"/>
      <c r="CQ647" s="28"/>
      <c r="CR647" s="28"/>
      <c r="CS647" s="28"/>
      <c r="CT647" s="28"/>
      <c r="CU647" s="28"/>
      <c r="CV647" s="28"/>
      <c r="CW647" s="28"/>
      <c r="CX647" s="28"/>
      <c r="CY647" s="28"/>
      <c r="CZ647" s="28"/>
      <c r="DA647" s="28"/>
      <c r="DB647" s="28"/>
      <c r="DC647" s="28"/>
      <c r="DD647" s="28"/>
      <c r="DE647" s="28"/>
      <c r="DF647" s="28"/>
      <c r="DG647" s="28"/>
      <c r="DH647" s="28"/>
      <c r="DI647" s="28"/>
      <c r="DJ647" s="28"/>
      <c r="DK647" s="28"/>
      <c r="DL647" s="28"/>
      <c r="DM647" s="28"/>
      <c r="IH647" s="55"/>
      <c r="II647" s="55"/>
      <c r="IJ647" s="55"/>
      <c r="IK647" s="55"/>
      <c r="IL647" s="55"/>
      <c r="IM647" s="55"/>
    </row>
    <row r="648" spans="1:247" s="54" customFormat="1" ht="20.25" customHeight="1" x14ac:dyDescent="0.25">
      <c r="A648" s="75">
        <v>40066</v>
      </c>
      <c r="B648" s="76">
        <v>451.04</v>
      </c>
      <c r="C648" s="76">
        <f t="shared" si="486"/>
        <v>448.78480000000002</v>
      </c>
      <c r="D648" s="76">
        <f t="shared" si="487"/>
        <v>453.29519999999997</v>
      </c>
      <c r="E648" s="78">
        <f>3620.929/1800.553*100</f>
        <v>201.10093954468434</v>
      </c>
      <c r="F648" s="76">
        <v>3620.9290000000001</v>
      </c>
      <c r="G648" s="84"/>
      <c r="H648" s="78">
        <v>156.81880000000001</v>
      </c>
      <c r="I648" s="78">
        <v>150.06870000000001</v>
      </c>
      <c r="J648" s="79">
        <f t="shared" si="473"/>
        <v>187.79705004426577</v>
      </c>
      <c r="K648" s="80">
        <v>797844</v>
      </c>
      <c r="L648" s="83">
        <f t="shared" si="483"/>
        <v>359.85955775999997</v>
      </c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  <c r="BN648" s="28"/>
      <c r="BO648" s="28"/>
      <c r="BP648" s="28"/>
      <c r="BQ648" s="28"/>
      <c r="BR648" s="28"/>
      <c r="BS648" s="28"/>
      <c r="BT648" s="28"/>
      <c r="BU648" s="28"/>
      <c r="BV648" s="28"/>
      <c r="BW648" s="28"/>
      <c r="BX648" s="28"/>
      <c r="BY648" s="28"/>
      <c r="BZ648" s="28"/>
      <c r="CA648" s="28"/>
      <c r="CB648" s="28"/>
      <c r="CC648" s="28"/>
      <c r="CD648" s="28"/>
      <c r="CE648" s="28"/>
      <c r="CF648" s="28"/>
      <c r="CG648" s="28"/>
      <c r="CH648" s="28"/>
      <c r="CI648" s="28"/>
      <c r="CJ648" s="28"/>
      <c r="CK648" s="28"/>
      <c r="CL648" s="28"/>
      <c r="CM648" s="28"/>
      <c r="CN648" s="28"/>
      <c r="CO648" s="28"/>
      <c r="CP648" s="28"/>
      <c r="CQ648" s="28"/>
      <c r="CR648" s="28"/>
      <c r="CS648" s="28"/>
      <c r="CT648" s="28"/>
      <c r="CU648" s="28"/>
      <c r="CV648" s="28"/>
      <c r="CW648" s="28"/>
      <c r="CX648" s="28"/>
      <c r="CY648" s="28"/>
      <c r="CZ648" s="28"/>
      <c r="DA648" s="28"/>
      <c r="DB648" s="28"/>
      <c r="DC648" s="28"/>
      <c r="DD648" s="28"/>
      <c r="DE648" s="28"/>
      <c r="DF648" s="28"/>
      <c r="DG648" s="28"/>
      <c r="DH648" s="28"/>
      <c r="DI648" s="28"/>
      <c r="DJ648" s="28"/>
      <c r="DK648" s="28"/>
      <c r="DL648" s="28"/>
      <c r="DM648" s="28"/>
      <c r="IH648" s="55"/>
      <c r="II648" s="55"/>
      <c r="IJ648" s="55"/>
      <c r="IK648" s="55"/>
      <c r="IL648" s="55"/>
      <c r="IM648" s="55"/>
    </row>
    <row r="649" spans="1:247" s="54" customFormat="1" ht="20.25" customHeight="1" x14ac:dyDescent="0.25">
      <c r="A649" s="75">
        <v>40059</v>
      </c>
      <c r="B649" s="76">
        <v>444.83</v>
      </c>
      <c r="C649" s="76">
        <f t="shared" si="486"/>
        <v>442.60584999999998</v>
      </c>
      <c r="D649" s="76">
        <f t="shared" si="487"/>
        <v>447.05414999999994</v>
      </c>
      <c r="E649" s="78">
        <f>3455.814/1800.553*100</f>
        <v>191.93070129010363</v>
      </c>
      <c r="F649" s="76">
        <v>3455.8139999999999</v>
      </c>
      <c r="G649" s="84"/>
      <c r="H649" s="78">
        <v>155.36680000000001</v>
      </c>
      <c r="I649" s="78">
        <v>150.06139999999999</v>
      </c>
      <c r="J649" s="79">
        <f t="shared" si="473"/>
        <v>182.58209209030099</v>
      </c>
      <c r="K649" s="80">
        <v>796099.62</v>
      </c>
      <c r="L649" s="83">
        <f t="shared" si="483"/>
        <v>354.12899396459994</v>
      </c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  <c r="BN649" s="28"/>
      <c r="BO649" s="28"/>
      <c r="BP649" s="28"/>
      <c r="BQ649" s="28"/>
      <c r="BR649" s="28"/>
      <c r="BS649" s="28"/>
      <c r="BT649" s="28"/>
      <c r="BU649" s="28"/>
      <c r="BV649" s="28"/>
      <c r="BW649" s="28"/>
      <c r="BX649" s="28"/>
      <c r="BY649" s="28"/>
      <c r="BZ649" s="28"/>
      <c r="CA649" s="28"/>
      <c r="CB649" s="28"/>
      <c r="CC649" s="28"/>
      <c r="CD649" s="28"/>
      <c r="CE649" s="28"/>
      <c r="CF649" s="28"/>
      <c r="CG649" s="28"/>
      <c r="CH649" s="28"/>
      <c r="CI649" s="28"/>
      <c r="CJ649" s="28"/>
      <c r="CK649" s="28"/>
      <c r="CL649" s="28"/>
      <c r="CM649" s="28"/>
      <c r="CN649" s="28"/>
      <c r="CO649" s="28"/>
      <c r="CP649" s="28"/>
      <c r="CQ649" s="28"/>
      <c r="CR649" s="28"/>
      <c r="CS649" s="28"/>
      <c r="CT649" s="28"/>
      <c r="CU649" s="28"/>
      <c r="CV649" s="28"/>
      <c r="CW649" s="28"/>
      <c r="CX649" s="28"/>
      <c r="CY649" s="28"/>
      <c r="CZ649" s="28"/>
      <c r="DA649" s="28"/>
      <c r="DB649" s="28"/>
      <c r="DC649" s="28"/>
      <c r="DD649" s="28"/>
      <c r="DE649" s="28"/>
      <c r="DF649" s="28"/>
      <c r="DG649" s="28"/>
      <c r="DH649" s="28"/>
      <c r="DI649" s="28"/>
      <c r="DJ649" s="28"/>
      <c r="DK649" s="28"/>
      <c r="DL649" s="28"/>
      <c r="DM649" s="28"/>
      <c r="IH649" s="55"/>
      <c r="II649" s="55"/>
      <c r="IJ649" s="55"/>
      <c r="IK649" s="55"/>
      <c r="IL649" s="55"/>
      <c r="IM649" s="55"/>
    </row>
    <row r="650" spans="1:247" s="52" customFormat="1" ht="20.25" customHeight="1" x14ac:dyDescent="0.25">
      <c r="A650" s="75">
        <v>40052</v>
      </c>
      <c r="B650" s="76">
        <v>438.24</v>
      </c>
      <c r="C650" s="76">
        <f t="shared" si="486"/>
        <v>436.04880000000003</v>
      </c>
      <c r="D650" s="76">
        <f t="shared" si="487"/>
        <v>440.43119999999999</v>
      </c>
      <c r="E650" s="78">
        <f>3523.692/1800.553*100</f>
        <v>195.70054311092201</v>
      </c>
      <c r="F650" s="76">
        <v>3523.692</v>
      </c>
      <c r="G650" s="84"/>
      <c r="H650" s="78">
        <v>155.34440000000001</v>
      </c>
      <c r="I650" s="78">
        <v>150.054</v>
      </c>
      <c r="J650" s="79">
        <f t="shared" si="473"/>
        <v>184.34434312004242</v>
      </c>
      <c r="K650" s="80">
        <v>792407.85</v>
      </c>
      <c r="L650" s="83">
        <f t="shared" si="483"/>
        <v>347.26481618400004</v>
      </c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40"/>
      <c r="Y650" s="40"/>
      <c r="Z650" s="40"/>
      <c r="AA650" s="40"/>
      <c r="AB650" s="40"/>
      <c r="AC650" s="40"/>
      <c r="AD650" s="40"/>
      <c r="AE650" s="40"/>
      <c r="AF650" s="40"/>
      <c r="AG650" s="40"/>
      <c r="AH650" s="40"/>
      <c r="AI650" s="40"/>
      <c r="AJ650" s="40"/>
      <c r="AK650" s="40"/>
      <c r="AL650" s="40"/>
      <c r="AM650" s="40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0"/>
      <c r="BA650" s="40"/>
      <c r="BB650" s="40"/>
      <c r="BC650" s="40"/>
      <c r="BD650" s="40"/>
      <c r="BE650" s="40"/>
      <c r="BF650" s="40"/>
      <c r="BG650" s="40"/>
      <c r="BH650" s="40"/>
      <c r="BI650" s="40"/>
      <c r="BJ650" s="40"/>
      <c r="BK650" s="40"/>
      <c r="BL650" s="40"/>
      <c r="BM650" s="40"/>
      <c r="BN650" s="40"/>
      <c r="BO650" s="40"/>
      <c r="BP650" s="40"/>
      <c r="BQ650" s="40"/>
      <c r="BR650" s="40"/>
      <c r="BS650" s="40"/>
      <c r="BT650" s="40"/>
      <c r="BU650" s="40"/>
      <c r="BV650" s="40"/>
      <c r="BW650" s="40"/>
      <c r="BX650" s="40"/>
      <c r="BY650" s="40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  <c r="DJ650" s="40"/>
      <c r="DK650" s="40"/>
      <c r="DL650" s="40"/>
      <c r="DM650" s="40"/>
      <c r="IH650" s="53"/>
      <c r="II650" s="53"/>
      <c r="IJ650" s="53"/>
      <c r="IK650" s="53"/>
      <c r="IL650" s="53"/>
      <c r="IM650" s="53"/>
    </row>
    <row r="651" spans="1:247" s="54" customFormat="1" ht="20.25" customHeight="1" x14ac:dyDescent="0.25">
      <c r="A651" s="75">
        <v>40045</v>
      </c>
      <c r="B651" s="76">
        <v>434.97</v>
      </c>
      <c r="C651" s="76">
        <f t="shared" si="486"/>
        <v>432.79515000000004</v>
      </c>
      <c r="D651" s="76">
        <f t="shared" si="487"/>
        <v>437.14484999999996</v>
      </c>
      <c r="E651" s="78">
        <f>3448.818/1800.553*100</f>
        <v>191.54215399380078</v>
      </c>
      <c r="F651" s="76">
        <v>3448.8180000000002</v>
      </c>
      <c r="G651" s="84"/>
      <c r="H651" s="78">
        <v>155.142</v>
      </c>
      <c r="I651" s="78">
        <v>150.04650000000001</v>
      </c>
      <c r="J651" s="79">
        <f t="shared" si="473"/>
        <v>182.24716503217027</v>
      </c>
      <c r="K651" s="80">
        <v>796353.03</v>
      </c>
      <c r="L651" s="83">
        <f t="shared" si="483"/>
        <v>346.38967745910003</v>
      </c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  <c r="BN651" s="28"/>
      <c r="BO651" s="28"/>
      <c r="BP651" s="28"/>
      <c r="BQ651" s="28"/>
      <c r="BR651" s="28"/>
      <c r="BS651" s="28"/>
      <c r="BT651" s="28"/>
      <c r="BU651" s="28"/>
      <c r="BV651" s="28"/>
      <c r="BW651" s="28"/>
      <c r="BX651" s="28"/>
      <c r="BY651" s="28"/>
      <c r="BZ651" s="28"/>
      <c r="CA651" s="28"/>
      <c r="CB651" s="28"/>
      <c r="CC651" s="28"/>
      <c r="CD651" s="28"/>
      <c r="CE651" s="28"/>
      <c r="CF651" s="28"/>
      <c r="CG651" s="28"/>
      <c r="CH651" s="28"/>
      <c r="CI651" s="28"/>
      <c r="CJ651" s="28"/>
      <c r="CK651" s="28"/>
      <c r="CL651" s="28"/>
      <c r="CM651" s="28"/>
      <c r="CN651" s="28"/>
      <c r="CO651" s="28"/>
      <c r="CP651" s="28"/>
      <c r="CQ651" s="28"/>
      <c r="CR651" s="28"/>
      <c r="CS651" s="28"/>
      <c r="CT651" s="28"/>
      <c r="CU651" s="28"/>
      <c r="CV651" s="28"/>
      <c r="CW651" s="28"/>
      <c r="CX651" s="28"/>
      <c r="CY651" s="28"/>
      <c r="CZ651" s="28"/>
      <c r="DA651" s="28"/>
      <c r="DB651" s="28"/>
      <c r="DC651" s="28"/>
      <c r="DD651" s="28"/>
      <c r="DE651" s="28"/>
      <c r="DF651" s="28"/>
      <c r="DG651" s="28"/>
      <c r="DH651" s="28"/>
      <c r="DI651" s="28"/>
      <c r="DJ651" s="28"/>
      <c r="DK651" s="28"/>
      <c r="DL651" s="28"/>
      <c r="DM651" s="28"/>
      <c r="IH651" s="55"/>
      <c r="II651" s="55"/>
      <c r="IJ651" s="55"/>
      <c r="IK651" s="55"/>
      <c r="IL651" s="55"/>
      <c r="IM651" s="55"/>
    </row>
    <row r="652" spans="1:247" s="54" customFormat="1" ht="20.25" customHeight="1" x14ac:dyDescent="0.25">
      <c r="A652" s="75">
        <v>40038</v>
      </c>
      <c r="B652" s="76">
        <v>434.6</v>
      </c>
      <c r="C652" s="76">
        <f t="shared" si="486"/>
        <v>432.42700000000002</v>
      </c>
      <c r="D652" s="76">
        <f t="shared" si="487"/>
        <v>436.77299999999997</v>
      </c>
      <c r="E652" s="78">
        <f>3472.469/1800.553*100</f>
        <v>192.85569488929232</v>
      </c>
      <c r="F652" s="76">
        <v>3472.4690000000001</v>
      </c>
      <c r="G652" s="84"/>
      <c r="H652" s="78">
        <v>155.00299999999999</v>
      </c>
      <c r="I652" s="78">
        <v>150.03819999999999</v>
      </c>
      <c r="J652" s="79">
        <f t="shared" si="473"/>
        <v>182.78769081654474</v>
      </c>
      <c r="K652" s="80">
        <v>787631.86</v>
      </c>
      <c r="L652" s="83">
        <f t="shared" si="483"/>
        <v>342.30480635600003</v>
      </c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  <c r="BN652" s="28"/>
      <c r="BO652" s="28"/>
      <c r="BP652" s="28"/>
      <c r="BQ652" s="28"/>
      <c r="BR652" s="28"/>
      <c r="BS652" s="28"/>
      <c r="BT652" s="28"/>
      <c r="BU652" s="28"/>
      <c r="BV652" s="28"/>
      <c r="BW652" s="28"/>
      <c r="BX652" s="28"/>
      <c r="BY652" s="28"/>
      <c r="BZ652" s="28"/>
      <c r="CA652" s="28"/>
      <c r="CB652" s="28"/>
      <c r="CC652" s="28"/>
      <c r="CD652" s="28"/>
      <c r="CE652" s="28"/>
      <c r="CF652" s="28"/>
      <c r="CG652" s="28"/>
      <c r="CH652" s="28"/>
      <c r="CI652" s="28"/>
      <c r="CJ652" s="28"/>
      <c r="CK652" s="28"/>
      <c r="CL652" s="28"/>
      <c r="CM652" s="28"/>
      <c r="CN652" s="28"/>
      <c r="CO652" s="28"/>
      <c r="CP652" s="28"/>
      <c r="CQ652" s="28"/>
      <c r="CR652" s="28"/>
      <c r="CS652" s="28"/>
      <c r="CT652" s="28"/>
      <c r="CU652" s="28"/>
      <c r="CV652" s="28"/>
      <c r="CW652" s="28"/>
      <c r="CX652" s="28"/>
      <c r="CY652" s="28"/>
      <c r="CZ652" s="28"/>
      <c r="DA652" s="28"/>
      <c r="DB652" s="28"/>
      <c r="DC652" s="28"/>
      <c r="DD652" s="28"/>
      <c r="DE652" s="28"/>
      <c r="DF652" s="28"/>
      <c r="DG652" s="28"/>
      <c r="DH652" s="28"/>
      <c r="DI652" s="28"/>
      <c r="DJ652" s="28"/>
      <c r="DK652" s="28"/>
      <c r="DL652" s="28"/>
      <c r="DM652" s="28"/>
      <c r="IH652" s="55"/>
      <c r="II652" s="55"/>
      <c r="IJ652" s="55"/>
      <c r="IK652" s="55"/>
      <c r="IL652" s="55"/>
      <c r="IM652" s="55"/>
    </row>
    <row r="653" spans="1:247" s="54" customFormat="1" ht="20.25" customHeight="1" x14ac:dyDescent="0.25">
      <c r="A653" s="75">
        <v>40032</v>
      </c>
      <c r="B653" s="76">
        <v>432.91</v>
      </c>
      <c r="C653" s="76">
        <f t="shared" si="486"/>
        <v>430.74545000000001</v>
      </c>
      <c r="D653" s="76">
        <f t="shared" ref="D653:D658" si="488">1.005*B653</f>
        <v>435.07454999999999</v>
      </c>
      <c r="E653" s="78">
        <f>3444.955/1800.553*100</f>
        <v>191.32760879574218</v>
      </c>
      <c r="F653" s="76">
        <v>3444.9549999999999</v>
      </c>
      <c r="G653" s="84"/>
      <c r="H653" s="78">
        <v>155.31299999999999</v>
      </c>
      <c r="I653" s="78">
        <v>150.02930000000001</v>
      </c>
      <c r="J653" s="79">
        <f t="shared" si="473"/>
        <v>182.24180533373465</v>
      </c>
      <c r="K653" s="80">
        <v>786596</v>
      </c>
      <c r="L653" s="83">
        <f t="shared" si="483"/>
        <v>340.52527436000003</v>
      </c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  <c r="BN653" s="28"/>
      <c r="BO653" s="28"/>
      <c r="BP653" s="28"/>
      <c r="BQ653" s="28"/>
      <c r="BR653" s="28"/>
      <c r="BS653" s="28"/>
      <c r="BT653" s="28"/>
      <c r="BU653" s="28"/>
      <c r="BV653" s="28"/>
      <c r="BW653" s="28"/>
      <c r="BX653" s="28"/>
      <c r="BY653" s="28"/>
      <c r="BZ653" s="28"/>
      <c r="CA653" s="28"/>
      <c r="CB653" s="28"/>
      <c r="CC653" s="28"/>
      <c r="CD653" s="28"/>
      <c r="CE653" s="28"/>
      <c r="CF653" s="28"/>
      <c r="CG653" s="28"/>
      <c r="CH653" s="28"/>
      <c r="CI653" s="28"/>
      <c r="CJ653" s="28"/>
      <c r="CK653" s="28"/>
      <c r="CL653" s="28"/>
      <c r="CM653" s="28"/>
      <c r="CN653" s="28"/>
      <c r="CO653" s="28"/>
      <c r="CP653" s="28"/>
      <c r="CQ653" s="28"/>
      <c r="CR653" s="28"/>
      <c r="CS653" s="28"/>
      <c r="CT653" s="28"/>
      <c r="CU653" s="28"/>
      <c r="CV653" s="28"/>
      <c r="CW653" s="28"/>
      <c r="CX653" s="28"/>
      <c r="CY653" s="28"/>
      <c r="CZ653" s="28"/>
      <c r="DA653" s="28"/>
      <c r="DB653" s="28"/>
      <c r="DC653" s="28"/>
      <c r="DD653" s="28"/>
      <c r="DE653" s="28"/>
      <c r="DF653" s="28"/>
      <c r="DG653" s="28"/>
      <c r="DH653" s="28"/>
      <c r="DI653" s="28"/>
      <c r="DJ653" s="28"/>
      <c r="DK653" s="28"/>
      <c r="DL653" s="28"/>
      <c r="DM653" s="28"/>
      <c r="IH653" s="55"/>
      <c r="II653" s="55"/>
      <c r="IJ653" s="55"/>
      <c r="IK653" s="55"/>
      <c r="IL653" s="55"/>
      <c r="IM653" s="55"/>
    </row>
    <row r="654" spans="1:247" s="57" customFormat="1" ht="20.25" customHeight="1" x14ac:dyDescent="0.25">
      <c r="A654" s="75">
        <v>40024</v>
      </c>
      <c r="B654" s="76">
        <v>426.56</v>
      </c>
      <c r="C654" s="76">
        <f t="shared" si="486"/>
        <v>424.42720000000003</v>
      </c>
      <c r="D654" s="76">
        <f t="shared" si="488"/>
        <v>428.69279999999998</v>
      </c>
      <c r="E654" s="78">
        <f>3363.688/1800.553*100</f>
        <v>186.81416209353458</v>
      </c>
      <c r="F654" s="76">
        <v>3363.6880000000001</v>
      </c>
      <c r="G654" s="84"/>
      <c r="H654" s="78">
        <v>154.26</v>
      </c>
      <c r="I654" s="78">
        <v>150.02000000000001</v>
      </c>
      <c r="J654" s="79">
        <f t="shared" si="473"/>
        <v>179.46138972041308</v>
      </c>
      <c r="K654" s="80">
        <v>786141</v>
      </c>
      <c r="L654" s="83">
        <f t="shared" si="483"/>
        <v>335.33630496000001</v>
      </c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56"/>
      <c r="Y654" s="56"/>
      <c r="Z654" s="56"/>
      <c r="AA654" s="56"/>
      <c r="AB654" s="56"/>
      <c r="AC654" s="56"/>
      <c r="AD654" s="56"/>
      <c r="AE654" s="56"/>
      <c r="AF654" s="56"/>
      <c r="AG654" s="56"/>
      <c r="AH654" s="56"/>
      <c r="AI654" s="56"/>
      <c r="AJ654" s="56"/>
      <c r="AK654" s="56"/>
      <c r="AL654" s="56"/>
      <c r="AM654" s="56"/>
      <c r="AN654" s="56"/>
      <c r="AO654" s="56"/>
      <c r="AP654" s="56"/>
      <c r="AQ654" s="56"/>
      <c r="AR654" s="56"/>
      <c r="AS654" s="56"/>
      <c r="AT654" s="56"/>
      <c r="AU654" s="56"/>
      <c r="AV654" s="56"/>
      <c r="AW654" s="56"/>
      <c r="AX654" s="56"/>
      <c r="AY654" s="56"/>
      <c r="AZ654" s="56"/>
      <c r="BA654" s="56"/>
      <c r="BB654" s="56"/>
      <c r="BC654" s="56"/>
      <c r="BD654" s="56"/>
      <c r="BE654" s="56"/>
      <c r="BF654" s="56"/>
      <c r="BG654" s="56"/>
      <c r="BH654" s="56"/>
      <c r="BI654" s="56"/>
      <c r="BJ654" s="56"/>
      <c r="BK654" s="56"/>
      <c r="BL654" s="56"/>
      <c r="BM654" s="56"/>
      <c r="BN654" s="56"/>
      <c r="BO654" s="56"/>
      <c r="BP654" s="56"/>
      <c r="BQ654" s="56"/>
      <c r="BR654" s="56"/>
      <c r="BS654" s="56"/>
      <c r="BT654" s="56"/>
      <c r="BU654" s="56"/>
      <c r="BV654" s="56"/>
      <c r="BW654" s="56"/>
      <c r="BX654" s="56"/>
      <c r="BY654" s="56"/>
      <c r="BZ654" s="56"/>
      <c r="CA654" s="56"/>
      <c r="CB654" s="56"/>
      <c r="CC654" s="56"/>
      <c r="CD654" s="56"/>
      <c r="CE654" s="56"/>
      <c r="CF654" s="56"/>
      <c r="CG654" s="56"/>
      <c r="CH654" s="56"/>
      <c r="CI654" s="56"/>
      <c r="CJ654" s="56"/>
      <c r="CK654" s="56"/>
      <c r="CL654" s="56"/>
      <c r="CM654" s="56"/>
      <c r="CN654" s="56"/>
      <c r="CO654" s="56"/>
      <c r="CP654" s="56"/>
      <c r="CQ654" s="56"/>
      <c r="CR654" s="56"/>
      <c r="CS654" s="56"/>
      <c r="CT654" s="56"/>
      <c r="CU654" s="56"/>
      <c r="CV654" s="56"/>
      <c r="CW654" s="56"/>
      <c r="CX654" s="56"/>
      <c r="CY654" s="56"/>
      <c r="CZ654" s="56"/>
      <c r="DA654" s="56"/>
      <c r="DB654" s="56"/>
      <c r="DC654" s="56"/>
      <c r="DD654" s="56"/>
      <c r="DE654" s="56"/>
      <c r="DF654" s="56"/>
      <c r="DG654" s="56"/>
      <c r="DH654" s="56"/>
      <c r="DI654" s="56"/>
      <c r="DJ654" s="56"/>
      <c r="DK654" s="56"/>
      <c r="DL654" s="56"/>
      <c r="DM654" s="56"/>
      <c r="IH654" s="58"/>
      <c r="II654" s="58"/>
      <c r="IJ654" s="58"/>
      <c r="IK654" s="58"/>
      <c r="IL654" s="58"/>
      <c r="IM654" s="58"/>
    </row>
    <row r="655" spans="1:247" s="57" customFormat="1" ht="20.25" customHeight="1" x14ac:dyDescent="0.25">
      <c r="A655" s="75">
        <v>40017</v>
      </c>
      <c r="B655" s="76">
        <v>425.29</v>
      </c>
      <c r="C655" s="76">
        <f t="shared" si="486"/>
        <v>423.16355000000004</v>
      </c>
      <c r="D655" s="76">
        <f t="shared" si="488"/>
        <v>427.41645</v>
      </c>
      <c r="E655" s="78">
        <f>3317.269/1800.553*100</f>
        <v>184.23612079177894</v>
      </c>
      <c r="F655" s="76">
        <v>3317.2689999999998</v>
      </c>
      <c r="G655" s="84"/>
      <c r="H655" s="78">
        <v>154.57</v>
      </c>
      <c r="I655" s="78">
        <v>150.0111</v>
      </c>
      <c r="J655" s="79">
        <f t="shared" si="473"/>
        <v>178.39214526136544</v>
      </c>
      <c r="K655" s="80">
        <v>783822.09</v>
      </c>
      <c r="L655" s="83">
        <f t="shared" si="483"/>
        <v>333.35169665609999</v>
      </c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56"/>
      <c r="Y655" s="56"/>
      <c r="Z655" s="56"/>
      <c r="AA655" s="56"/>
      <c r="AB655" s="56"/>
      <c r="AC655" s="56"/>
      <c r="AD655" s="56"/>
      <c r="AE655" s="56"/>
      <c r="AF655" s="56"/>
      <c r="AG655" s="56"/>
      <c r="AH655" s="56"/>
      <c r="AI655" s="56"/>
      <c r="AJ655" s="56"/>
      <c r="AK655" s="56"/>
      <c r="AL655" s="56"/>
      <c r="AM655" s="56"/>
      <c r="AN655" s="56"/>
      <c r="AO655" s="56"/>
      <c r="AP655" s="56"/>
      <c r="AQ655" s="56"/>
      <c r="AR655" s="56"/>
      <c r="AS655" s="56"/>
      <c r="AT655" s="56"/>
      <c r="AU655" s="56"/>
      <c r="AV655" s="56"/>
      <c r="AW655" s="56"/>
      <c r="AX655" s="56"/>
      <c r="AY655" s="56"/>
      <c r="AZ655" s="56"/>
      <c r="BA655" s="56"/>
      <c r="BB655" s="56"/>
      <c r="BC655" s="56"/>
      <c r="BD655" s="56"/>
      <c r="BE655" s="56"/>
      <c r="BF655" s="56"/>
      <c r="BG655" s="56"/>
      <c r="BH655" s="56"/>
      <c r="BI655" s="56"/>
      <c r="BJ655" s="56"/>
      <c r="BK655" s="56"/>
      <c r="BL655" s="56"/>
      <c r="BM655" s="56"/>
      <c r="BN655" s="56"/>
      <c r="BO655" s="56"/>
      <c r="BP655" s="56"/>
      <c r="BQ655" s="56"/>
      <c r="BR655" s="56"/>
      <c r="BS655" s="56"/>
      <c r="BT655" s="56"/>
      <c r="BU655" s="56"/>
      <c r="BV655" s="56"/>
      <c r="BW655" s="56"/>
      <c r="BX655" s="56"/>
      <c r="BY655" s="56"/>
      <c r="BZ655" s="56"/>
      <c r="CA655" s="56"/>
      <c r="CB655" s="56"/>
      <c r="CC655" s="56"/>
      <c r="CD655" s="56"/>
      <c r="CE655" s="56"/>
      <c r="CF655" s="56"/>
      <c r="CG655" s="56"/>
      <c r="CH655" s="56"/>
      <c r="CI655" s="56"/>
      <c r="CJ655" s="56"/>
      <c r="CK655" s="56"/>
      <c r="CL655" s="56"/>
      <c r="CM655" s="56"/>
      <c r="CN655" s="56"/>
      <c r="CO655" s="56"/>
      <c r="CP655" s="56"/>
      <c r="CQ655" s="56"/>
      <c r="CR655" s="56"/>
      <c r="CS655" s="56"/>
      <c r="CT655" s="56"/>
      <c r="CU655" s="56"/>
      <c r="CV655" s="56"/>
      <c r="CW655" s="56"/>
      <c r="CX655" s="56"/>
      <c r="CY655" s="56"/>
      <c r="CZ655" s="56"/>
      <c r="DA655" s="56"/>
      <c r="DB655" s="56"/>
      <c r="DC655" s="56"/>
      <c r="DD655" s="56"/>
      <c r="DE655" s="56"/>
      <c r="DF655" s="56"/>
      <c r="DG655" s="56"/>
      <c r="DH655" s="56"/>
      <c r="DI655" s="56"/>
      <c r="DJ655" s="56"/>
      <c r="DK655" s="56"/>
      <c r="DL655" s="56"/>
      <c r="DM655" s="56"/>
      <c r="IH655" s="58"/>
      <c r="II655" s="58"/>
      <c r="IJ655" s="58"/>
      <c r="IK655" s="58"/>
      <c r="IL655" s="58"/>
      <c r="IM655" s="58"/>
    </row>
    <row r="656" spans="1:247" s="54" customFormat="1" ht="20.25" customHeight="1" x14ac:dyDescent="0.25">
      <c r="A656" s="75">
        <v>40010</v>
      </c>
      <c r="B656" s="76">
        <v>422.67</v>
      </c>
      <c r="C656" s="76">
        <f t="shared" si="486"/>
        <v>420.55664999999999</v>
      </c>
      <c r="D656" s="76">
        <f t="shared" si="488"/>
        <v>424.78334999999998</v>
      </c>
      <c r="E656" s="78">
        <f>3173.971/1800.553*100</f>
        <v>176.27756583671791</v>
      </c>
      <c r="F656" s="76">
        <v>3173.971</v>
      </c>
      <c r="G656" s="84"/>
      <c r="H656" s="78">
        <v>154.79519999999999</v>
      </c>
      <c r="I656" s="78">
        <v>150.0016</v>
      </c>
      <c r="J656" s="79">
        <f t="shared" si="473"/>
        <v>174.57821913778702</v>
      </c>
      <c r="K656" s="80">
        <v>778729.46</v>
      </c>
      <c r="L656" s="83">
        <f t="shared" si="483"/>
        <v>329.14558085819999</v>
      </c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  <c r="BN656" s="28"/>
      <c r="BO656" s="28"/>
      <c r="BP656" s="28"/>
      <c r="BQ656" s="28"/>
      <c r="BR656" s="28"/>
      <c r="BS656" s="28"/>
      <c r="BT656" s="28"/>
      <c r="BU656" s="28"/>
      <c r="BV656" s="28"/>
      <c r="BW656" s="28"/>
      <c r="BX656" s="28"/>
      <c r="BY656" s="28"/>
      <c r="BZ656" s="28"/>
      <c r="CA656" s="28"/>
      <c r="CB656" s="28"/>
      <c r="CC656" s="28"/>
      <c r="CD656" s="28"/>
      <c r="CE656" s="28"/>
      <c r="CF656" s="28"/>
      <c r="CG656" s="28"/>
      <c r="CH656" s="28"/>
      <c r="CI656" s="28"/>
      <c r="CJ656" s="28"/>
      <c r="CK656" s="28"/>
      <c r="CL656" s="28"/>
      <c r="CM656" s="28"/>
      <c r="CN656" s="28"/>
      <c r="CO656" s="28"/>
      <c r="CP656" s="28"/>
      <c r="CQ656" s="28"/>
      <c r="CR656" s="28"/>
      <c r="CS656" s="28"/>
      <c r="CT656" s="28"/>
      <c r="CU656" s="28"/>
      <c r="CV656" s="28"/>
      <c r="CW656" s="28"/>
      <c r="CX656" s="28"/>
      <c r="CY656" s="28"/>
      <c r="CZ656" s="28"/>
      <c r="DA656" s="28"/>
      <c r="DB656" s="28"/>
      <c r="DC656" s="28"/>
      <c r="DD656" s="28"/>
      <c r="DE656" s="28"/>
      <c r="DF656" s="28"/>
      <c r="DG656" s="28"/>
      <c r="DH656" s="28"/>
      <c r="DI656" s="28"/>
      <c r="DJ656" s="28"/>
      <c r="DK656" s="28"/>
      <c r="DL656" s="28"/>
      <c r="DM656" s="28"/>
      <c r="IH656" s="55"/>
      <c r="II656" s="55"/>
      <c r="IJ656" s="55"/>
      <c r="IK656" s="55"/>
      <c r="IL656" s="55"/>
      <c r="IM656" s="55"/>
    </row>
    <row r="657" spans="1:247" s="52" customFormat="1" ht="20.25" customHeight="1" x14ac:dyDescent="0.25">
      <c r="A657" s="75">
        <v>40003</v>
      </c>
      <c r="B657" s="76">
        <v>416.81</v>
      </c>
      <c r="C657" s="76">
        <f t="shared" si="486"/>
        <v>414.72595000000001</v>
      </c>
      <c r="D657" s="76">
        <f t="shared" si="488"/>
        <v>418.89404999999994</v>
      </c>
      <c r="E657" s="78">
        <f>2998.81/1800.553*100</f>
        <v>166.54938788250053</v>
      </c>
      <c r="F657" s="76">
        <v>2998.81</v>
      </c>
      <c r="G657" s="84"/>
      <c r="H657" s="78">
        <v>154.5641</v>
      </c>
      <c r="I657" s="78">
        <v>149.9924</v>
      </c>
      <c r="J657" s="79">
        <f t="shared" si="473"/>
        <v>169.50120530786131</v>
      </c>
      <c r="K657" s="80">
        <v>778901</v>
      </c>
      <c r="L657" s="83">
        <f t="shared" si="483"/>
        <v>324.65372581000003</v>
      </c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40"/>
      <c r="Y657" s="40"/>
      <c r="Z657" s="40"/>
      <c r="AA657" s="40"/>
      <c r="AB657" s="40"/>
      <c r="AC657" s="40"/>
      <c r="AD657" s="40"/>
      <c r="AE657" s="40"/>
      <c r="AF657" s="40"/>
      <c r="AG657" s="40"/>
      <c r="AH657" s="40"/>
      <c r="AI657" s="40"/>
      <c r="AJ657" s="40"/>
      <c r="AK657" s="40"/>
      <c r="AL657" s="40"/>
      <c r="AM657" s="40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0"/>
      <c r="BA657" s="40"/>
      <c r="BB657" s="40"/>
      <c r="BC657" s="40"/>
      <c r="BD657" s="40"/>
      <c r="BE657" s="40"/>
      <c r="BF657" s="40"/>
      <c r="BG657" s="40"/>
      <c r="BH657" s="40"/>
      <c r="BI657" s="40"/>
      <c r="BJ657" s="40"/>
      <c r="BK657" s="40"/>
      <c r="BL657" s="40"/>
      <c r="BM657" s="40"/>
      <c r="BN657" s="40"/>
      <c r="BO657" s="40"/>
      <c r="BP657" s="40"/>
      <c r="BQ657" s="40"/>
      <c r="BR657" s="40"/>
      <c r="BS657" s="40"/>
      <c r="BT657" s="40"/>
      <c r="BU657" s="40"/>
      <c r="BV657" s="40"/>
      <c r="BW657" s="40"/>
      <c r="BX657" s="40"/>
      <c r="BY657" s="40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  <c r="DJ657" s="40"/>
      <c r="DK657" s="40"/>
      <c r="DL657" s="40"/>
      <c r="DM657" s="40"/>
      <c r="IH657" s="53"/>
      <c r="II657" s="53"/>
      <c r="IJ657" s="53"/>
      <c r="IK657" s="53"/>
      <c r="IL657" s="53"/>
      <c r="IM657" s="53"/>
    </row>
    <row r="658" spans="1:247" s="54" customFormat="1" ht="20.25" customHeight="1" x14ac:dyDescent="0.25">
      <c r="A658" s="75">
        <v>39996</v>
      </c>
      <c r="B658" s="76">
        <v>415.73</v>
      </c>
      <c r="C658" s="76">
        <f t="shared" si="486"/>
        <v>413.65135000000004</v>
      </c>
      <c r="D658" s="76">
        <f t="shared" si="488"/>
        <v>417.80865</v>
      </c>
      <c r="E658" s="78">
        <f>3065.902/1800.553*100</f>
        <v>170.27557644790238</v>
      </c>
      <c r="F658" s="76">
        <v>3065.902</v>
      </c>
      <c r="G658" s="84"/>
      <c r="H658" s="78">
        <v>153.83000000000001</v>
      </c>
      <c r="I658" s="78">
        <v>149.98330000000001</v>
      </c>
      <c r="J658" s="79">
        <f t="shared" si="473"/>
        <v>170.96389818479048</v>
      </c>
      <c r="K658" s="80">
        <v>777471.64</v>
      </c>
      <c r="L658" s="83">
        <f t="shared" si="483"/>
        <v>323.21828489720002</v>
      </c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  <c r="BN658" s="28"/>
      <c r="BO658" s="28"/>
      <c r="BP658" s="28"/>
      <c r="BQ658" s="28"/>
      <c r="BR658" s="28"/>
      <c r="BS658" s="28"/>
      <c r="BT658" s="28"/>
      <c r="BU658" s="28"/>
      <c r="BV658" s="28"/>
      <c r="BW658" s="28"/>
      <c r="BX658" s="28"/>
      <c r="BY658" s="28"/>
      <c r="BZ658" s="28"/>
      <c r="CA658" s="28"/>
      <c r="CB658" s="28"/>
      <c r="CC658" s="28"/>
      <c r="CD658" s="28"/>
      <c r="CE658" s="28"/>
      <c r="CF658" s="28"/>
      <c r="CG658" s="28"/>
      <c r="CH658" s="28"/>
      <c r="CI658" s="28"/>
      <c r="CJ658" s="28"/>
      <c r="CK658" s="28"/>
      <c r="CL658" s="28"/>
      <c r="CM658" s="28"/>
      <c r="CN658" s="28"/>
      <c r="CO658" s="28"/>
      <c r="CP658" s="28"/>
      <c r="CQ658" s="28"/>
      <c r="CR658" s="28"/>
      <c r="CS658" s="28"/>
      <c r="CT658" s="28"/>
      <c r="CU658" s="28"/>
      <c r="CV658" s="28"/>
      <c r="CW658" s="28"/>
      <c r="CX658" s="28"/>
      <c r="CY658" s="28"/>
      <c r="CZ658" s="28"/>
      <c r="DA658" s="28"/>
      <c r="DB658" s="28"/>
      <c r="DC658" s="28"/>
      <c r="DD658" s="28"/>
      <c r="DE658" s="28"/>
      <c r="DF658" s="28"/>
      <c r="DG658" s="28"/>
      <c r="DH658" s="28"/>
      <c r="DI658" s="28"/>
      <c r="DJ658" s="28"/>
      <c r="DK658" s="28"/>
      <c r="DL658" s="28"/>
      <c r="DM658" s="28"/>
      <c r="IH658" s="55"/>
      <c r="II658" s="55"/>
      <c r="IJ658" s="55"/>
      <c r="IK658" s="55"/>
      <c r="IL658" s="55"/>
      <c r="IM658" s="55"/>
    </row>
    <row r="659" spans="1:247" s="3" customFormat="1" ht="20.25" customHeight="1" x14ac:dyDescent="0.25">
      <c r="A659" s="75">
        <v>39989</v>
      </c>
      <c r="B659" s="76">
        <v>416.36</v>
      </c>
      <c r="C659" s="76">
        <f t="shared" si="486"/>
        <v>414.27820000000003</v>
      </c>
      <c r="D659" s="76">
        <f t="shared" ref="D659:D664" si="489">1.005*B659</f>
        <v>418.44179999999994</v>
      </c>
      <c r="E659" s="78">
        <f>3096.363/1800.553*100</f>
        <v>171.96733448001805</v>
      </c>
      <c r="F659" s="76">
        <v>3096.3629999999998</v>
      </c>
      <c r="G659" s="84"/>
      <c r="H659" s="78">
        <v>153.75319999999999</v>
      </c>
      <c r="I659" s="78">
        <v>149.97309999999999</v>
      </c>
      <c r="J659" s="79">
        <f t="shared" si="473"/>
        <v>171.76588763201855</v>
      </c>
      <c r="K659" s="80">
        <v>780652.56</v>
      </c>
      <c r="L659" s="83">
        <f t="shared" si="483"/>
        <v>325.03249988160002</v>
      </c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IH659"/>
      <c r="II659"/>
      <c r="IJ659"/>
      <c r="IK659"/>
      <c r="IL659"/>
      <c r="IM659"/>
    </row>
    <row r="660" spans="1:247" s="3" customFormat="1" ht="20.25" customHeight="1" x14ac:dyDescent="0.25">
      <c r="A660" s="75">
        <v>39982</v>
      </c>
      <c r="B660" s="76">
        <v>415.62</v>
      </c>
      <c r="C660" s="76">
        <f t="shared" si="486"/>
        <v>413.5419</v>
      </c>
      <c r="D660" s="76">
        <f t="shared" si="489"/>
        <v>417.69809999999995</v>
      </c>
      <c r="E660" s="78">
        <f>3097.911/1800.553*100</f>
        <v>172.05330806702162</v>
      </c>
      <c r="F660" s="76">
        <v>3097.9110000000001</v>
      </c>
      <c r="G660" s="84"/>
      <c r="H660" s="78">
        <v>153.32159999999999</v>
      </c>
      <c r="I660" s="78">
        <v>149.96250000000001</v>
      </c>
      <c r="J660" s="79">
        <f t="shared" si="473"/>
        <v>171.56727222594535</v>
      </c>
      <c r="K660" s="80">
        <v>778081</v>
      </c>
      <c r="L660" s="83">
        <f t="shared" si="483"/>
        <v>323.38602522000002</v>
      </c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IH660"/>
      <c r="II660"/>
      <c r="IJ660"/>
      <c r="IK660"/>
      <c r="IL660"/>
      <c r="IM660"/>
    </row>
    <row r="661" spans="1:247" s="3" customFormat="1" ht="20.25" customHeight="1" x14ac:dyDescent="0.25">
      <c r="A661" s="75">
        <v>39975</v>
      </c>
      <c r="B661" s="76">
        <v>418.79</v>
      </c>
      <c r="C661" s="76">
        <f t="shared" si="486"/>
        <v>416.69605000000001</v>
      </c>
      <c r="D661" s="76">
        <f t="shared" si="489"/>
        <v>420.88394999999997</v>
      </c>
      <c r="E661" s="78">
        <f>3221.411/1800.553*100</f>
        <v>178.91231193972072</v>
      </c>
      <c r="F661" s="76">
        <v>3221.4110000000001</v>
      </c>
      <c r="G661" s="84"/>
      <c r="H661" s="78">
        <v>153.85830000000001</v>
      </c>
      <c r="I661" s="78">
        <v>149.9502</v>
      </c>
      <c r="J661" s="79">
        <f t="shared" si="473"/>
        <v>175.23185326379533</v>
      </c>
      <c r="K661" s="80">
        <v>772715.95</v>
      </c>
      <c r="L661" s="83">
        <f t="shared" si="483"/>
        <v>323.60571270050002</v>
      </c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IH661"/>
      <c r="II661"/>
      <c r="IJ661"/>
      <c r="IK661"/>
      <c r="IL661"/>
      <c r="IM661"/>
    </row>
    <row r="662" spans="1:247" s="3" customFormat="1" ht="20.25" customHeight="1" x14ac:dyDescent="0.25">
      <c r="A662" s="75">
        <v>39968</v>
      </c>
      <c r="B662" s="76">
        <v>421.34</v>
      </c>
      <c r="C662" s="76">
        <f t="shared" si="486"/>
        <v>419.23329999999999</v>
      </c>
      <c r="D662" s="76">
        <f t="shared" si="489"/>
        <v>423.44669999999991</v>
      </c>
      <c r="E662" s="78">
        <f>3185.094/1800.553*100</f>
        <v>176.89532049320403</v>
      </c>
      <c r="F662" s="76">
        <v>3185.0940000000001</v>
      </c>
      <c r="G662" s="84"/>
      <c r="H662" s="78">
        <v>153.90090000000001</v>
      </c>
      <c r="I662" s="78">
        <v>149.93090000000001</v>
      </c>
      <c r="J662" s="79">
        <f t="shared" si="473"/>
        <v>174.26248562157542</v>
      </c>
      <c r="K662" s="80">
        <v>768441.47</v>
      </c>
      <c r="L662" s="83">
        <f t="shared" si="483"/>
        <v>323.77512896979999</v>
      </c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IH662"/>
      <c r="II662"/>
      <c r="IJ662"/>
      <c r="IK662"/>
      <c r="IL662"/>
      <c r="IM662"/>
    </row>
    <row r="663" spans="1:247" s="3" customFormat="1" ht="20.25" customHeight="1" x14ac:dyDescent="0.25">
      <c r="A663" s="75">
        <v>39961</v>
      </c>
      <c r="B663" s="76">
        <v>417.36</v>
      </c>
      <c r="C663" s="76">
        <f t="shared" si="486"/>
        <v>415.27320000000003</v>
      </c>
      <c r="D663" s="76">
        <f t="shared" si="489"/>
        <v>419.4468</v>
      </c>
      <c r="E663" s="78">
        <f>3082.113/1800.553*100</f>
        <v>171.1759109562451</v>
      </c>
      <c r="F663" s="76">
        <v>3082.1129999999998</v>
      </c>
      <c r="G663" s="84"/>
      <c r="H663" s="78">
        <v>152.9426</v>
      </c>
      <c r="I663" s="78">
        <v>149.91909999999999</v>
      </c>
      <c r="J663" s="79">
        <f t="shared" si="473"/>
        <v>170.87252704112146</v>
      </c>
      <c r="K663" s="80">
        <v>766603.34</v>
      </c>
      <c r="L663" s="83">
        <f t="shared" si="483"/>
        <v>319.94956998240002</v>
      </c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  <c r="BN663" s="28"/>
      <c r="BO663" s="28"/>
      <c r="BP663" s="28"/>
      <c r="BQ663" s="28"/>
      <c r="BR663" s="28"/>
      <c r="BS663" s="28"/>
      <c r="BT663" s="28"/>
      <c r="BU663" s="28"/>
      <c r="BV663" s="28"/>
      <c r="BW663" s="28"/>
      <c r="BX663" s="28"/>
      <c r="BY663" s="28"/>
      <c r="BZ663" s="28"/>
      <c r="CA663" s="28"/>
      <c r="CB663" s="28"/>
      <c r="CC663" s="28"/>
      <c r="CD663" s="28"/>
      <c r="CE663" s="28"/>
      <c r="CF663" s="28"/>
      <c r="CG663" s="28"/>
      <c r="CH663" s="28"/>
      <c r="CI663" s="28"/>
      <c r="CJ663" s="28"/>
      <c r="CK663" s="28"/>
      <c r="CL663" s="28"/>
      <c r="CM663" s="28"/>
      <c r="CN663" s="28"/>
      <c r="CO663" s="28"/>
      <c r="CP663" s="28"/>
      <c r="CQ663" s="28"/>
      <c r="CR663" s="28"/>
      <c r="CS663" s="28"/>
      <c r="CT663" s="28"/>
      <c r="CU663" s="28"/>
      <c r="CV663" s="28"/>
      <c r="CW663" s="28"/>
      <c r="CX663" s="28"/>
      <c r="CY663" s="28"/>
      <c r="CZ663" s="28"/>
      <c r="DA663" s="28"/>
      <c r="DB663" s="28"/>
      <c r="DC663" s="28"/>
      <c r="DD663" s="28"/>
      <c r="DE663" s="28"/>
      <c r="DF663" s="28"/>
      <c r="DG663" s="28"/>
      <c r="DH663" s="28"/>
      <c r="DI663" s="28"/>
      <c r="DJ663" s="28"/>
      <c r="DK663" s="28"/>
      <c r="DL663" s="28"/>
      <c r="DM663" s="28"/>
      <c r="IH663"/>
      <c r="II663"/>
      <c r="IJ663"/>
      <c r="IK663"/>
      <c r="IL663"/>
      <c r="IM663"/>
    </row>
    <row r="664" spans="1:247" s="3" customFormat="1" ht="20.25" customHeight="1" x14ac:dyDescent="0.25">
      <c r="A664" s="75">
        <v>39954</v>
      </c>
      <c r="B664" s="76">
        <v>414.81</v>
      </c>
      <c r="C664" s="76">
        <f t="shared" si="486"/>
        <v>412.73595</v>
      </c>
      <c r="D664" s="76">
        <f t="shared" si="489"/>
        <v>416.88404999999995</v>
      </c>
      <c r="E664" s="78">
        <f>3024.689/1800.553*100</f>
        <v>167.98666854016514</v>
      </c>
      <c r="F664" s="76">
        <v>3024.6889999999999</v>
      </c>
      <c r="G664" s="84"/>
      <c r="H664" s="78">
        <v>153.26580000000001</v>
      </c>
      <c r="I664" s="78">
        <v>149.90710000000001</v>
      </c>
      <c r="J664" s="79">
        <f t="shared" si="473"/>
        <v>169.44274060281668</v>
      </c>
      <c r="K664" s="80">
        <v>782567</v>
      </c>
      <c r="L664" s="83">
        <f t="shared" si="483"/>
        <v>324.61661727000001</v>
      </c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IH664"/>
      <c r="II664"/>
      <c r="IJ664"/>
      <c r="IK664"/>
      <c r="IL664"/>
      <c r="IM664"/>
    </row>
    <row r="665" spans="1:247" s="3" customFormat="1" ht="20.25" customHeight="1" x14ac:dyDescent="0.25">
      <c r="A665" s="75">
        <v>39947</v>
      </c>
      <c r="B665" s="76">
        <v>406.16</v>
      </c>
      <c r="C665" s="76">
        <f t="shared" si="486"/>
        <v>404.12920000000003</v>
      </c>
      <c r="D665" s="76">
        <f t="shared" ref="D665:D670" si="490">1.005*B665</f>
        <v>408.19079999999997</v>
      </c>
      <c r="E665" s="78">
        <f>2966.457/1800.553*100</f>
        <v>164.75255102182496</v>
      </c>
      <c r="F665" s="76">
        <v>2966.4569999999999</v>
      </c>
      <c r="G665" s="84"/>
      <c r="H665" s="78">
        <v>151.6199</v>
      </c>
      <c r="I665" s="78">
        <v>149.89510000000001</v>
      </c>
      <c r="J665" s="79">
        <f t="shared" si="473"/>
        <v>166.89873764348877</v>
      </c>
      <c r="K665" s="80">
        <v>782567</v>
      </c>
      <c r="L665" s="83">
        <f t="shared" si="483"/>
        <v>317.84741272000002</v>
      </c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IH665"/>
      <c r="II665"/>
      <c r="IJ665"/>
      <c r="IK665"/>
      <c r="IL665"/>
      <c r="IM665"/>
    </row>
    <row r="666" spans="1:247" s="3" customFormat="1" ht="20.25" customHeight="1" x14ac:dyDescent="0.25">
      <c r="A666" s="75">
        <v>39940</v>
      </c>
      <c r="B666" s="76">
        <v>399.59</v>
      </c>
      <c r="C666" s="76">
        <f t="shared" si="486"/>
        <v>397.59204999999997</v>
      </c>
      <c r="D666" s="76">
        <f t="shared" si="490"/>
        <v>401.58794999999992</v>
      </c>
      <c r="E666" s="78">
        <f>3003.883/1800.553*100</f>
        <v>166.83113465696371</v>
      </c>
      <c r="F666" s="76">
        <v>3003.8829999999998</v>
      </c>
      <c r="G666" s="84"/>
      <c r="H666" s="78">
        <v>149.91309999999999</v>
      </c>
      <c r="I666" s="78">
        <v>149.88419999999999</v>
      </c>
      <c r="J666" s="79">
        <f t="shared" si="473"/>
        <v>166.98840577826101</v>
      </c>
      <c r="K666" s="80">
        <v>780667.48</v>
      </c>
      <c r="L666" s="83">
        <f t="shared" si="483"/>
        <v>311.94691833319996</v>
      </c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IH666"/>
      <c r="II666"/>
      <c r="IJ666"/>
      <c r="IK666"/>
      <c r="IL666"/>
      <c r="IM666"/>
    </row>
    <row r="667" spans="1:247" s="3" customFormat="1" ht="20.25" customHeight="1" x14ac:dyDescent="0.25">
      <c r="A667" s="75">
        <v>39933</v>
      </c>
      <c r="B667" s="76">
        <v>391.3</v>
      </c>
      <c r="C667" s="76">
        <f t="shared" si="486"/>
        <v>389.34350000000001</v>
      </c>
      <c r="D667" s="76">
        <f t="shared" si="490"/>
        <v>393.25649999999996</v>
      </c>
      <c r="E667" s="78">
        <f>2867.372/1800.553*100</f>
        <v>159.2495194531902</v>
      </c>
      <c r="F667" s="76">
        <v>2867.3719999999998</v>
      </c>
      <c r="G667" s="84"/>
      <c r="H667" s="78">
        <v>149.1918</v>
      </c>
      <c r="I667" s="78">
        <v>149.8725</v>
      </c>
      <c r="J667" s="79">
        <f t="shared" si="473"/>
        <v>162.7215919134409</v>
      </c>
      <c r="K667" s="80">
        <v>812304.27</v>
      </c>
      <c r="L667" s="83">
        <f t="shared" si="483"/>
        <v>317.85466085100001</v>
      </c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IH667"/>
      <c r="II667"/>
      <c r="IJ667"/>
      <c r="IK667"/>
      <c r="IL667"/>
      <c r="IM667"/>
    </row>
    <row r="668" spans="1:247" s="3" customFormat="1" ht="20.25" customHeight="1" x14ac:dyDescent="0.25">
      <c r="A668" s="75">
        <v>39926</v>
      </c>
      <c r="B668" s="76">
        <v>388.29</v>
      </c>
      <c r="C668" s="76">
        <f t="shared" si="486"/>
        <v>386.34855000000005</v>
      </c>
      <c r="D668" s="76">
        <f t="shared" si="490"/>
        <v>390.23145</v>
      </c>
      <c r="E668" s="78">
        <f>2770.551/1800.553*100</f>
        <v>153.87222703247278</v>
      </c>
      <c r="F668" s="76">
        <v>2770.5509999999999</v>
      </c>
      <c r="G668" s="84"/>
      <c r="H668" s="78">
        <v>149.18010000000001</v>
      </c>
      <c r="I668" s="78">
        <v>149.86099999999999</v>
      </c>
      <c r="J668" s="79">
        <f t="shared" si="473"/>
        <v>159.92098314470653</v>
      </c>
      <c r="K668" s="80">
        <v>812053</v>
      </c>
      <c r="L668" s="83">
        <f t="shared" si="483"/>
        <v>315.31205936999999</v>
      </c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IH668"/>
      <c r="II668"/>
      <c r="IJ668"/>
      <c r="IK668"/>
      <c r="IL668"/>
      <c r="IM668"/>
    </row>
    <row r="669" spans="1:247" s="3" customFormat="1" ht="20.25" customHeight="1" x14ac:dyDescent="0.25">
      <c r="A669" s="75">
        <v>39919</v>
      </c>
      <c r="B669" s="76">
        <v>384.35</v>
      </c>
      <c r="C669" s="76">
        <f t="shared" si="486"/>
        <v>382.42825000000005</v>
      </c>
      <c r="D669" s="76">
        <f t="shared" si="490"/>
        <v>386.27175</v>
      </c>
      <c r="E669" s="78">
        <f>2804.737/1800.553*100</f>
        <v>155.77086595062738</v>
      </c>
      <c r="F669" s="76">
        <v>2804.7370000000001</v>
      </c>
      <c r="G669" s="84"/>
      <c r="H669" s="78">
        <v>149.16800000000001</v>
      </c>
      <c r="I669" s="78">
        <v>149.8492</v>
      </c>
      <c r="J669" s="79">
        <f t="shared" si="473"/>
        <v>160.89500518496715</v>
      </c>
      <c r="K669" s="80">
        <v>812053.13</v>
      </c>
      <c r="L669" s="83">
        <f t="shared" si="483"/>
        <v>312.1126205155</v>
      </c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IH669"/>
      <c r="II669"/>
      <c r="IJ669"/>
      <c r="IK669"/>
      <c r="IL669"/>
      <c r="IM669"/>
    </row>
    <row r="670" spans="1:247" s="3" customFormat="1" ht="20.25" customHeight="1" x14ac:dyDescent="0.25">
      <c r="A670" s="75">
        <v>39912</v>
      </c>
      <c r="B670" s="76">
        <v>381.59</v>
      </c>
      <c r="C670" s="76">
        <f t="shared" si="486"/>
        <v>379.68204999999995</v>
      </c>
      <c r="D670" s="76">
        <f t="shared" si="490"/>
        <v>383.49794999999995</v>
      </c>
      <c r="E670" s="78">
        <f>2758.6/1800.553*100</f>
        <v>153.2084865038685</v>
      </c>
      <c r="F670" s="76">
        <v>2758.6</v>
      </c>
      <c r="G670" s="84"/>
      <c r="H670" s="78">
        <v>148.60820000000001</v>
      </c>
      <c r="I670" s="78">
        <v>149.83709999999999</v>
      </c>
      <c r="J670" s="79">
        <f t="shared" si="473"/>
        <v>159.2632149702369</v>
      </c>
      <c r="K670" s="80">
        <v>811611.99</v>
      </c>
      <c r="L670" s="83">
        <f t="shared" si="483"/>
        <v>309.70301926409996</v>
      </c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IH670"/>
      <c r="II670"/>
      <c r="IJ670"/>
      <c r="IK670"/>
      <c r="IL670"/>
      <c r="IM670"/>
    </row>
    <row r="671" spans="1:247" s="3" customFormat="1" ht="20.25" customHeight="1" x14ac:dyDescent="0.25">
      <c r="A671" s="75">
        <v>39905</v>
      </c>
      <c r="B671" s="76">
        <v>385.7</v>
      </c>
      <c r="C671" s="76">
        <f t="shared" si="486"/>
        <v>383.7715</v>
      </c>
      <c r="D671" s="76">
        <f t="shared" ref="D671:D676" si="491">1.005*B671</f>
        <v>387.62849999999997</v>
      </c>
      <c r="E671" s="78">
        <f>2728.642/1800.553*100</f>
        <v>151.54466433367969</v>
      </c>
      <c r="F671" s="76">
        <v>2728.6419999999998</v>
      </c>
      <c r="G671" s="84"/>
      <c r="H671" s="78">
        <v>149.65119999999999</v>
      </c>
      <c r="I671" s="78">
        <v>149.82380000000001</v>
      </c>
      <c r="J671" s="79">
        <f t="shared" si="473"/>
        <v>158.94456704040624</v>
      </c>
      <c r="K671" s="80">
        <v>810265</v>
      </c>
      <c r="L671" s="83">
        <f t="shared" si="483"/>
        <v>312.51921049999999</v>
      </c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IH671"/>
      <c r="II671"/>
      <c r="IJ671"/>
      <c r="IK671"/>
      <c r="IL671"/>
      <c r="IM671"/>
    </row>
    <row r="672" spans="1:247" s="3" customFormat="1" ht="20.25" customHeight="1" x14ac:dyDescent="0.25">
      <c r="A672" s="75">
        <v>39898</v>
      </c>
      <c r="B672" s="76">
        <v>387.91</v>
      </c>
      <c r="C672" s="76">
        <f t="shared" si="486"/>
        <v>385.97045000000003</v>
      </c>
      <c r="D672" s="76">
        <f t="shared" si="491"/>
        <v>389.84954999999997</v>
      </c>
      <c r="E672" s="78">
        <f>2691.295/1800.553*100</f>
        <v>149.47046823947977</v>
      </c>
      <c r="F672" s="76">
        <v>2691.2950000000001</v>
      </c>
      <c r="G672" s="84"/>
      <c r="H672" s="78">
        <v>149.7183</v>
      </c>
      <c r="I672" s="78">
        <v>149.81020000000001</v>
      </c>
      <c r="J672" s="79">
        <f t="shared" si="473"/>
        <v>157.88446854593496</v>
      </c>
      <c r="K672" s="80">
        <v>810136</v>
      </c>
      <c r="L672" s="83">
        <f t="shared" si="483"/>
        <v>314.25985575999999</v>
      </c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  <c r="BN672" s="28"/>
      <c r="BO672" s="28"/>
      <c r="BP672" s="28"/>
      <c r="BQ672" s="28"/>
      <c r="BR672" s="28"/>
      <c r="BS672" s="28"/>
      <c r="BT672" s="28"/>
      <c r="BU672" s="28"/>
      <c r="BV672" s="28"/>
      <c r="BW672" s="28"/>
      <c r="BX672" s="28"/>
      <c r="BY672" s="28"/>
      <c r="BZ672" s="28"/>
      <c r="CA672" s="28"/>
      <c r="CB672" s="28"/>
      <c r="CC672" s="28"/>
      <c r="CD672" s="28"/>
      <c r="CE672" s="28"/>
      <c r="CF672" s="28"/>
      <c r="CG672" s="28"/>
      <c r="CH672" s="28"/>
      <c r="CI672" s="28"/>
      <c r="CJ672" s="28"/>
      <c r="CK672" s="28"/>
      <c r="CL672" s="28"/>
      <c r="CM672" s="28"/>
      <c r="CN672" s="28"/>
      <c r="CO672" s="28"/>
      <c r="CP672" s="28"/>
      <c r="CQ672" s="28"/>
      <c r="CR672" s="28"/>
      <c r="CS672" s="28"/>
      <c r="CT672" s="28"/>
      <c r="CU672" s="28"/>
      <c r="CV672" s="28"/>
      <c r="CW672" s="28"/>
      <c r="CX672" s="28"/>
      <c r="CY672" s="28"/>
      <c r="CZ672" s="28"/>
      <c r="DA672" s="28"/>
      <c r="DB672" s="28"/>
      <c r="DC672" s="28"/>
      <c r="DD672" s="28"/>
      <c r="DE672" s="28"/>
      <c r="DF672" s="28"/>
      <c r="DG672" s="28"/>
      <c r="DH672" s="28"/>
      <c r="DI672" s="28"/>
      <c r="DJ672" s="28"/>
      <c r="DK672" s="28"/>
      <c r="DL672" s="28"/>
      <c r="DM672" s="28"/>
      <c r="IH672"/>
      <c r="II672"/>
      <c r="IJ672"/>
      <c r="IK672"/>
      <c r="IL672"/>
      <c r="IM672"/>
    </row>
    <row r="673" spans="1:247" s="3" customFormat="1" ht="20.25" customHeight="1" x14ac:dyDescent="0.25">
      <c r="A673" s="75">
        <v>39891</v>
      </c>
      <c r="B673" s="76">
        <v>380.77</v>
      </c>
      <c r="C673" s="76">
        <f t="shared" si="486"/>
        <v>378.86615</v>
      </c>
      <c r="D673" s="76">
        <f t="shared" si="491"/>
        <v>382.67384999999996</v>
      </c>
      <c r="E673" s="78">
        <f>2564.794/1800.553*100</f>
        <v>142.44479334959868</v>
      </c>
      <c r="F673" s="76">
        <v>2564.7939999999999</v>
      </c>
      <c r="G673" s="84"/>
      <c r="H673" s="78">
        <v>151.1037</v>
      </c>
      <c r="I673" s="78">
        <v>149.79689999999999</v>
      </c>
      <c r="J673" s="79">
        <f t="shared" si="473"/>
        <v>154.77704450073958</v>
      </c>
      <c r="K673" s="80">
        <v>811413.52</v>
      </c>
      <c r="L673" s="83">
        <f t="shared" si="483"/>
        <v>308.96192601040002</v>
      </c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IH673"/>
      <c r="II673"/>
      <c r="IJ673"/>
      <c r="IK673"/>
      <c r="IL673"/>
      <c r="IM673"/>
    </row>
    <row r="674" spans="1:247" s="3" customFormat="1" ht="20.25" customHeight="1" x14ac:dyDescent="0.25">
      <c r="A674" s="75">
        <v>39884</v>
      </c>
      <c r="B674" s="76">
        <v>364.73</v>
      </c>
      <c r="C674" s="76">
        <f t="shared" si="486"/>
        <v>362.90635000000003</v>
      </c>
      <c r="D674" s="76">
        <f t="shared" si="491"/>
        <v>366.55365</v>
      </c>
      <c r="E674" s="78">
        <f>2379.771/1800.553*100</f>
        <v>132.1688947784375</v>
      </c>
      <c r="F674" s="76">
        <v>2379.7710000000002</v>
      </c>
      <c r="G674" s="84"/>
      <c r="H674" s="78">
        <v>147.5941</v>
      </c>
      <c r="I674" s="78">
        <v>149.78370000000001</v>
      </c>
      <c r="J674" s="79">
        <f t="shared" si="473"/>
        <v>147.29960362043124</v>
      </c>
      <c r="K674" s="80">
        <v>811413</v>
      </c>
      <c r="L674" s="83">
        <f t="shared" si="483"/>
        <v>295.94666348999999</v>
      </c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  <c r="BN674" s="28"/>
      <c r="BO674" s="28"/>
      <c r="BP674" s="28"/>
      <c r="BQ674" s="28"/>
      <c r="BR674" s="28"/>
      <c r="BS674" s="28"/>
      <c r="BT674" s="28"/>
      <c r="BU674" s="28"/>
      <c r="BV674" s="28"/>
      <c r="BW674" s="28"/>
      <c r="BX674" s="28"/>
      <c r="BY674" s="28"/>
      <c r="BZ674" s="28"/>
      <c r="CA674" s="28"/>
      <c r="CB674" s="28"/>
      <c r="CC674" s="28"/>
      <c r="CD674" s="28"/>
      <c r="CE674" s="28"/>
      <c r="CF674" s="28"/>
      <c r="CG674" s="28"/>
      <c r="CH674" s="28"/>
      <c r="CI674" s="28"/>
      <c r="CJ674" s="28"/>
      <c r="CK674" s="28"/>
      <c r="CL674" s="28"/>
      <c r="CM674" s="28"/>
      <c r="CN674" s="28"/>
      <c r="CO674" s="28"/>
      <c r="CP674" s="28"/>
      <c r="CQ674" s="28"/>
      <c r="CR674" s="28"/>
      <c r="CS674" s="28"/>
      <c r="CT674" s="28"/>
      <c r="CU674" s="28"/>
      <c r="CV674" s="28"/>
      <c r="CW674" s="28"/>
      <c r="CX674" s="28"/>
      <c r="CY674" s="28"/>
      <c r="CZ674" s="28"/>
      <c r="DA674" s="28"/>
      <c r="DB674" s="28"/>
      <c r="DC674" s="28"/>
      <c r="DD674" s="28"/>
      <c r="DE674" s="28"/>
      <c r="DF674" s="28"/>
      <c r="DG674" s="28"/>
      <c r="DH674" s="28"/>
      <c r="DI674" s="28"/>
      <c r="DJ674" s="28"/>
      <c r="DK674" s="28"/>
      <c r="DL674" s="28"/>
      <c r="DM674" s="28"/>
      <c r="IH674"/>
      <c r="II674"/>
      <c r="IJ674"/>
      <c r="IK674"/>
      <c r="IL674"/>
      <c r="IM674"/>
    </row>
    <row r="675" spans="1:247" s="3" customFormat="1" ht="20.25" customHeight="1" x14ac:dyDescent="0.25">
      <c r="A675" s="75">
        <v>39877</v>
      </c>
      <c r="B675" s="76">
        <v>366.4</v>
      </c>
      <c r="C675" s="76">
        <f t="shared" si="486"/>
        <v>364.56799999999998</v>
      </c>
      <c r="D675" s="76">
        <f t="shared" si="491"/>
        <v>368.23199999999991</v>
      </c>
      <c r="E675" s="78">
        <f>2234.061/1800.553*100</f>
        <v>124.07638097851049</v>
      </c>
      <c r="F675" s="76">
        <v>2234.0610000000001</v>
      </c>
      <c r="G675" s="84"/>
      <c r="H675" s="78">
        <v>146.59549999999999</v>
      </c>
      <c r="I675" s="78">
        <v>149.76929999999999</v>
      </c>
      <c r="J675" s="79">
        <f t="shared" si="473"/>
        <v>142.1787532706569</v>
      </c>
      <c r="K675" s="80">
        <v>811298</v>
      </c>
      <c r="L675" s="83">
        <f t="shared" si="483"/>
        <v>297.2595872</v>
      </c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  <c r="BN675" s="28"/>
      <c r="BO675" s="28"/>
      <c r="BP675" s="28"/>
      <c r="BQ675" s="28"/>
      <c r="BR675" s="28"/>
      <c r="BS675" s="28"/>
      <c r="BT675" s="28"/>
      <c r="BU675" s="28"/>
      <c r="BV675" s="28"/>
      <c r="BW675" s="28"/>
      <c r="BX675" s="28"/>
      <c r="BY675" s="28"/>
      <c r="BZ675" s="28"/>
      <c r="CA675" s="28"/>
      <c r="CB675" s="28"/>
      <c r="CC675" s="28"/>
      <c r="CD675" s="28"/>
      <c r="CE675" s="28"/>
      <c r="CF675" s="28"/>
      <c r="CG675" s="28"/>
      <c r="CH675" s="28"/>
      <c r="CI675" s="28"/>
      <c r="CJ675" s="28"/>
      <c r="CK675" s="28"/>
      <c r="CL675" s="28"/>
      <c r="CM675" s="28"/>
      <c r="CN675" s="28"/>
      <c r="CO675" s="28"/>
      <c r="CP675" s="28"/>
      <c r="CQ675" s="28"/>
      <c r="CR675" s="28"/>
      <c r="CS675" s="28"/>
      <c r="CT675" s="28"/>
      <c r="CU675" s="28"/>
      <c r="CV675" s="28"/>
      <c r="CW675" s="28"/>
      <c r="CX675" s="28"/>
      <c r="CY675" s="28"/>
      <c r="CZ675" s="28"/>
      <c r="DA675" s="28"/>
      <c r="DB675" s="28"/>
      <c r="DC675" s="28"/>
      <c r="DD675" s="28"/>
      <c r="DE675" s="28"/>
      <c r="DF675" s="28"/>
      <c r="DG675" s="28"/>
      <c r="DH675" s="28"/>
      <c r="DI675" s="28"/>
      <c r="DJ675" s="28"/>
      <c r="DK675" s="28"/>
      <c r="DL675" s="28"/>
      <c r="DM675" s="28"/>
      <c r="IH675"/>
      <c r="II675"/>
      <c r="IJ675"/>
      <c r="IK675"/>
      <c r="IL675"/>
      <c r="IM675"/>
    </row>
    <row r="676" spans="1:247" s="3" customFormat="1" ht="20.25" customHeight="1" x14ac:dyDescent="0.25">
      <c r="A676" s="75">
        <v>39870</v>
      </c>
      <c r="B676" s="76">
        <v>370.81</v>
      </c>
      <c r="C676" s="76">
        <f t="shared" si="486"/>
        <v>368.95594999999997</v>
      </c>
      <c r="D676" s="76">
        <f t="shared" si="491"/>
        <v>372.66404999999997</v>
      </c>
      <c r="E676" s="78">
        <f>2434.155/1800.553*100</f>
        <v>135.18930017611257</v>
      </c>
      <c r="F676" s="76">
        <v>2434.1550000000002</v>
      </c>
      <c r="G676" s="84"/>
      <c r="H676" s="78">
        <v>147.27670000000001</v>
      </c>
      <c r="I676" s="78">
        <v>149.75530000000001</v>
      </c>
      <c r="J676" s="79">
        <f t="shared" si="473"/>
        <v>148.63143549953804</v>
      </c>
      <c r="K676" s="80">
        <v>808889.33</v>
      </c>
      <c r="L676" s="83">
        <f t="shared" si="483"/>
        <v>299.94425245730002</v>
      </c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IH676"/>
      <c r="II676"/>
      <c r="IJ676"/>
      <c r="IK676"/>
      <c r="IL676"/>
      <c r="IM676"/>
    </row>
    <row r="677" spans="1:247" s="3" customFormat="1" ht="20.25" customHeight="1" x14ac:dyDescent="0.25">
      <c r="A677" s="75">
        <v>39863</v>
      </c>
      <c r="B677" s="76">
        <v>378.13</v>
      </c>
      <c r="C677" s="76">
        <f t="shared" si="486"/>
        <v>376.23935</v>
      </c>
      <c r="D677" s="76">
        <f t="shared" ref="D677:D682" si="492">1.005*B677</f>
        <v>380.02064999999993</v>
      </c>
      <c r="E677" s="78">
        <f>2516.492/1800.553*100</f>
        <v>139.76217306571925</v>
      </c>
      <c r="F677" s="76">
        <v>2516.4920000000002</v>
      </c>
      <c r="G677" s="84"/>
      <c r="H677" s="78">
        <v>148.00460000000001</v>
      </c>
      <c r="I677" s="78">
        <v>149.7396</v>
      </c>
      <c r="J677" s="79">
        <f t="shared" ref="J677:J702" si="493">(E677/E678)*0.5*J678+(H677/H678)*0.5*J678</f>
        <v>151.48210528112759</v>
      </c>
      <c r="K677" s="80">
        <v>808626.19</v>
      </c>
      <c r="L677" s="83">
        <f t="shared" si="483"/>
        <v>305.76582122469995</v>
      </c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IH677"/>
      <c r="II677"/>
      <c r="IJ677"/>
      <c r="IK677"/>
      <c r="IL677"/>
      <c r="IM677"/>
    </row>
    <row r="678" spans="1:247" s="3" customFormat="1" ht="20.25" customHeight="1" x14ac:dyDescent="0.25">
      <c r="A678" s="75">
        <v>39856</v>
      </c>
      <c r="B678" s="76">
        <v>382.61</v>
      </c>
      <c r="C678" s="76">
        <f t="shared" si="486"/>
        <v>380.69695000000002</v>
      </c>
      <c r="D678" s="76">
        <f t="shared" si="492"/>
        <v>384.52304999999996</v>
      </c>
      <c r="E678" s="78">
        <f>2665.382/1800.553*100</f>
        <v>148.03129927305667</v>
      </c>
      <c r="F678" s="76">
        <v>2665.3820000000001</v>
      </c>
      <c r="G678" s="84"/>
      <c r="H678" s="78">
        <v>149.2774</v>
      </c>
      <c r="I678" s="78">
        <v>149.72239999999999</v>
      </c>
      <c r="J678" s="79">
        <f t="shared" si="493"/>
        <v>156.52107178653873</v>
      </c>
      <c r="K678" s="80">
        <v>808626.19</v>
      </c>
      <c r="L678" s="83">
        <f t="shared" si="483"/>
        <v>309.38846655589998</v>
      </c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IH678"/>
      <c r="II678"/>
      <c r="IJ678"/>
      <c r="IK678"/>
      <c r="IL678"/>
      <c r="IM678"/>
    </row>
    <row r="679" spans="1:247" s="3" customFormat="1" ht="20.25" customHeight="1" x14ac:dyDescent="0.25">
      <c r="A679" s="75">
        <v>39849</v>
      </c>
      <c r="B679" s="76">
        <v>381.41</v>
      </c>
      <c r="C679" s="76">
        <f t="shared" si="486"/>
        <v>379.50295</v>
      </c>
      <c r="D679" s="76">
        <f t="shared" si="492"/>
        <v>383.31704999999999</v>
      </c>
      <c r="E679" s="78">
        <f>2712.08/1800.553*100</f>
        <v>150.62483581433037</v>
      </c>
      <c r="F679" s="76">
        <v>2712.08</v>
      </c>
      <c r="G679" s="84"/>
      <c r="H679" s="78">
        <v>149.34</v>
      </c>
      <c r="I679" s="78">
        <v>149.70689999999999</v>
      </c>
      <c r="J679" s="79">
        <f t="shared" si="493"/>
        <v>157.91368863077901</v>
      </c>
      <c r="K679" s="80">
        <v>808495.75</v>
      </c>
      <c r="L679" s="83">
        <f t="shared" si="483"/>
        <v>308.36836400750002</v>
      </c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IH679"/>
      <c r="II679"/>
      <c r="IJ679"/>
      <c r="IK679"/>
      <c r="IL679"/>
      <c r="IM679"/>
    </row>
    <row r="680" spans="1:247" s="3" customFormat="1" ht="20.25" customHeight="1" x14ac:dyDescent="0.25">
      <c r="A680" s="75">
        <v>39842</v>
      </c>
      <c r="B680" s="76">
        <v>385.77</v>
      </c>
      <c r="C680" s="76">
        <f t="shared" si="486"/>
        <v>383.84114999999997</v>
      </c>
      <c r="D680" s="76">
        <f t="shared" si="492"/>
        <v>387.69884999999994</v>
      </c>
      <c r="E680" s="78">
        <f>2725.523/1800.553*100</f>
        <v>151.37143977433601</v>
      </c>
      <c r="F680" s="76">
        <v>2725.5230000000001</v>
      </c>
      <c r="G680" s="84"/>
      <c r="H680" s="78">
        <v>149.7687</v>
      </c>
      <c r="I680" s="78">
        <v>149.6909</v>
      </c>
      <c r="J680" s="79">
        <f t="shared" si="493"/>
        <v>158.53153980089942</v>
      </c>
      <c r="K680" s="80">
        <v>787126.86</v>
      </c>
      <c r="L680" s="83">
        <f t="shared" si="483"/>
        <v>303.64992878219999</v>
      </c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  <c r="BN680" s="28"/>
      <c r="BO680" s="28"/>
      <c r="BP680" s="28"/>
      <c r="BQ680" s="28"/>
      <c r="BR680" s="28"/>
      <c r="BS680" s="28"/>
      <c r="BT680" s="28"/>
      <c r="BU680" s="28"/>
      <c r="BV680" s="28"/>
      <c r="BW680" s="28"/>
      <c r="BX680" s="28"/>
      <c r="BY680" s="28"/>
      <c r="BZ680" s="28"/>
      <c r="CA680" s="28"/>
      <c r="CB680" s="28"/>
      <c r="CC680" s="28"/>
      <c r="CD680" s="28"/>
      <c r="CE680" s="28"/>
      <c r="CF680" s="28"/>
      <c r="CG680" s="28"/>
      <c r="CH680" s="28"/>
      <c r="CI680" s="28"/>
      <c r="CJ680" s="28"/>
      <c r="CK680" s="28"/>
      <c r="CL680" s="28"/>
      <c r="CM680" s="28"/>
      <c r="CN680" s="28"/>
      <c r="CO680" s="28"/>
      <c r="CP680" s="28"/>
      <c r="CQ680" s="28"/>
      <c r="CR680" s="28"/>
      <c r="CS680" s="28"/>
      <c r="CT680" s="28"/>
      <c r="CU680" s="28"/>
      <c r="CV680" s="28"/>
      <c r="CW680" s="28"/>
      <c r="CX680" s="28"/>
      <c r="CY680" s="28"/>
      <c r="CZ680" s="28"/>
      <c r="DA680" s="28"/>
      <c r="DB680" s="28"/>
      <c r="DC680" s="28"/>
      <c r="DD680" s="28"/>
      <c r="DE680" s="28"/>
      <c r="DF680" s="28"/>
      <c r="DG680" s="28"/>
      <c r="DH680" s="28"/>
      <c r="DI680" s="28"/>
      <c r="DJ680" s="28"/>
      <c r="DK680" s="28"/>
      <c r="DL680" s="28"/>
      <c r="DM680" s="28"/>
      <c r="IH680"/>
      <c r="II680"/>
      <c r="IJ680"/>
      <c r="IK680"/>
      <c r="IL680"/>
      <c r="IM680"/>
    </row>
    <row r="681" spans="1:247" s="3" customFormat="1" ht="20.25" customHeight="1" x14ac:dyDescent="0.25">
      <c r="A681" s="75">
        <v>39835</v>
      </c>
      <c r="B681" s="76">
        <v>381.6</v>
      </c>
      <c r="C681" s="76">
        <f t="shared" si="486"/>
        <v>379.69200000000001</v>
      </c>
      <c r="D681" s="76">
        <f t="shared" si="492"/>
        <v>383.50799999999998</v>
      </c>
      <c r="E681" s="78">
        <f>2637.302/1800.553*100</f>
        <v>146.4717783925272</v>
      </c>
      <c r="F681" s="76">
        <v>2637.3020000000001</v>
      </c>
      <c r="G681" s="84"/>
      <c r="H681" s="78">
        <v>149.70099999999999</v>
      </c>
      <c r="I681" s="78">
        <v>149.6748</v>
      </c>
      <c r="J681" s="79">
        <f t="shared" si="493"/>
        <v>155.88895188075747</v>
      </c>
      <c r="K681" s="80">
        <v>787198.7</v>
      </c>
      <c r="L681" s="83">
        <f t="shared" si="483"/>
        <v>300.39502392000003</v>
      </c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IH681"/>
      <c r="II681"/>
      <c r="IJ681"/>
      <c r="IK681"/>
      <c r="IL681"/>
      <c r="IM681"/>
    </row>
    <row r="682" spans="1:247" s="3" customFormat="1" ht="20.25" customHeight="1" x14ac:dyDescent="0.25">
      <c r="A682" s="75">
        <v>39828</v>
      </c>
      <c r="B682" s="76">
        <v>379.47</v>
      </c>
      <c r="C682" s="76">
        <f t="shared" si="486"/>
        <v>377.57265000000001</v>
      </c>
      <c r="D682" s="76">
        <f t="shared" si="492"/>
        <v>381.36734999999999</v>
      </c>
      <c r="E682" s="78">
        <f>2709.507/1800.553*100</f>
        <v>150.48193527210807</v>
      </c>
      <c r="F682" s="76">
        <v>2709.5070000000001</v>
      </c>
      <c r="G682" s="84"/>
      <c r="H682" s="78">
        <v>150.55539999999999</v>
      </c>
      <c r="I682" s="78">
        <v>149.65729999999999</v>
      </c>
      <c r="J682" s="79">
        <f t="shared" si="493"/>
        <v>158.44979744439547</v>
      </c>
      <c r="K682" s="80">
        <v>787927.29</v>
      </c>
      <c r="L682" s="83">
        <f t="shared" si="483"/>
        <v>298.99476873630005</v>
      </c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IH682"/>
      <c r="II682"/>
      <c r="IJ682"/>
      <c r="IK682"/>
      <c r="IL682"/>
      <c r="IM682"/>
    </row>
    <row r="683" spans="1:247" s="3" customFormat="1" ht="20.25" customHeight="1" x14ac:dyDescent="0.25">
      <c r="A683" s="75">
        <v>39821</v>
      </c>
      <c r="B683" s="76">
        <v>388.39</v>
      </c>
      <c r="C683" s="76">
        <f t="shared" si="486"/>
        <v>386.44804999999997</v>
      </c>
      <c r="D683" s="76">
        <f t="shared" ref="D683:D688" si="494">1.005*B683</f>
        <v>390.33194999999995</v>
      </c>
      <c r="E683" s="78">
        <f>2979.413/1800.553*100</f>
        <v>165.47210773579005</v>
      </c>
      <c r="F683" s="76">
        <v>2979.413</v>
      </c>
      <c r="G683" s="84"/>
      <c r="H683" s="78">
        <v>152.40940000000001</v>
      </c>
      <c r="I683" s="78">
        <v>149.64019999999999</v>
      </c>
      <c r="J683" s="79">
        <f t="shared" si="493"/>
        <v>167.03145006714448</v>
      </c>
      <c r="K683" s="80">
        <v>787927.29</v>
      </c>
      <c r="L683" s="83">
        <f t="shared" si="483"/>
        <v>306.02308016310002</v>
      </c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IH683"/>
      <c r="II683"/>
      <c r="IJ683"/>
      <c r="IK683"/>
      <c r="IL683"/>
      <c r="IM683"/>
    </row>
    <row r="684" spans="1:247" s="3" customFormat="1" ht="20.25" customHeight="1" x14ac:dyDescent="0.25">
      <c r="A684" s="75">
        <v>39815</v>
      </c>
      <c r="B684" s="76">
        <v>393.01</v>
      </c>
      <c r="C684" s="76">
        <f t="shared" si="486"/>
        <v>391.04494999999997</v>
      </c>
      <c r="D684" s="76">
        <f t="shared" si="494"/>
        <v>394.97504999999995</v>
      </c>
      <c r="E684" s="78">
        <f>3002.008/1800.553*100</f>
        <v>166.72699998278304</v>
      </c>
      <c r="F684" s="76">
        <v>3002.0079999999998</v>
      </c>
      <c r="G684" s="84"/>
      <c r="H684" s="78">
        <v>152.14169999999999</v>
      </c>
      <c r="I684" s="78">
        <v>149.62450000000001</v>
      </c>
      <c r="J684" s="79">
        <f t="shared" si="493"/>
        <v>167.51448519991169</v>
      </c>
      <c r="K684" s="80">
        <v>787927.29</v>
      </c>
      <c r="L684" s="83">
        <f t="shared" si="483"/>
        <v>309.66330424290004</v>
      </c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IH684"/>
      <c r="II684"/>
      <c r="IJ684"/>
      <c r="IK684"/>
      <c r="IL684"/>
      <c r="IM684"/>
    </row>
    <row r="685" spans="1:247" s="3" customFormat="1" ht="20.25" customHeight="1" x14ac:dyDescent="0.25">
      <c r="A685" s="75">
        <v>39813</v>
      </c>
      <c r="B685" s="76">
        <v>394.29</v>
      </c>
      <c r="C685" s="76">
        <f t="shared" si="486"/>
        <v>392.31855000000002</v>
      </c>
      <c r="D685" s="76">
        <f t="shared" si="494"/>
        <v>396.26144999999997</v>
      </c>
      <c r="E685" s="78">
        <f>2919.783/1800.553*100</f>
        <v>162.16034740438076</v>
      </c>
      <c r="F685" s="76">
        <v>2919.7829999999999</v>
      </c>
      <c r="G685" s="84"/>
      <c r="H685" s="78">
        <v>152.59559999999999</v>
      </c>
      <c r="I685" s="78">
        <v>149.61359999999999</v>
      </c>
      <c r="J685" s="79">
        <f t="shared" si="493"/>
        <v>165.43114375465581</v>
      </c>
      <c r="K685" s="80">
        <v>787927</v>
      </c>
      <c r="L685" s="83">
        <f t="shared" si="483"/>
        <v>310.67173683000004</v>
      </c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IH685"/>
      <c r="II685"/>
      <c r="IJ685"/>
      <c r="IK685"/>
      <c r="IL685"/>
      <c r="IM685"/>
    </row>
    <row r="686" spans="1:247" s="3" customFormat="1" ht="20.25" customHeight="1" x14ac:dyDescent="0.25">
      <c r="A686" s="75">
        <v>39811</v>
      </c>
      <c r="B686" s="76">
        <v>393.37</v>
      </c>
      <c r="C686" s="76">
        <f t="shared" si="486"/>
        <v>391.40314999999998</v>
      </c>
      <c r="D686" s="76">
        <f t="shared" si="494"/>
        <v>395.33684999999997</v>
      </c>
      <c r="E686" s="78">
        <f>2858.7/1800.553*100</f>
        <v>158.76788964279305</v>
      </c>
      <c r="F686" s="76">
        <v>2858.7</v>
      </c>
      <c r="G686" s="84"/>
      <c r="H686" s="78">
        <v>152.24959999999999</v>
      </c>
      <c r="I686" s="78">
        <v>149.60769999999999</v>
      </c>
      <c r="J686" s="79">
        <f t="shared" si="493"/>
        <v>163.49859132634714</v>
      </c>
      <c r="K686" s="80">
        <v>791592.29</v>
      </c>
      <c r="L686" s="83">
        <f t="shared" si="483"/>
        <v>311.38865911730005</v>
      </c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IH686"/>
      <c r="II686"/>
      <c r="IJ686"/>
      <c r="IK686"/>
      <c r="IL686"/>
      <c r="IM686"/>
    </row>
    <row r="687" spans="1:247" s="3" customFormat="1" ht="20.25" customHeight="1" x14ac:dyDescent="0.25">
      <c r="A687" s="75">
        <v>39800</v>
      </c>
      <c r="B687" s="76">
        <v>389.43</v>
      </c>
      <c r="C687" s="76">
        <f t="shared" si="486"/>
        <v>387.48284999999998</v>
      </c>
      <c r="D687" s="76">
        <f t="shared" si="494"/>
        <v>391.37714999999997</v>
      </c>
      <c r="E687" s="78">
        <f>2914.485/1800.553*100</f>
        <v>161.86610446901591</v>
      </c>
      <c r="F687" s="76">
        <v>2914.4850000000001</v>
      </c>
      <c r="G687" s="84"/>
      <c r="H687" s="78">
        <v>154.03989999999999</v>
      </c>
      <c r="I687" s="78">
        <v>149.58000000000001</v>
      </c>
      <c r="J687" s="79">
        <f t="shared" si="493"/>
        <v>166.05272435882614</v>
      </c>
      <c r="K687" s="80">
        <v>792604.65</v>
      </c>
      <c r="L687" s="83">
        <f t="shared" si="483"/>
        <v>308.66402884950003</v>
      </c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IH687"/>
      <c r="II687"/>
      <c r="IJ687"/>
      <c r="IK687"/>
      <c r="IL687"/>
      <c r="IM687"/>
    </row>
    <row r="688" spans="1:247" s="3" customFormat="1" ht="20.25" customHeight="1" x14ac:dyDescent="0.25">
      <c r="A688" s="75">
        <v>39793</v>
      </c>
      <c r="B688" s="76">
        <v>377.34</v>
      </c>
      <c r="C688" s="76">
        <f t="shared" si="486"/>
        <v>375.45329999999996</v>
      </c>
      <c r="D688" s="76">
        <f t="shared" si="494"/>
        <v>379.22669999999994</v>
      </c>
      <c r="E688" s="78">
        <f>2827.976/1800.553*100</f>
        <v>157.06152498704563</v>
      </c>
      <c r="F688" s="76">
        <v>2827.9760000000001</v>
      </c>
      <c r="G688" s="84"/>
      <c r="H688" s="78">
        <v>151.01750000000001</v>
      </c>
      <c r="I688" s="78">
        <v>149.56039999999999</v>
      </c>
      <c r="J688" s="79">
        <f t="shared" si="493"/>
        <v>161.95494014546233</v>
      </c>
      <c r="K688" s="80">
        <v>792604.65</v>
      </c>
      <c r="L688" s="83">
        <f t="shared" si="483"/>
        <v>299.08143863099997</v>
      </c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  <c r="BN688" s="28"/>
      <c r="BO688" s="28"/>
      <c r="BP688" s="28"/>
      <c r="BQ688" s="28"/>
      <c r="BR688" s="28"/>
      <c r="BS688" s="28"/>
      <c r="BT688" s="28"/>
      <c r="BU688" s="28"/>
      <c r="BV688" s="28"/>
      <c r="BW688" s="28"/>
      <c r="BX688" s="28"/>
      <c r="BY688" s="28"/>
      <c r="BZ688" s="28"/>
      <c r="CA688" s="28"/>
      <c r="CB688" s="28"/>
      <c r="CC688" s="28"/>
      <c r="CD688" s="28"/>
      <c r="CE688" s="28"/>
      <c r="CF688" s="28"/>
      <c r="CG688" s="28"/>
      <c r="CH688" s="28"/>
      <c r="CI688" s="28"/>
      <c r="CJ688" s="28"/>
      <c r="CK688" s="28"/>
      <c r="CL688" s="28"/>
      <c r="CM688" s="28"/>
      <c r="CN688" s="28"/>
      <c r="CO688" s="28"/>
      <c r="CP688" s="28"/>
      <c r="CQ688" s="28"/>
      <c r="CR688" s="28"/>
      <c r="CS688" s="28"/>
      <c r="CT688" s="28"/>
      <c r="CU688" s="28"/>
      <c r="CV688" s="28"/>
      <c r="CW688" s="28"/>
      <c r="CX688" s="28"/>
      <c r="CY688" s="28"/>
      <c r="CZ688" s="28"/>
      <c r="DA688" s="28"/>
      <c r="DB688" s="28"/>
      <c r="DC688" s="28"/>
      <c r="DD688" s="28"/>
      <c r="DE688" s="28"/>
      <c r="DF688" s="28"/>
      <c r="DG688" s="28"/>
      <c r="DH688" s="28"/>
      <c r="DI688" s="28"/>
      <c r="DJ688" s="28"/>
      <c r="DK688" s="28"/>
      <c r="DL688" s="28"/>
      <c r="DM688" s="28"/>
      <c r="IH688"/>
      <c r="II688"/>
      <c r="IJ688"/>
      <c r="IK688"/>
      <c r="IL688"/>
      <c r="IM688"/>
    </row>
    <row r="689" spans="1:247" s="3" customFormat="1" ht="20.25" customHeight="1" x14ac:dyDescent="0.25">
      <c r="A689" s="75">
        <v>39786</v>
      </c>
      <c r="B689" s="76">
        <v>365.97</v>
      </c>
      <c r="C689" s="76">
        <f t="shared" si="486"/>
        <v>364.14015000000001</v>
      </c>
      <c r="D689" s="76">
        <f t="shared" ref="D689:D694" si="495">1.005*B689</f>
        <v>367.79984999999999</v>
      </c>
      <c r="E689" s="78">
        <f>2675.747/1800.553*100</f>
        <v>148.6069557519273</v>
      </c>
      <c r="F689" s="76">
        <v>2675.7469999999998</v>
      </c>
      <c r="G689" s="84"/>
      <c r="H689" s="78">
        <v>148.7567</v>
      </c>
      <c r="I689" s="78">
        <v>149.53749999999999</v>
      </c>
      <c r="J689" s="79">
        <f t="shared" si="493"/>
        <v>156.32036319422349</v>
      </c>
      <c r="K689" s="80">
        <v>793311.2</v>
      </c>
      <c r="L689" s="83">
        <f t="shared" si="483"/>
        <v>290.32809986400002</v>
      </c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  <c r="BN689" s="28"/>
      <c r="BO689" s="28"/>
      <c r="BP689" s="28"/>
      <c r="BQ689" s="28"/>
      <c r="BR689" s="28"/>
      <c r="BS689" s="28"/>
      <c r="BT689" s="28"/>
      <c r="BU689" s="28"/>
      <c r="BV689" s="28"/>
      <c r="BW689" s="28"/>
      <c r="BX689" s="28"/>
      <c r="BY689" s="28"/>
      <c r="BZ689" s="28"/>
      <c r="CA689" s="28"/>
      <c r="CB689" s="28"/>
      <c r="CC689" s="28"/>
      <c r="CD689" s="28"/>
      <c r="CE689" s="28"/>
      <c r="CF689" s="28"/>
      <c r="CG689" s="28"/>
      <c r="CH689" s="28"/>
      <c r="CI689" s="28"/>
      <c r="CJ689" s="28"/>
      <c r="CK689" s="28"/>
      <c r="CL689" s="28"/>
      <c r="CM689" s="28"/>
      <c r="CN689" s="28"/>
      <c r="CO689" s="28"/>
      <c r="CP689" s="28"/>
      <c r="CQ689" s="28"/>
      <c r="CR689" s="28"/>
      <c r="CS689" s="28"/>
      <c r="CT689" s="28"/>
      <c r="CU689" s="28"/>
      <c r="CV689" s="28"/>
      <c r="CW689" s="28"/>
      <c r="CX689" s="28"/>
      <c r="CY689" s="28"/>
      <c r="CZ689" s="28"/>
      <c r="DA689" s="28"/>
      <c r="DB689" s="28"/>
      <c r="DC689" s="28"/>
      <c r="DD689" s="28"/>
      <c r="DE689" s="28"/>
      <c r="DF689" s="28"/>
      <c r="DG689" s="28"/>
      <c r="DH689" s="28"/>
      <c r="DI689" s="28"/>
      <c r="DJ689" s="28"/>
      <c r="DK689" s="28"/>
      <c r="DL689" s="28"/>
      <c r="DM689" s="28"/>
      <c r="IH689"/>
      <c r="II689"/>
      <c r="IJ689"/>
      <c r="IK689"/>
      <c r="IL689"/>
      <c r="IM689"/>
    </row>
    <row r="690" spans="1:247" s="3" customFormat="1" ht="20.25" customHeight="1" x14ac:dyDescent="0.25">
      <c r="A690" s="75">
        <v>39779</v>
      </c>
      <c r="B690" s="76">
        <v>369.99</v>
      </c>
      <c r="C690" s="76">
        <f t="shared" si="486"/>
        <v>368.14005000000003</v>
      </c>
      <c r="D690" s="76">
        <f t="shared" si="495"/>
        <v>371.83994999999999</v>
      </c>
      <c r="E690" s="78">
        <f>2801.639/1800.553*100</f>
        <v>155.59880769963451</v>
      </c>
      <c r="F690" s="76">
        <v>2801.6390000000001</v>
      </c>
      <c r="G690" s="84"/>
      <c r="H690" s="78">
        <v>149.0814</v>
      </c>
      <c r="I690" s="78">
        <v>149.5137</v>
      </c>
      <c r="J690" s="79">
        <f t="shared" si="493"/>
        <v>160.09157070490738</v>
      </c>
      <c r="K690" s="80">
        <v>795645.59</v>
      </c>
      <c r="L690" s="83">
        <f t="shared" si="483"/>
        <v>294.38091184410001</v>
      </c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  <c r="BN690" s="28"/>
      <c r="BO690" s="28"/>
      <c r="BP690" s="28"/>
      <c r="BQ690" s="28"/>
      <c r="BR690" s="28"/>
      <c r="BS690" s="28"/>
      <c r="BT690" s="28"/>
      <c r="BU690" s="28"/>
      <c r="BV690" s="28"/>
      <c r="BW690" s="28"/>
      <c r="BX690" s="28"/>
      <c r="BY690" s="28"/>
      <c r="BZ690" s="28"/>
      <c r="CA690" s="28"/>
      <c r="CB690" s="28"/>
      <c r="CC690" s="28"/>
      <c r="CD690" s="28"/>
      <c r="CE690" s="28"/>
      <c r="CF690" s="28"/>
      <c r="CG690" s="28"/>
      <c r="CH690" s="28"/>
      <c r="CI690" s="28"/>
      <c r="CJ690" s="28"/>
      <c r="CK690" s="28"/>
      <c r="CL690" s="28"/>
      <c r="CM690" s="28"/>
      <c r="CN690" s="28"/>
      <c r="CO690" s="28"/>
      <c r="CP690" s="28"/>
      <c r="CQ690" s="28"/>
      <c r="CR690" s="28"/>
      <c r="CS690" s="28"/>
      <c r="CT690" s="28"/>
      <c r="CU690" s="28"/>
      <c r="CV690" s="28"/>
      <c r="CW690" s="28"/>
      <c r="CX690" s="28"/>
      <c r="CY690" s="28"/>
      <c r="CZ690" s="28"/>
      <c r="DA690" s="28"/>
      <c r="DB690" s="28"/>
      <c r="DC690" s="28"/>
      <c r="DD690" s="28"/>
      <c r="DE690" s="28"/>
      <c r="DF690" s="28"/>
      <c r="DG690" s="28"/>
      <c r="DH690" s="28"/>
      <c r="DI690" s="28"/>
      <c r="DJ690" s="28"/>
      <c r="DK690" s="28"/>
      <c r="DL690" s="28"/>
      <c r="DM690" s="28"/>
      <c r="IH690"/>
      <c r="II690"/>
      <c r="IJ690"/>
      <c r="IK690"/>
      <c r="IL690"/>
      <c r="IM690"/>
    </row>
    <row r="691" spans="1:247" s="3" customFormat="1" ht="20.25" customHeight="1" x14ac:dyDescent="0.25">
      <c r="A691" s="75">
        <v>39772</v>
      </c>
      <c r="B691" s="76">
        <v>356.63</v>
      </c>
      <c r="C691" s="76">
        <f t="shared" si="486"/>
        <v>354.84685000000002</v>
      </c>
      <c r="D691" s="76">
        <f t="shared" si="495"/>
        <v>358.41314999999997</v>
      </c>
      <c r="E691" s="78">
        <f>2441.381/1800.553*100</f>
        <v>135.59062132578157</v>
      </c>
      <c r="F691" s="76">
        <v>2441.3809999999999</v>
      </c>
      <c r="G691" s="84"/>
      <c r="H691" s="78">
        <v>147.38919999999999</v>
      </c>
      <c r="I691" s="78">
        <v>149.4863</v>
      </c>
      <c r="J691" s="79">
        <f t="shared" si="493"/>
        <v>148.29854628481166</v>
      </c>
      <c r="K691" s="80">
        <v>795895.19</v>
      </c>
      <c r="L691" s="83">
        <f t="shared" si="483"/>
        <v>283.84010160969996</v>
      </c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  <c r="BN691" s="28"/>
      <c r="BO691" s="28"/>
      <c r="BP691" s="28"/>
      <c r="BQ691" s="28"/>
      <c r="BR691" s="28"/>
      <c r="BS691" s="28"/>
      <c r="BT691" s="28"/>
      <c r="BU691" s="28"/>
      <c r="BV691" s="28"/>
      <c r="BW691" s="28"/>
      <c r="BX691" s="28"/>
      <c r="BY691" s="28"/>
      <c r="BZ691" s="28"/>
      <c r="CA691" s="28"/>
      <c r="CB691" s="28"/>
      <c r="CC691" s="28"/>
      <c r="CD691" s="28"/>
      <c r="CE691" s="28"/>
      <c r="CF691" s="28"/>
      <c r="CG691" s="28"/>
      <c r="CH691" s="28"/>
      <c r="CI691" s="28"/>
      <c r="CJ691" s="28"/>
      <c r="CK691" s="28"/>
      <c r="CL691" s="28"/>
      <c r="CM691" s="28"/>
      <c r="CN691" s="28"/>
      <c r="CO691" s="28"/>
      <c r="CP691" s="28"/>
      <c r="CQ691" s="28"/>
      <c r="CR691" s="28"/>
      <c r="CS691" s="28"/>
      <c r="CT691" s="28"/>
      <c r="CU691" s="28"/>
      <c r="CV691" s="28"/>
      <c r="CW691" s="28"/>
      <c r="CX691" s="28"/>
      <c r="CY691" s="28"/>
      <c r="CZ691" s="28"/>
      <c r="DA691" s="28"/>
      <c r="DB691" s="28"/>
      <c r="DC691" s="28"/>
      <c r="DD691" s="28"/>
      <c r="DE691" s="28"/>
      <c r="DF691" s="28"/>
      <c r="DG691" s="28"/>
      <c r="DH691" s="28"/>
      <c r="DI691" s="28"/>
      <c r="DJ691" s="28"/>
      <c r="DK691" s="28"/>
      <c r="DL691" s="28"/>
      <c r="DM691" s="28"/>
      <c r="IH691"/>
      <c r="II691"/>
      <c r="IJ691"/>
      <c r="IK691"/>
      <c r="IL691"/>
      <c r="IM691"/>
    </row>
    <row r="692" spans="1:247" s="3" customFormat="1" ht="20.25" customHeight="1" x14ac:dyDescent="0.25">
      <c r="A692" s="75">
        <v>39765</v>
      </c>
      <c r="B692" s="76">
        <v>358.78</v>
      </c>
      <c r="C692" s="76">
        <f t="shared" si="486"/>
        <v>356.98609999999996</v>
      </c>
      <c r="D692" s="76">
        <f t="shared" si="495"/>
        <v>360.57389999999992</v>
      </c>
      <c r="E692" s="78">
        <f>2826.3/1800.553*100</f>
        <v>156.96844247295135</v>
      </c>
      <c r="F692" s="76">
        <v>2826.3</v>
      </c>
      <c r="G692" s="84"/>
      <c r="H692" s="78">
        <v>147.4359</v>
      </c>
      <c r="I692" s="78">
        <v>149.45779999999999</v>
      </c>
      <c r="J692" s="79">
        <f t="shared" si="493"/>
        <v>159.16203894366797</v>
      </c>
      <c r="K692" s="80">
        <v>794890.36</v>
      </c>
      <c r="L692" s="83">
        <f t="shared" si="483"/>
        <v>285.19076336079996</v>
      </c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IH692"/>
      <c r="II692"/>
      <c r="IJ692"/>
      <c r="IK692"/>
      <c r="IL692"/>
      <c r="IM692"/>
    </row>
    <row r="693" spans="1:247" s="28" customFormat="1" ht="20.25" customHeight="1" x14ac:dyDescent="0.25">
      <c r="A693" s="75">
        <v>39758</v>
      </c>
      <c r="B693" s="76">
        <v>361.36</v>
      </c>
      <c r="C693" s="76">
        <f t="shared" si="486"/>
        <v>359.5532</v>
      </c>
      <c r="D693" s="76">
        <f t="shared" si="495"/>
        <v>363.16679999999997</v>
      </c>
      <c r="E693" s="78">
        <f>2921.954/1800.553*100</f>
        <v>162.28092147245874</v>
      </c>
      <c r="F693" s="76">
        <v>2921.9540000000002</v>
      </c>
      <c r="G693" s="84"/>
      <c r="H693" s="78">
        <v>147.97069999999999</v>
      </c>
      <c r="I693" s="78">
        <v>149.42060000000001</v>
      </c>
      <c r="J693" s="79">
        <f t="shared" si="493"/>
        <v>162.10840308393452</v>
      </c>
      <c r="K693" s="80">
        <v>797440.19</v>
      </c>
      <c r="L693" s="83">
        <f t="shared" si="483"/>
        <v>288.16298705839995</v>
      </c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IH693" s="32"/>
      <c r="II693" s="32"/>
      <c r="IJ693" s="32"/>
      <c r="IK693" s="32"/>
      <c r="IL693" s="32"/>
      <c r="IM693" s="32"/>
    </row>
    <row r="694" spans="1:247" s="28" customFormat="1" ht="20.25" customHeight="1" x14ac:dyDescent="0.25">
      <c r="A694" s="75">
        <v>39751</v>
      </c>
      <c r="B694" s="76">
        <v>358.7</v>
      </c>
      <c r="C694" s="76">
        <f t="shared" si="486"/>
        <v>356.90649999999999</v>
      </c>
      <c r="D694" s="76">
        <f t="shared" si="495"/>
        <v>360.49349999999993</v>
      </c>
      <c r="E694" s="78">
        <f>3004.952/1800.553*100</f>
        <v>166.89050530586994</v>
      </c>
      <c r="F694" s="76">
        <v>3004.9520000000002</v>
      </c>
      <c r="G694" s="84"/>
      <c r="H694" s="78">
        <v>149.07579999999999</v>
      </c>
      <c r="I694" s="78">
        <v>149.38200000000001</v>
      </c>
      <c r="J694" s="79">
        <f t="shared" si="493"/>
        <v>164.99863594886222</v>
      </c>
      <c r="K694" s="80">
        <v>806964.68</v>
      </c>
      <c r="L694" s="83">
        <f t="shared" si="483"/>
        <v>289.458230716</v>
      </c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IH694" s="32"/>
      <c r="II694" s="32"/>
      <c r="IJ694" s="32"/>
      <c r="IK694" s="32"/>
      <c r="IL694" s="32"/>
      <c r="IM694" s="32"/>
    </row>
    <row r="695" spans="1:247" s="28" customFormat="1" ht="20.25" customHeight="1" x14ac:dyDescent="0.25">
      <c r="A695" s="75">
        <v>39744</v>
      </c>
      <c r="B695" s="76">
        <v>355.19</v>
      </c>
      <c r="C695" s="76">
        <f t="shared" si="486"/>
        <v>353.41404999999997</v>
      </c>
      <c r="D695" s="76">
        <f t="shared" ref="D695:D700" si="496">1.005*B695</f>
        <v>356.96594999999996</v>
      </c>
      <c r="E695" s="78">
        <f>2873.116/1800.553*100</f>
        <v>159.56853255638683</v>
      </c>
      <c r="F695" s="76">
        <v>2873.116</v>
      </c>
      <c r="G695" s="84"/>
      <c r="H695" s="78">
        <v>149.15309999999999</v>
      </c>
      <c r="I695" s="78">
        <v>149.34020000000001</v>
      </c>
      <c r="J695" s="79">
        <f t="shared" si="493"/>
        <v>161.33884101338629</v>
      </c>
      <c r="K695" s="80">
        <v>808370.62</v>
      </c>
      <c r="L695" s="83">
        <f t="shared" si="483"/>
        <v>287.1251605178</v>
      </c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IH695" s="32"/>
      <c r="II695" s="32"/>
      <c r="IJ695" s="32"/>
      <c r="IK695" s="32"/>
      <c r="IL695" s="32"/>
      <c r="IM695" s="32"/>
    </row>
    <row r="696" spans="1:247" s="50" customFormat="1" ht="20.25" customHeight="1" x14ac:dyDescent="0.25">
      <c r="A696" s="75">
        <v>39737</v>
      </c>
      <c r="B696" s="76">
        <v>356.04</v>
      </c>
      <c r="C696" s="76">
        <f t="shared" si="486"/>
        <v>354.25980000000004</v>
      </c>
      <c r="D696" s="76">
        <f t="shared" si="496"/>
        <v>357.8202</v>
      </c>
      <c r="E696" s="78">
        <f>2955.847/1800.553*100</f>
        <v>164.16328761219469</v>
      </c>
      <c r="F696" s="76">
        <v>2955.8470000000002</v>
      </c>
      <c r="G696" s="84"/>
      <c r="H696" s="78">
        <v>150.50829999999999</v>
      </c>
      <c r="I696" s="78">
        <v>149.28700000000001</v>
      </c>
      <c r="J696" s="79">
        <f t="shared" si="493"/>
        <v>164.37928964183783</v>
      </c>
      <c r="K696" s="80">
        <v>819124</v>
      </c>
      <c r="L696" s="83">
        <f t="shared" si="483"/>
        <v>291.64090896000005</v>
      </c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IH696" s="51"/>
      <c r="II696" s="51"/>
      <c r="IJ696" s="51"/>
      <c r="IK696" s="51"/>
      <c r="IL696" s="51"/>
      <c r="IM696" s="51"/>
    </row>
    <row r="697" spans="1:247" s="50" customFormat="1" ht="20.25" customHeight="1" x14ac:dyDescent="0.25">
      <c r="A697" s="75">
        <v>39730</v>
      </c>
      <c r="B697" s="76">
        <v>369.73</v>
      </c>
      <c r="C697" s="76">
        <f t="shared" si="486"/>
        <v>367.88135</v>
      </c>
      <c r="D697" s="76">
        <f t="shared" si="496"/>
        <v>371.57864999999998</v>
      </c>
      <c r="E697" s="78">
        <f>3021.262/1800.553*100</f>
        <v>167.79633812500938</v>
      </c>
      <c r="F697" s="76">
        <v>3021.2620000000002</v>
      </c>
      <c r="G697" s="84"/>
      <c r="H697" s="78">
        <v>151.08920000000001</v>
      </c>
      <c r="I697" s="78">
        <v>149.23859999999999</v>
      </c>
      <c r="J697" s="79">
        <f t="shared" si="493"/>
        <v>166.50188033161766</v>
      </c>
      <c r="K697" s="80">
        <v>823599.37</v>
      </c>
      <c r="L697" s="83">
        <f>K697*B697/1000000</f>
        <v>304.50939507010003</v>
      </c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IH697" s="51"/>
      <c r="II697" s="51"/>
      <c r="IJ697" s="51"/>
      <c r="IK697" s="51"/>
      <c r="IL697" s="51"/>
      <c r="IM697" s="51"/>
    </row>
    <row r="698" spans="1:247" s="28" customFormat="1" ht="20.25" customHeight="1" x14ac:dyDescent="0.25">
      <c r="A698" s="75">
        <v>39723</v>
      </c>
      <c r="B698" s="76">
        <v>373.47</v>
      </c>
      <c r="C698" s="76">
        <f t="shared" si="486"/>
        <v>371.60265000000004</v>
      </c>
      <c r="D698" s="76">
        <f t="shared" si="496"/>
        <v>375.33735000000001</v>
      </c>
      <c r="E698" s="78">
        <f>3598.074/1800.553*100</f>
        <v>199.83160728953825</v>
      </c>
      <c r="F698" s="76">
        <v>3598.0740000000001</v>
      </c>
      <c r="G698" s="84"/>
      <c r="H698" s="78">
        <v>150.82740000000001</v>
      </c>
      <c r="I698" s="78">
        <v>149.1534</v>
      </c>
      <c r="J698" s="79">
        <f t="shared" si="493"/>
        <v>180.84030710841944</v>
      </c>
      <c r="K698" s="80">
        <v>810035</v>
      </c>
      <c r="L698" s="83">
        <f>K698*B698/1000000</f>
        <v>302.52377145000003</v>
      </c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IH698" s="32"/>
      <c r="II698" s="32"/>
      <c r="IJ698" s="32"/>
      <c r="IK698" s="32"/>
      <c r="IL698" s="32"/>
      <c r="IM698" s="32"/>
    </row>
    <row r="699" spans="1:247" s="50" customFormat="1" ht="20.25" customHeight="1" x14ac:dyDescent="0.25">
      <c r="A699" s="75">
        <v>39716</v>
      </c>
      <c r="B699" s="76">
        <v>388.68</v>
      </c>
      <c r="C699" s="76">
        <f t="shared" si="486"/>
        <v>386.73660000000001</v>
      </c>
      <c r="D699" s="76">
        <f t="shared" si="496"/>
        <v>390.62339999999995</v>
      </c>
      <c r="E699" s="78">
        <f>3974.135/1800.553*100</f>
        <v>220.7174684666322</v>
      </c>
      <c r="F699" s="76">
        <v>3974.1350000000002</v>
      </c>
      <c r="G699" s="84"/>
      <c r="H699" s="78">
        <v>153.18</v>
      </c>
      <c r="I699" s="78">
        <v>149.12</v>
      </c>
      <c r="J699" s="79">
        <f t="shared" si="493"/>
        <v>191.36393971243007</v>
      </c>
      <c r="K699" s="80">
        <v>821828.27</v>
      </c>
      <c r="L699" s="83">
        <f t="shared" ref="L699:L716" si="497">K699*B699/1000000</f>
        <v>319.42821198360002</v>
      </c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IH699" s="51"/>
      <c r="II699" s="51"/>
      <c r="IJ699" s="51"/>
      <c r="IK699" s="51"/>
      <c r="IL699" s="51"/>
      <c r="IM699" s="51"/>
    </row>
    <row r="700" spans="1:247" s="50" customFormat="1" ht="20.25" customHeight="1" x14ac:dyDescent="0.25">
      <c r="A700" s="75">
        <v>39709</v>
      </c>
      <c r="B700" s="76">
        <v>384.29</v>
      </c>
      <c r="C700" s="76">
        <f t="shared" si="486"/>
        <v>382.36855000000003</v>
      </c>
      <c r="D700" s="76">
        <f t="shared" si="496"/>
        <v>386.21144999999996</v>
      </c>
      <c r="E700" s="78">
        <f>3829.91/1800.553*100</f>
        <v>212.70742932865625</v>
      </c>
      <c r="F700" s="76">
        <v>3829.91</v>
      </c>
      <c r="G700" s="84"/>
      <c r="H700" s="78">
        <v>152.5078</v>
      </c>
      <c r="I700" s="78">
        <v>149.077</v>
      </c>
      <c r="J700" s="79">
        <f t="shared" si="493"/>
        <v>187.4219696787838</v>
      </c>
      <c r="K700" s="80">
        <v>821828.27</v>
      </c>
      <c r="L700" s="83">
        <f t="shared" si="497"/>
        <v>315.82038587829999</v>
      </c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IH700" s="51"/>
      <c r="II700" s="51"/>
      <c r="IJ700" s="51"/>
      <c r="IK700" s="51"/>
      <c r="IL700" s="51"/>
      <c r="IM700" s="51"/>
    </row>
    <row r="701" spans="1:247" s="28" customFormat="1" ht="20.25" customHeight="1" x14ac:dyDescent="0.25">
      <c r="A701" s="75">
        <v>39702</v>
      </c>
      <c r="B701" s="76">
        <v>379.18</v>
      </c>
      <c r="C701" s="76">
        <f t="shared" si="486"/>
        <v>377.28410000000002</v>
      </c>
      <c r="D701" s="76">
        <f t="shared" ref="D701:D706" si="498">1.005*B701</f>
        <v>381.07589999999999</v>
      </c>
      <c r="E701" s="78">
        <f>3974.556/1800.553*100</f>
        <v>220.74085017214156</v>
      </c>
      <c r="F701" s="76">
        <v>3974.556</v>
      </c>
      <c r="G701" s="84"/>
      <c r="H701" s="78">
        <v>150.60640000000001</v>
      </c>
      <c r="I701" s="78">
        <v>149.0204</v>
      </c>
      <c r="J701" s="79">
        <f t="shared" si="493"/>
        <v>189.67608351366385</v>
      </c>
      <c r="K701" s="80">
        <v>820855.97</v>
      </c>
      <c r="L701" s="83">
        <f t="shared" si="497"/>
        <v>311.25216670459997</v>
      </c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IH701" s="32"/>
      <c r="II701" s="32"/>
      <c r="IJ701" s="32"/>
      <c r="IK701" s="32"/>
      <c r="IL701" s="32"/>
      <c r="IM701" s="32"/>
    </row>
    <row r="702" spans="1:247" s="50" customFormat="1" ht="20.25" customHeight="1" x14ac:dyDescent="0.25">
      <c r="A702" s="75">
        <v>39695</v>
      </c>
      <c r="B702" s="76">
        <v>391</v>
      </c>
      <c r="C702" s="76">
        <f t="shared" si="486"/>
        <v>389.04500000000002</v>
      </c>
      <c r="D702" s="76">
        <f t="shared" si="498"/>
        <v>392.95499999999998</v>
      </c>
      <c r="E702" s="78">
        <f>4032.328/1800.553*100</f>
        <v>223.94941998374941</v>
      </c>
      <c r="F702" s="76">
        <v>4032.328</v>
      </c>
      <c r="G702" s="84"/>
      <c r="H702" s="78">
        <v>151.6</v>
      </c>
      <c r="I702" s="78">
        <v>148.94579999999999</v>
      </c>
      <c r="J702" s="79">
        <f t="shared" si="493"/>
        <v>191.67731904822628</v>
      </c>
      <c r="K702" s="80">
        <v>819329</v>
      </c>
      <c r="L702" s="83">
        <f t="shared" si="497"/>
        <v>320.35763900000001</v>
      </c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IH702" s="51"/>
      <c r="II702" s="51"/>
      <c r="IJ702" s="51"/>
      <c r="IK702" s="51"/>
      <c r="IL702" s="51"/>
      <c r="IM702" s="51"/>
    </row>
    <row r="703" spans="1:247" s="50" customFormat="1" ht="20.25" customHeight="1" x14ac:dyDescent="0.25">
      <c r="A703" s="75">
        <v>39688</v>
      </c>
      <c r="B703" s="76">
        <v>393.36</v>
      </c>
      <c r="C703" s="76">
        <f t="shared" ref="C703:C737" si="499">0.995*B703</f>
        <v>391.39320000000004</v>
      </c>
      <c r="D703" s="76">
        <f t="shared" si="498"/>
        <v>395.32679999999999</v>
      </c>
      <c r="E703" s="78">
        <f>4235.146/1800.553*100</f>
        <v>235.2136260360011</v>
      </c>
      <c r="F703" s="76">
        <v>4235.1459999999997</v>
      </c>
      <c r="G703" s="84"/>
      <c r="H703" s="78">
        <v>152.4059</v>
      </c>
      <c r="I703" s="78">
        <v>148.87090000000001</v>
      </c>
      <c r="J703" s="79">
        <f>(E703/E704)*0.5*J704+(H703/H704)*0.5*J704</f>
        <v>196.91294996237028</v>
      </c>
      <c r="K703" s="80">
        <v>817431.89</v>
      </c>
      <c r="L703" s="83">
        <f t="shared" si="497"/>
        <v>321.54500825040003</v>
      </c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IH703" s="51"/>
      <c r="II703" s="51"/>
      <c r="IJ703" s="51"/>
      <c r="IK703" s="51"/>
      <c r="IL703" s="51"/>
      <c r="IM703" s="51"/>
    </row>
    <row r="704" spans="1:247" s="28" customFormat="1" ht="20.25" customHeight="1" x14ac:dyDescent="0.25">
      <c r="A704" s="75">
        <v>39681</v>
      </c>
      <c r="B704" s="76">
        <v>396.47</v>
      </c>
      <c r="C704" s="76">
        <f t="shared" si="499"/>
        <v>394.48765000000003</v>
      </c>
      <c r="D704" s="76">
        <f t="shared" si="498"/>
        <v>398.45234999999997</v>
      </c>
      <c r="E704" s="78">
        <f>4171.588/1800.553*100</f>
        <v>231.68371050449497</v>
      </c>
      <c r="F704" s="76">
        <v>4171.5879999999997</v>
      </c>
      <c r="G704" s="84"/>
      <c r="H704" s="78">
        <v>153.441</v>
      </c>
      <c r="I704" s="78">
        <v>148.7953</v>
      </c>
      <c r="J704" s="79">
        <f>(E704/E705)*0.5*J705+(H704/H705)*0.5*J705</f>
        <v>196.08058697099406</v>
      </c>
      <c r="K704" s="80">
        <v>791461.64</v>
      </c>
      <c r="L704" s="83">
        <f t="shared" si="497"/>
        <v>313.79079641080006</v>
      </c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IH704" s="32"/>
      <c r="II704" s="32"/>
      <c r="IJ704" s="32"/>
      <c r="IK704" s="32"/>
      <c r="IL704" s="32"/>
      <c r="IM704" s="32"/>
    </row>
    <row r="705" spans="1:247" s="28" customFormat="1" ht="20.25" customHeight="1" x14ac:dyDescent="0.25">
      <c r="A705" s="75">
        <v>39674</v>
      </c>
      <c r="B705" s="76">
        <v>396.79</v>
      </c>
      <c r="C705" s="76">
        <f t="shared" si="499"/>
        <v>394.80605000000003</v>
      </c>
      <c r="D705" s="76">
        <f t="shared" si="498"/>
        <v>398.77394999999996</v>
      </c>
      <c r="E705" s="78">
        <f>4230.41/1800.553*100</f>
        <v>234.95059573364406</v>
      </c>
      <c r="F705" s="76">
        <v>4230.41</v>
      </c>
      <c r="G705" s="84"/>
      <c r="H705" s="78">
        <v>152.82990000000001</v>
      </c>
      <c r="I705" s="78">
        <v>148.71969999999999</v>
      </c>
      <c r="J705" s="79">
        <f>(E705/E706)*0.5*J706+(H705/H706)*0.5*J706</f>
        <v>197.05660828617044</v>
      </c>
      <c r="K705" s="80">
        <v>787740.15</v>
      </c>
      <c r="L705" s="83">
        <f t="shared" si="497"/>
        <v>312.56741411850004</v>
      </c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IH705" s="32"/>
      <c r="II705" s="32"/>
      <c r="IJ705" s="32"/>
      <c r="IK705" s="32"/>
      <c r="IL705" s="32"/>
      <c r="IM705" s="32"/>
    </row>
    <row r="706" spans="1:247" s="28" customFormat="1" ht="20.25" customHeight="1" x14ac:dyDescent="0.25">
      <c r="A706" s="75">
        <v>39667</v>
      </c>
      <c r="B706" s="76">
        <v>408.7</v>
      </c>
      <c r="C706" s="76">
        <f t="shared" si="499"/>
        <v>406.65649999999999</v>
      </c>
      <c r="D706" s="76">
        <f t="shared" si="498"/>
        <v>410.74349999999993</v>
      </c>
      <c r="E706" s="78">
        <f>4243.492/1800.553*100</f>
        <v>235.67715029771409</v>
      </c>
      <c r="F706" s="76">
        <v>4243.4920000000002</v>
      </c>
      <c r="G706" s="84"/>
      <c r="H706" s="78">
        <v>154.66</v>
      </c>
      <c r="I706" s="78">
        <v>148.63999999999999</v>
      </c>
      <c r="J706" s="79">
        <f>(E706/E707)*0.5*J707+(H706/H707)*0.5*J707</f>
        <v>198.53728861682396</v>
      </c>
      <c r="K706" s="80">
        <v>786979.7</v>
      </c>
      <c r="L706" s="83">
        <f t="shared" si="497"/>
        <v>321.63860338999996</v>
      </c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IH706" s="32"/>
      <c r="II706" s="32"/>
      <c r="IJ706" s="32"/>
      <c r="IK706" s="32"/>
      <c r="IL706" s="32"/>
      <c r="IM706" s="32"/>
    </row>
    <row r="707" spans="1:247" s="28" customFormat="1" ht="20.25" customHeight="1" x14ac:dyDescent="0.25">
      <c r="A707" s="75">
        <v>39660</v>
      </c>
      <c r="B707" s="76">
        <v>409.38</v>
      </c>
      <c r="C707" s="76">
        <f t="shared" si="499"/>
        <v>407.3331</v>
      </c>
      <c r="D707" s="76">
        <f t="shared" ref="D707:D712" si="500">1.005*B707</f>
        <v>411.42689999999993</v>
      </c>
      <c r="E707" s="78">
        <f>4285.969/1800.553*100</f>
        <v>238.03625886047232</v>
      </c>
      <c r="F707" s="76">
        <v>4285.9690000000001</v>
      </c>
      <c r="G707" s="84"/>
      <c r="H707" s="78">
        <v>155.91999999999999</v>
      </c>
      <c r="I707" s="78">
        <v>148.56</v>
      </c>
      <c r="J707" s="79">
        <f t="shared" ref="J707:J713" si="501">(E707/E708)*0.5*J708+(H707/H708)*0.5*J708</f>
        <v>200.33952072635998</v>
      </c>
      <c r="K707" s="80">
        <v>785964</v>
      </c>
      <c r="L707" s="83">
        <f t="shared" si="497"/>
        <v>321.75794231999998</v>
      </c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IH707" s="32"/>
      <c r="II707" s="32"/>
      <c r="IJ707" s="32"/>
      <c r="IK707" s="32"/>
      <c r="IL707" s="32"/>
      <c r="IM707" s="32"/>
    </row>
    <row r="708" spans="1:247" s="28" customFormat="1" ht="20.25" customHeight="1" x14ac:dyDescent="0.25">
      <c r="A708" s="75">
        <v>39653</v>
      </c>
      <c r="B708" s="76">
        <v>413.58</v>
      </c>
      <c r="C708" s="76">
        <f t="shared" si="499"/>
        <v>411.51209999999998</v>
      </c>
      <c r="D708" s="76">
        <f t="shared" si="500"/>
        <v>415.64789999999994</v>
      </c>
      <c r="E708" s="78">
        <f>4277.14/1800.553*100</f>
        <v>237.54590950669044</v>
      </c>
      <c r="F708" s="76">
        <v>4277.1400000000003</v>
      </c>
      <c r="G708" s="84"/>
      <c r="H708" s="78">
        <v>156.17580000000001</v>
      </c>
      <c r="I708" s="78">
        <v>148.48949999999999</v>
      </c>
      <c r="J708" s="79">
        <f t="shared" si="501"/>
        <v>200.29682425042569</v>
      </c>
      <c r="K708" s="80">
        <v>785002</v>
      </c>
      <c r="L708" s="83">
        <f t="shared" si="497"/>
        <v>324.66112715999998</v>
      </c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IH708" s="32"/>
      <c r="II708" s="32"/>
      <c r="IJ708" s="32"/>
      <c r="IK708" s="32"/>
      <c r="IL708" s="32"/>
      <c r="IM708" s="32"/>
    </row>
    <row r="709" spans="1:247" s="28" customFormat="1" ht="20.25" customHeight="1" x14ac:dyDescent="0.25">
      <c r="A709" s="75">
        <v>39646</v>
      </c>
      <c r="B709" s="76">
        <v>412.98</v>
      </c>
      <c r="C709" s="76">
        <f t="shared" si="499"/>
        <v>410.9151</v>
      </c>
      <c r="D709" s="76">
        <f t="shared" si="500"/>
        <v>415.04489999999998</v>
      </c>
      <c r="E709" s="78">
        <f>4263.271/1800.553*100</f>
        <v>236.77564614871093</v>
      </c>
      <c r="F709" s="76">
        <v>4263.2709999999997</v>
      </c>
      <c r="G709" s="84"/>
      <c r="H709" s="78">
        <v>156.91999999999999</v>
      </c>
      <c r="I709" s="78">
        <v>148.41</v>
      </c>
      <c r="J709" s="79">
        <f t="shared" si="501"/>
        <v>200.44609726663089</v>
      </c>
      <c r="K709" s="80">
        <v>785002</v>
      </c>
      <c r="L709" s="83">
        <f t="shared" si="497"/>
        <v>324.19012596000005</v>
      </c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IH709" s="32"/>
      <c r="II709" s="32"/>
      <c r="IJ709" s="32"/>
      <c r="IK709" s="32"/>
      <c r="IL709" s="32"/>
      <c r="IM709" s="32"/>
    </row>
    <row r="710" spans="1:247" s="28" customFormat="1" ht="20.25" customHeight="1" x14ac:dyDescent="0.25">
      <c r="A710" s="75">
        <v>39639</v>
      </c>
      <c r="B710" s="76">
        <v>412.05</v>
      </c>
      <c r="C710" s="76">
        <f t="shared" si="499"/>
        <v>409.98975000000002</v>
      </c>
      <c r="D710" s="76">
        <f t="shared" si="500"/>
        <v>414.11024999999995</v>
      </c>
      <c r="E710" s="78">
        <f>4262.45/1800.553*100</f>
        <v>236.73004904604306</v>
      </c>
      <c r="F710" s="76">
        <v>4262.45</v>
      </c>
      <c r="G710" s="84"/>
      <c r="H710" s="78">
        <v>156.27000000000001</v>
      </c>
      <c r="I710" s="78">
        <v>148.34</v>
      </c>
      <c r="J710" s="79">
        <f t="shared" si="501"/>
        <v>200.01086564074262</v>
      </c>
      <c r="K710" s="80">
        <v>777545.62</v>
      </c>
      <c r="L710" s="83">
        <f t="shared" si="497"/>
        <v>320.387672721</v>
      </c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IH710" s="32"/>
      <c r="II710" s="32"/>
      <c r="IJ710" s="32"/>
      <c r="IK710" s="32"/>
      <c r="IL710" s="32"/>
      <c r="IM710" s="32"/>
    </row>
    <row r="711" spans="1:247" s="28" customFormat="1" ht="20.25" customHeight="1" x14ac:dyDescent="0.25">
      <c r="A711" s="75">
        <v>39632</v>
      </c>
      <c r="B711" s="76">
        <v>407.05</v>
      </c>
      <c r="C711" s="76">
        <f t="shared" si="499"/>
        <v>405.01474999999999</v>
      </c>
      <c r="D711" s="76">
        <f t="shared" si="500"/>
        <v>409.08524999999997</v>
      </c>
      <c r="E711" s="78">
        <f>4301.349/1800.553*100</f>
        <v>238.89044088121815</v>
      </c>
      <c r="F711" s="76">
        <v>4301.3490000000002</v>
      </c>
      <c r="G711" s="84"/>
      <c r="H711" s="78">
        <v>156.09549999999999</v>
      </c>
      <c r="I711" s="78">
        <v>148.26390000000001</v>
      </c>
      <c r="J711" s="79">
        <f t="shared" si="501"/>
        <v>200.80661572875999</v>
      </c>
      <c r="K711" s="80">
        <v>776868.39</v>
      </c>
      <c r="L711" s="83">
        <f t="shared" si="497"/>
        <v>316.22427814950004</v>
      </c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IH711" s="32"/>
      <c r="II711" s="32"/>
      <c r="IJ711" s="32"/>
      <c r="IK711" s="32"/>
      <c r="IL711" s="32"/>
      <c r="IM711" s="32"/>
    </row>
    <row r="712" spans="1:247" s="28" customFormat="1" ht="20.25" customHeight="1" x14ac:dyDescent="0.25">
      <c r="A712" s="75">
        <v>39625</v>
      </c>
      <c r="B712" s="76">
        <v>408.86</v>
      </c>
      <c r="C712" s="76">
        <f t="shared" si="499"/>
        <v>406.81569999999999</v>
      </c>
      <c r="D712" s="76">
        <f t="shared" si="500"/>
        <v>410.90429999999998</v>
      </c>
      <c r="E712" s="78">
        <f>4395.784/1800.553*100</f>
        <v>244.13521845788483</v>
      </c>
      <c r="F712" s="76">
        <v>4395.7839999999997</v>
      </c>
      <c r="G712" s="84"/>
      <c r="H712" s="78">
        <v>156.1728</v>
      </c>
      <c r="I712" s="78">
        <v>148.19</v>
      </c>
      <c r="J712" s="79">
        <f t="shared" si="501"/>
        <v>203.03780314768522</v>
      </c>
      <c r="K712" s="80">
        <v>774678.08</v>
      </c>
      <c r="L712" s="83">
        <f t="shared" si="497"/>
        <v>316.73487978880001</v>
      </c>
      <c r="M712" s="46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IH712" s="32"/>
      <c r="II712" s="32"/>
      <c r="IJ712" s="32"/>
      <c r="IK712" s="32"/>
      <c r="IL712" s="32"/>
      <c r="IM712" s="32"/>
    </row>
    <row r="713" spans="1:247" s="28" customFormat="1" ht="20.25" customHeight="1" x14ac:dyDescent="0.25">
      <c r="A713" s="75">
        <v>39618</v>
      </c>
      <c r="B713" s="76">
        <v>404.32</v>
      </c>
      <c r="C713" s="76">
        <f t="shared" si="499"/>
        <v>402.29840000000002</v>
      </c>
      <c r="D713" s="76">
        <f t="shared" ref="D713:D718" si="502">1.005*B713</f>
        <v>406.34159999999997</v>
      </c>
      <c r="E713" s="78">
        <f>4539.943/1800.553*100</f>
        <v>252.14159205532965</v>
      </c>
      <c r="F713" s="76">
        <v>4539.9430000000002</v>
      </c>
      <c r="G713" s="84"/>
      <c r="H713" s="78">
        <v>155.07040000000001</v>
      </c>
      <c r="I713" s="78">
        <v>148.1087</v>
      </c>
      <c r="J713" s="79">
        <f t="shared" si="501"/>
        <v>205.57089428721488</v>
      </c>
      <c r="K713" s="80">
        <v>773447.6</v>
      </c>
      <c r="L713" s="83">
        <f t="shared" si="497"/>
        <v>312.72033363199995</v>
      </c>
      <c r="M713" s="46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IH713" s="32"/>
      <c r="II713" s="32"/>
      <c r="IJ713" s="32"/>
      <c r="IK713" s="32"/>
      <c r="IL713" s="32"/>
      <c r="IM713" s="32"/>
    </row>
    <row r="714" spans="1:247" s="28" customFormat="1" ht="20.25" customHeight="1" x14ac:dyDescent="0.25">
      <c r="A714" s="75">
        <v>39611</v>
      </c>
      <c r="B714" s="76">
        <v>404.92</v>
      </c>
      <c r="C714" s="76">
        <f t="shared" si="499"/>
        <v>402.8954</v>
      </c>
      <c r="D714" s="76">
        <f t="shared" si="502"/>
        <v>406.94459999999998</v>
      </c>
      <c r="E714" s="78">
        <f>4530.252/1800.553*100</f>
        <v>251.60336852067115</v>
      </c>
      <c r="F714" s="76">
        <v>4530.2520000000004</v>
      </c>
      <c r="G714" s="84"/>
      <c r="H714" s="78">
        <v>154.63</v>
      </c>
      <c r="I714" s="78">
        <v>148.02959999999999</v>
      </c>
      <c r="J714" s="79">
        <f t="shared" ref="J714:J721" si="503">(E714/E715)*0.5*J715+(H714/H715)*0.5*J715</f>
        <v>205.05955127087094</v>
      </c>
      <c r="K714" s="80">
        <v>773462.7</v>
      </c>
      <c r="L714" s="83">
        <f t="shared" si="497"/>
        <v>313.19051648399994</v>
      </c>
      <c r="M714" s="46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IH714" s="32"/>
      <c r="II714" s="32"/>
      <c r="IJ714" s="32"/>
      <c r="IK714" s="32"/>
      <c r="IL714" s="32"/>
      <c r="IM714" s="32"/>
    </row>
    <row r="715" spans="1:247" s="28" customFormat="1" ht="20.25" customHeight="1" x14ac:dyDescent="0.25">
      <c r="A715" s="75">
        <v>39604</v>
      </c>
      <c r="B715" s="76">
        <v>410.14</v>
      </c>
      <c r="C715" s="76">
        <f t="shared" si="499"/>
        <v>408.08929999999998</v>
      </c>
      <c r="D715" s="76">
        <f t="shared" si="502"/>
        <v>412.19069999999994</v>
      </c>
      <c r="E715" s="78">
        <f>4752.04/1800.553*100</f>
        <v>263.92113978316661</v>
      </c>
      <c r="F715" s="76">
        <v>4752.04</v>
      </c>
      <c r="G715" s="84"/>
      <c r="H715" s="78">
        <v>155.47</v>
      </c>
      <c r="I715" s="78">
        <v>147.94999999999999</v>
      </c>
      <c r="J715" s="79">
        <f t="shared" si="503"/>
        <v>210.54154114350712</v>
      </c>
      <c r="K715" s="80">
        <v>775393.48</v>
      </c>
      <c r="L715" s="83">
        <f t="shared" si="497"/>
        <v>318.01988188719997</v>
      </c>
      <c r="M715" s="46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IH715" s="32"/>
      <c r="II715" s="32"/>
      <c r="IJ715" s="32"/>
      <c r="IK715" s="32"/>
      <c r="IL715" s="32"/>
      <c r="IM715" s="32"/>
    </row>
    <row r="716" spans="1:247" s="28" customFormat="1" ht="20.25" customHeight="1" x14ac:dyDescent="0.25">
      <c r="A716" s="75">
        <v>39597</v>
      </c>
      <c r="B716" s="76">
        <v>412.46699999999998</v>
      </c>
      <c r="C716" s="76">
        <f t="shared" si="499"/>
        <v>410.40466499999997</v>
      </c>
      <c r="D716" s="76">
        <f t="shared" si="502"/>
        <v>414.52933499999995</v>
      </c>
      <c r="E716" s="78">
        <f>4753.135/1800.553*100</f>
        <v>263.98195443288813</v>
      </c>
      <c r="F716" s="76">
        <v>4753.1350000000002</v>
      </c>
      <c r="G716" s="84"/>
      <c r="H716" s="78">
        <v>155.44</v>
      </c>
      <c r="I716" s="78">
        <v>147.87690000000001</v>
      </c>
      <c r="J716" s="79">
        <f t="shared" si="503"/>
        <v>210.54547558092315</v>
      </c>
      <c r="K716" s="80">
        <v>771659.48</v>
      </c>
      <c r="L716" s="83">
        <f t="shared" si="497"/>
        <v>318.28407073715999</v>
      </c>
      <c r="M716" s="46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IH716" s="32"/>
      <c r="II716" s="32"/>
      <c r="IJ716" s="32"/>
      <c r="IK716" s="32"/>
      <c r="IL716" s="32"/>
      <c r="IM716" s="32"/>
    </row>
    <row r="717" spans="1:247" s="28" customFormat="1" ht="20.25" customHeight="1" x14ac:dyDescent="0.25">
      <c r="A717" s="75">
        <v>39590</v>
      </c>
      <c r="B717" s="76">
        <v>417.13</v>
      </c>
      <c r="C717" s="76">
        <f t="shared" si="499"/>
        <v>415.04435000000001</v>
      </c>
      <c r="D717" s="76">
        <f t="shared" si="502"/>
        <v>419.21564999999993</v>
      </c>
      <c r="E717" s="78">
        <f>4792.78/1800.553*100</f>
        <v>266.18377798376383</v>
      </c>
      <c r="F717" s="76">
        <v>4792.78</v>
      </c>
      <c r="G717" s="84"/>
      <c r="H717" s="78">
        <v>156.24</v>
      </c>
      <c r="I717" s="78">
        <v>147.80369999999999</v>
      </c>
      <c r="J717" s="79">
        <f t="shared" si="503"/>
        <v>211.96480728658707</v>
      </c>
      <c r="K717" s="80">
        <v>772374.95</v>
      </c>
      <c r="L717" s="83">
        <f t="shared" ref="L717:L724" si="504">K717*B717/1000000</f>
        <v>322.18076289349995</v>
      </c>
      <c r="M717" s="46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IH717" s="32"/>
      <c r="II717" s="32"/>
      <c r="IJ717" s="32"/>
      <c r="IK717" s="32"/>
      <c r="IL717" s="32"/>
      <c r="IM717" s="32"/>
    </row>
    <row r="718" spans="1:247" s="28" customFormat="1" ht="20.25" customHeight="1" x14ac:dyDescent="0.25">
      <c r="A718" s="75">
        <v>39583</v>
      </c>
      <c r="B718" s="76">
        <v>412.03</v>
      </c>
      <c r="C718" s="76">
        <f t="shared" si="499"/>
        <v>409.96984999999995</v>
      </c>
      <c r="D718" s="76">
        <f t="shared" si="502"/>
        <v>414.09014999999994</v>
      </c>
      <c r="E718" s="78">
        <f>4818.848/1800.553*100</f>
        <v>267.63155541658585</v>
      </c>
      <c r="F718" s="76">
        <v>4818.848</v>
      </c>
      <c r="G718" s="84"/>
      <c r="H718" s="78">
        <v>155.04</v>
      </c>
      <c r="I718" s="78">
        <v>147.7319</v>
      </c>
      <c r="J718" s="79">
        <f t="shared" si="503"/>
        <v>211.71811900725882</v>
      </c>
      <c r="K718" s="80">
        <v>770933.21</v>
      </c>
      <c r="L718" s="83">
        <f t="shared" si="504"/>
        <v>317.64761051629995</v>
      </c>
      <c r="M718" s="46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IH718" s="32"/>
      <c r="II718" s="32"/>
      <c r="IJ718" s="32"/>
      <c r="IK718" s="32"/>
      <c r="IL718" s="32"/>
      <c r="IM718" s="32"/>
    </row>
    <row r="719" spans="1:247" s="28" customFormat="1" ht="20.25" customHeight="1" x14ac:dyDescent="0.25">
      <c r="A719" s="75">
        <v>39576</v>
      </c>
      <c r="B719" s="76">
        <v>412.61</v>
      </c>
      <c r="C719" s="76">
        <f t="shared" si="499"/>
        <v>410.54695000000004</v>
      </c>
      <c r="D719" s="76">
        <f t="shared" ref="D719:D725" si="505">1.005*B719</f>
        <v>414.67304999999999</v>
      </c>
      <c r="E719" s="78">
        <f>4756.26/1800.553*100</f>
        <v>264.15551222318919</v>
      </c>
      <c r="F719" s="76">
        <v>4756.26</v>
      </c>
      <c r="G719" s="84"/>
      <c r="H719" s="78">
        <v>155.12</v>
      </c>
      <c r="I719" s="78">
        <v>147.66130000000001</v>
      </c>
      <c r="J719" s="79">
        <f t="shared" si="503"/>
        <v>210.38811383143599</v>
      </c>
      <c r="K719" s="80">
        <v>769448.58</v>
      </c>
      <c r="L719" s="83">
        <f t="shared" si="504"/>
        <v>317.48217859380003</v>
      </c>
      <c r="M719" s="46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IH719" s="32"/>
      <c r="II719" s="32"/>
      <c r="IJ719" s="32"/>
      <c r="IK719" s="32"/>
      <c r="IL719" s="32"/>
      <c r="IM719" s="32"/>
    </row>
    <row r="720" spans="1:247" s="28" customFormat="1" ht="20.25" customHeight="1" x14ac:dyDescent="0.25">
      <c r="A720" s="75">
        <v>39569</v>
      </c>
      <c r="B720" s="76">
        <v>408.45</v>
      </c>
      <c r="C720" s="76">
        <f t="shared" si="499"/>
        <v>406.40774999999996</v>
      </c>
      <c r="D720" s="76">
        <f t="shared" si="505"/>
        <v>410.49224999999996</v>
      </c>
      <c r="E720" s="78">
        <f>4715.599/1800.553*100</f>
        <v>261.89726156353072</v>
      </c>
      <c r="F720" s="76">
        <v>4715.5990000000002</v>
      </c>
      <c r="G720" s="84"/>
      <c r="H720" s="78">
        <v>155.25</v>
      </c>
      <c r="I720" s="78">
        <v>147.5932</v>
      </c>
      <c r="J720" s="79">
        <f t="shared" si="503"/>
        <v>209.57232218970478</v>
      </c>
      <c r="K720" s="80">
        <v>766050.25</v>
      </c>
      <c r="L720" s="83">
        <f t="shared" si="504"/>
        <v>312.89322461250003</v>
      </c>
      <c r="M720" s="46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IH720" s="32"/>
      <c r="II720" s="32"/>
      <c r="IJ720" s="32"/>
      <c r="IK720" s="32"/>
      <c r="IL720" s="32"/>
      <c r="IM720" s="32"/>
    </row>
    <row r="721" spans="1:247" s="28" customFormat="1" ht="20.25" customHeight="1" x14ac:dyDescent="0.25">
      <c r="A721" s="75">
        <v>39562</v>
      </c>
      <c r="B721" s="76">
        <v>411.88</v>
      </c>
      <c r="C721" s="76">
        <f t="shared" si="499"/>
        <v>409.82060000000001</v>
      </c>
      <c r="D721" s="76">
        <f t="shared" si="505"/>
        <v>413.93939999999998</v>
      </c>
      <c r="E721" s="78">
        <f>4664.235/1800.553*100</f>
        <v>259.04458241440267</v>
      </c>
      <c r="F721" s="76">
        <v>4664.2349999999997</v>
      </c>
      <c r="G721" s="84"/>
      <c r="H721" s="78">
        <v>155.74</v>
      </c>
      <c r="I721" s="78">
        <v>147.53</v>
      </c>
      <c r="J721" s="79">
        <f t="shared" si="503"/>
        <v>208.75129913377992</v>
      </c>
      <c r="K721" s="80">
        <v>765335.26</v>
      </c>
      <c r="L721" s="83">
        <f t="shared" si="504"/>
        <v>315.22628688880002</v>
      </c>
      <c r="M721" s="46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IH721" s="32"/>
      <c r="II721" s="32"/>
      <c r="IJ721" s="32"/>
      <c r="IK721" s="32"/>
      <c r="IL721" s="32"/>
      <c r="IM721" s="32"/>
    </row>
    <row r="722" spans="1:247" s="28" customFormat="1" ht="20.25" customHeight="1" x14ac:dyDescent="0.25">
      <c r="A722" s="75">
        <v>39555</v>
      </c>
      <c r="B722" s="76">
        <v>415.77</v>
      </c>
      <c r="C722" s="76">
        <f t="shared" si="499"/>
        <v>413.69114999999999</v>
      </c>
      <c r="D722" s="76">
        <f t="shared" si="505"/>
        <v>417.84884999999991</v>
      </c>
      <c r="E722" s="78">
        <f>4620.814/1800.553*100</f>
        <v>256.63304551435033</v>
      </c>
      <c r="F722" s="76">
        <v>4620.8140000000003</v>
      </c>
      <c r="G722" s="84"/>
      <c r="H722" s="78">
        <v>156.74</v>
      </c>
      <c r="I722" s="78">
        <v>147.46</v>
      </c>
      <c r="J722" s="79">
        <f t="shared" ref="J722:J728" si="506">(E722/E723)*0.5*J723+(H722/H723)*0.5*J723</f>
        <v>208.43688908746901</v>
      </c>
      <c r="K722" s="80">
        <v>731475.79</v>
      </c>
      <c r="L722" s="83">
        <f t="shared" si="504"/>
        <v>304.1256892083</v>
      </c>
      <c r="M722" s="4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IH722" s="32"/>
      <c r="II722" s="32"/>
      <c r="IJ722" s="32"/>
      <c r="IK722" s="32"/>
      <c r="IL722" s="32"/>
      <c r="IM722" s="32"/>
    </row>
    <row r="723" spans="1:247" s="28" customFormat="1" ht="20.25" customHeight="1" x14ac:dyDescent="0.25">
      <c r="A723" s="75">
        <v>39548</v>
      </c>
      <c r="B723" s="76">
        <v>414.7</v>
      </c>
      <c r="C723" s="76">
        <f t="shared" si="499"/>
        <v>412.62649999999996</v>
      </c>
      <c r="D723" s="76">
        <f t="shared" si="505"/>
        <v>416.77349999999996</v>
      </c>
      <c r="E723" s="78">
        <f>4591.767/1800.553*100</f>
        <v>255.01981891119004</v>
      </c>
      <c r="F723" s="76">
        <v>4591.7669999999998</v>
      </c>
      <c r="G723" s="84"/>
      <c r="H723" s="78">
        <v>156.22999999999999</v>
      </c>
      <c r="I723" s="78">
        <v>147.4</v>
      </c>
      <c r="J723" s="79">
        <f t="shared" si="506"/>
        <v>207.44217223400639</v>
      </c>
      <c r="K723" s="80">
        <v>731175.41</v>
      </c>
      <c r="L723" s="83">
        <f t="shared" si="504"/>
        <v>303.21844252700004</v>
      </c>
      <c r="M723" s="46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IH723" s="32"/>
      <c r="II723" s="32"/>
      <c r="IJ723" s="32"/>
      <c r="IK723" s="32"/>
      <c r="IL723" s="32"/>
      <c r="IM723" s="32"/>
    </row>
    <row r="724" spans="1:247" s="3" customFormat="1" ht="20.25" customHeight="1" x14ac:dyDescent="0.25">
      <c r="A724" s="75">
        <v>39541</v>
      </c>
      <c r="B724" s="76">
        <v>409.88</v>
      </c>
      <c r="C724" s="76">
        <f t="shared" si="499"/>
        <v>407.8306</v>
      </c>
      <c r="D724" s="76">
        <f t="shared" si="505"/>
        <v>411.92939999999993</v>
      </c>
      <c r="E724" s="78">
        <f>4606.191/1800.553*100</f>
        <v>255.82090613272698</v>
      </c>
      <c r="F724" s="76">
        <v>4606.1909999999998</v>
      </c>
      <c r="G724" s="84"/>
      <c r="H724" s="78">
        <v>156.15180000000001</v>
      </c>
      <c r="I724" s="78">
        <v>147.33150000000001</v>
      </c>
      <c r="J724" s="79">
        <f t="shared" si="506"/>
        <v>207.71538473793274</v>
      </c>
      <c r="K724" s="80">
        <v>712078</v>
      </c>
      <c r="L724" s="83">
        <f t="shared" si="504"/>
        <v>291.86653064000001</v>
      </c>
      <c r="M724" s="46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IH724"/>
      <c r="II724"/>
      <c r="IJ724"/>
      <c r="IK724"/>
      <c r="IL724"/>
      <c r="IM724"/>
    </row>
    <row r="725" spans="1:247" s="40" customFormat="1" ht="20.25" customHeight="1" x14ac:dyDescent="0.25">
      <c r="A725" s="75">
        <v>39534</v>
      </c>
      <c r="B725" s="76">
        <v>415.5</v>
      </c>
      <c r="C725" s="76">
        <f t="shared" si="499"/>
        <v>413.42250000000001</v>
      </c>
      <c r="D725" s="76">
        <f t="shared" si="505"/>
        <v>417.57749999999993</v>
      </c>
      <c r="E725" s="78">
        <f>4474.488/1800.553*100</f>
        <v>248.50632000279913</v>
      </c>
      <c r="F725" s="76">
        <v>4474.4880000000003</v>
      </c>
      <c r="G725" s="84"/>
      <c r="H725" s="78">
        <v>157.00729999999999</v>
      </c>
      <c r="I725" s="78">
        <v>147.26669999999999</v>
      </c>
      <c r="J725" s="79">
        <f t="shared" si="506"/>
        <v>205.25383558383544</v>
      </c>
      <c r="K725" s="80">
        <v>713636</v>
      </c>
      <c r="L725" s="83">
        <f t="shared" ref="L725:L746" si="507">K725*B725/1000000</f>
        <v>296.51575800000001</v>
      </c>
      <c r="M725" s="48"/>
      <c r="N725" s="27"/>
      <c r="O725" s="39"/>
      <c r="P725" s="39"/>
      <c r="Q725" s="39"/>
      <c r="R725" s="39"/>
      <c r="S725" s="39"/>
      <c r="T725" s="39"/>
      <c r="U725" s="39"/>
      <c r="V725" s="39"/>
      <c r="W725" s="39"/>
      <c r="IH725" s="41"/>
      <c r="II725" s="41"/>
      <c r="IJ725" s="41"/>
      <c r="IK725" s="41"/>
      <c r="IL725" s="41"/>
      <c r="IM725" s="41"/>
    </row>
    <row r="726" spans="1:247" s="28" customFormat="1" ht="20.25" customHeight="1" x14ac:dyDescent="0.25">
      <c r="A726" s="75">
        <v>39527</v>
      </c>
      <c r="B726" s="76">
        <v>410.09</v>
      </c>
      <c r="C726" s="76">
        <f t="shared" si="499"/>
        <v>408.03954999999996</v>
      </c>
      <c r="D726" s="76">
        <f t="shared" ref="D726:D731" si="508">1.005*B726</f>
        <v>412.14044999999993</v>
      </c>
      <c r="E726" s="78">
        <f>4347.487/1800.553*100</f>
        <v>241.4528758664699</v>
      </c>
      <c r="F726" s="76">
        <v>4347.4870000000001</v>
      </c>
      <c r="G726" s="84"/>
      <c r="H726" s="78">
        <v>155.92959999999999</v>
      </c>
      <c r="I726" s="78">
        <v>147.19999999999999</v>
      </c>
      <c r="J726" s="79">
        <f t="shared" si="506"/>
        <v>201.61231786713205</v>
      </c>
      <c r="K726" s="80">
        <v>708516</v>
      </c>
      <c r="L726" s="83">
        <f t="shared" si="507"/>
        <v>290.55532643999999</v>
      </c>
      <c r="M726" s="46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IH726" s="32"/>
      <c r="II726" s="32"/>
      <c r="IJ726" s="32"/>
      <c r="IK726" s="32"/>
      <c r="IL726" s="32"/>
      <c r="IM726" s="32"/>
    </row>
    <row r="727" spans="1:247" s="28" customFormat="1" ht="20.25" customHeight="1" x14ac:dyDescent="0.25">
      <c r="A727" s="75">
        <v>39520</v>
      </c>
      <c r="B727" s="76">
        <v>416.85</v>
      </c>
      <c r="C727" s="76">
        <f t="shared" si="499"/>
        <v>414.76575000000003</v>
      </c>
      <c r="D727" s="76">
        <f t="shared" si="508"/>
        <v>418.93424999999996</v>
      </c>
      <c r="E727" s="78">
        <f>4420.51/1800.553*100</f>
        <v>245.50846323324001</v>
      </c>
      <c r="F727" s="76">
        <v>4420.51</v>
      </c>
      <c r="G727" s="84"/>
      <c r="H727" s="78">
        <v>156.46199999999999</v>
      </c>
      <c r="I727" s="78">
        <v>147.14340000000001</v>
      </c>
      <c r="J727" s="79">
        <f t="shared" si="506"/>
        <v>203.64077114895321</v>
      </c>
      <c r="K727" s="80">
        <v>708068</v>
      </c>
      <c r="L727" s="83">
        <f t="shared" si="507"/>
        <v>295.1581458</v>
      </c>
      <c r="M727" s="46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IH727" s="32"/>
      <c r="II727" s="32"/>
      <c r="IJ727" s="32"/>
      <c r="IK727" s="32"/>
      <c r="IL727" s="32"/>
      <c r="IM727" s="32"/>
    </row>
    <row r="728" spans="1:247" s="28" customFormat="1" ht="20.25" customHeight="1" x14ac:dyDescent="0.25">
      <c r="A728" s="75">
        <v>39513</v>
      </c>
      <c r="B728" s="76">
        <v>417.86</v>
      </c>
      <c r="C728" s="76">
        <f t="shared" si="499"/>
        <v>415.77070000000003</v>
      </c>
      <c r="D728" s="76">
        <f t="shared" si="508"/>
        <v>419.94929999999999</v>
      </c>
      <c r="E728" s="78">
        <f>4421.654/1800.553*100</f>
        <v>245.57199926911343</v>
      </c>
      <c r="F728" s="76">
        <v>4421.6540000000005</v>
      </c>
      <c r="G728" s="84"/>
      <c r="H728" s="78">
        <v>155.09710000000001</v>
      </c>
      <c r="I728" s="78">
        <v>147.0787</v>
      </c>
      <c r="J728" s="79">
        <f t="shared" si="506"/>
        <v>202.77476405453638</v>
      </c>
      <c r="K728" s="80">
        <v>707389.7</v>
      </c>
      <c r="L728" s="83">
        <f t="shared" si="507"/>
        <v>295.589860042</v>
      </c>
      <c r="M728" s="46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IH728" s="32"/>
      <c r="II728" s="32"/>
      <c r="IJ728" s="32"/>
      <c r="IK728" s="32"/>
      <c r="IL728" s="32"/>
      <c r="IM728" s="32"/>
    </row>
    <row r="729" spans="1:247" s="28" customFormat="1" ht="20.25" customHeight="1" x14ac:dyDescent="0.25">
      <c r="A729" s="75">
        <v>39506</v>
      </c>
      <c r="B729" s="76">
        <v>411.16</v>
      </c>
      <c r="C729" s="76">
        <f t="shared" si="499"/>
        <v>409.10420000000005</v>
      </c>
      <c r="D729" s="76">
        <f t="shared" si="508"/>
        <v>413.2158</v>
      </c>
      <c r="E729" s="78">
        <f>4588.141/1800.553*100</f>
        <v>254.81843633594787</v>
      </c>
      <c r="F729" s="76">
        <v>4588.1409999999996</v>
      </c>
      <c r="G729" s="84"/>
      <c r="H729" s="78">
        <v>153.78800000000001</v>
      </c>
      <c r="I729" s="78">
        <v>147.0121</v>
      </c>
      <c r="J729" s="79">
        <f t="shared" ref="J729:J745" si="509">(E729/E730)*0.5*J730+(H729/H730)*0.5*J730</f>
        <v>205.63035341622032</v>
      </c>
      <c r="K729" s="80">
        <v>658190</v>
      </c>
      <c r="L729" s="83">
        <f t="shared" si="507"/>
        <v>270.62140040000003</v>
      </c>
      <c r="M729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IH729" s="32"/>
      <c r="II729" s="32"/>
      <c r="IJ729" s="32"/>
      <c r="IK729" s="32"/>
      <c r="IL729" s="32"/>
      <c r="IM729" s="32"/>
    </row>
    <row r="730" spans="1:247" s="28" customFormat="1" ht="20.25" customHeight="1" x14ac:dyDescent="0.25">
      <c r="A730" s="75">
        <v>39499</v>
      </c>
      <c r="B730" s="76">
        <v>405.73</v>
      </c>
      <c r="C730" s="76">
        <f t="shared" si="499"/>
        <v>403.70134999999999</v>
      </c>
      <c r="D730" s="76">
        <f t="shared" si="508"/>
        <v>407.75864999999999</v>
      </c>
      <c r="E730" s="78">
        <f>4468.407/1800.553*100</f>
        <v>248.16859042749644</v>
      </c>
      <c r="F730" s="76">
        <v>4468.4070000000002</v>
      </c>
      <c r="G730" s="84"/>
      <c r="H730" s="78">
        <v>152.09</v>
      </c>
      <c r="I730" s="78">
        <v>146.9409</v>
      </c>
      <c r="J730" s="79">
        <f t="shared" si="509"/>
        <v>201.80017388743477</v>
      </c>
      <c r="K730" s="80">
        <v>658672</v>
      </c>
      <c r="L730" s="83">
        <f t="shared" si="507"/>
        <v>267.24299056000001</v>
      </c>
      <c r="M730" s="46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IH730" s="32"/>
      <c r="II730" s="32"/>
      <c r="IJ730" s="32"/>
      <c r="IK730" s="32"/>
      <c r="IL730" s="32"/>
      <c r="IM730" s="32"/>
    </row>
    <row r="731" spans="1:247" s="28" customFormat="1" ht="20.25" customHeight="1" x14ac:dyDescent="0.25">
      <c r="A731" s="75">
        <v>39492</v>
      </c>
      <c r="B731" s="76">
        <v>400.87</v>
      </c>
      <c r="C731" s="76">
        <f t="shared" si="499"/>
        <v>398.86565000000002</v>
      </c>
      <c r="D731" s="76">
        <f t="shared" si="508"/>
        <v>402.87434999999994</v>
      </c>
      <c r="E731" s="78">
        <f>4461.98/1800.553*100</f>
        <v>247.81164453365156</v>
      </c>
      <c r="F731" s="76">
        <v>4461.9799999999996</v>
      </c>
      <c r="G731" s="84"/>
      <c r="H731" s="78">
        <v>151.5265</v>
      </c>
      <c r="I731" s="78">
        <v>146.8672</v>
      </c>
      <c r="J731" s="79">
        <f t="shared" si="509"/>
        <v>201.28094820547562</v>
      </c>
      <c r="K731" s="80">
        <v>658176</v>
      </c>
      <c r="L731" s="83">
        <f t="shared" si="507"/>
        <v>263.84301312000002</v>
      </c>
      <c r="M731" s="46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IH731" s="32"/>
      <c r="II731" s="32"/>
      <c r="IJ731" s="32"/>
      <c r="IK731" s="32"/>
      <c r="IL731" s="32"/>
      <c r="IM731" s="32"/>
    </row>
    <row r="732" spans="1:247" s="28" customFormat="1" ht="20.25" customHeight="1" x14ac:dyDescent="0.25">
      <c r="A732" s="75">
        <v>39485</v>
      </c>
      <c r="B732" s="76">
        <v>396.48</v>
      </c>
      <c r="C732" s="76">
        <f t="shared" si="499"/>
        <v>394.49760000000003</v>
      </c>
      <c r="D732" s="76">
        <f t="shared" ref="D732:D737" si="510">1.005*B732</f>
        <v>398.4624</v>
      </c>
      <c r="E732" s="78">
        <f>4369.457/1800.553*100</f>
        <v>242.67305655540272</v>
      </c>
      <c r="F732" s="76">
        <v>4369.4570000000003</v>
      </c>
      <c r="G732" s="84"/>
      <c r="H732" s="78">
        <v>150.91120000000001</v>
      </c>
      <c r="I732" s="78">
        <v>146.79409999999999</v>
      </c>
      <c r="J732" s="79">
        <f t="shared" si="509"/>
        <v>198.7712451211612</v>
      </c>
      <c r="K732" s="80">
        <v>656967</v>
      </c>
      <c r="L732" s="83">
        <f t="shared" si="507"/>
        <v>260.47427616000004</v>
      </c>
      <c r="M732" s="46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IH732" s="32"/>
      <c r="II732" s="32"/>
      <c r="IJ732" s="32"/>
      <c r="IK732" s="32"/>
      <c r="IL732" s="32"/>
      <c r="IM732" s="32"/>
    </row>
    <row r="733" spans="1:247" s="28" customFormat="1" ht="20.25" customHeight="1" x14ac:dyDescent="0.25">
      <c r="A733" s="75">
        <v>39478</v>
      </c>
      <c r="B733" s="76">
        <v>398.58269999999999</v>
      </c>
      <c r="C733" s="76">
        <f t="shared" si="499"/>
        <v>396.5897865</v>
      </c>
      <c r="D733" s="76">
        <f t="shared" si="510"/>
        <v>400.57561349999992</v>
      </c>
      <c r="E733" s="78">
        <f>4520.672/1800.553*100</f>
        <v>251.07130975872408</v>
      </c>
      <c r="F733" s="76">
        <v>4520.6719999999996</v>
      </c>
      <c r="G733" s="84"/>
      <c r="H733" s="78">
        <v>152.3629</v>
      </c>
      <c r="I733" s="78">
        <v>146.72020000000001</v>
      </c>
      <c r="J733" s="79">
        <f t="shared" si="509"/>
        <v>203.13640088363269</v>
      </c>
      <c r="K733" s="80">
        <v>645369</v>
      </c>
      <c r="L733" s="83">
        <f t="shared" si="507"/>
        <v>257.2329185163</v>
      </c>
      <c r="M733" s="46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IH733" s="32"/>
      <c r="II733" s="32"/>
      <c r="IJ733" s="32"/>
      <c r="IK733" s="32"/>
      <c r="IL733" s="32"/>
      <c r="IM733" s="32"/>
    </row>
    <row r="734" spans="1:247" s="28" customFormat="1" ht="20.25" customHeight="1" x14ac:dyDescent="0.25">
      <c r="A734" s="75">
        <v>39471</v>
      </c>
      <c r="B734" s="76">
        <v>396.43150000000003</v>
      </c>
      <c r="C734" s="76">
        <f t="shared" si="499"/>
        <v>394.4493425</v>
      </c>
      <c r="D734" s="76">
        <f t="shared" si="510"/>
        <v>398.4136575</v>
      </c>
      <c r="E734" s="78">
        <f>4438.217/1800.553*100</f>
        <v>246.49188332695564</v>
      </c>
      <c r="F734" s="76">
        <v>4438.2169999999996</v>
      </c>
      <c r="G734" s="84"/>
      <c r="H734" s="78">
        <v>151.7963</v>
      </c>
      <c r="I734" s="78">
        <v>146.64699999999999</v>
      </c>
      <c r="J734" s="79">
        <f t="shared" si="509"/>
        <v>200.89530920390004</v>
      </c>
      <c r="K734" s="80">
        <v>623855.02</v>
      </c>
      <c r="L734" s="83">
        <f t="shared" si="507"/>
        <v>247.31578136113004</v>
      </c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IH734" s="32"/>
      <c r="II734" s="32"/>
      <c r="IJ734" s="32"/>
      <c r="IK734" s="32"/>
      <c r="IL734" s="32"/>
      <c r="IM734" s="32"/>
    </row>
    <row r="735" spans="1:247" s="28" customFormat="1" ht="20.25" customHeight="1" x14ac:dyDescent="0.25">
      <c r="A735" s="75">
        <v>39464</v>
      </c>
      <c r="B735" s="76">
        <v>404.08969999999999</v>
      </c>
      <c r="C735" s="76">
        <f t="shared" si="499"/>
        <v>402.06925150000001</v>
      </c>
      <c r="D735" s="76">
        <f t="shared" si="510"/>
        <v>406.11014849999992</v>
      </c>
      <c r="E735" s="78">
        <f>4464.85/1800.553*100</f>
        <v>247.97104000826414</v>
      </c>
      <c r="F735" s="76">
        <v>4464.8500000000004</v>
      </c>
      <c r="G735" s="84"/>
      <c r="H735" s="78">
        <v>151.47669999999999</v>
      </c>
      <c r="I735" s="78">
        <v>146.56739999999999</v>
      </c>
      <c r="J735" s="79">
        <f t="shared" si="509"/>
        <v>201.28329710754736</v>
      </c>
      <c r="K735" s="80">
        <v>623486</v>
      </c>
      <c r="L735" s="83">
        <f t="shared" si="507"/>
        <v>251.94427069420001</v>
      </c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IH735" s="32"/>
      <c r="II735" s="32"/>
      <c r="IJ735" s="32"/>
      <c r="IK735" s="32"/>
      <c r="IL735" s="32"/>
      <c r="IM735" s="32"/>
    </row>
    <row r="736" spans="1:247" s="28" customFormat="1" ht="20.25" customHeight="1" x14ac:dyDescent="0.25">
      <c r="A736" s="75">
        <v>39457</v>
      </c>
      <c r="B736" s="76">
        <v>408.6945096285794</v>
      </c>
      <c r="C736" s="76">
        <f t="shared" si="499"/>
        <v>406.65103708043648</v>
      </c>
      <c r="D736" s="76">
        <f t="shared" si="510"/>
        <v>410.73798217672226</v>
      </c>
      <c r="E736" s="78">
        <f>4713.876/1800.553*100</f>
        <v>261.80156874027034</v>
      </c>
      <c r="F736" s="76">
        <v>4713.8760000000002</v>
      </c>
      <c r="G736" s="84"/>
      <c r="H736" s="78">
        <v>151.13</v>
      </c>
      <c r="I736" s="78">
        <v>146.48099999999999</v>
      </c>
      <c r="J736" s="79">
        <f t="shared" si="509"/>
        <v>206.50098186070761</v>
      </c>
      <c r="K736" s="80">
        <v>618060.46</v>
      </c>
      <c r="L736" s="83">
        <f t="shared" si="507"/>
        <v>252.59791662051418</v>
      </c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IH736" s="32"/>
      <c r="II736" s="32"/>
      <c r="IJ736" s="32"/>
      <c r="IK736" s="32"/>
      <c r="IL736" s="32"/>
      <c r="IM736" s="32"/>
    </row>
    <row r="737" spans="1:247" s="28" customFormat="1" ht="20.25" customHeight="1" x14ac:dyDescent="0.25">
      <c r="A737" s="75">
        <v>39450</v>
      </c>
      <c r="B737" s="76">
        <v>410.98779999999999</v>
      </c>
      <c r="C737" s="76">
        <f t="shared" si="499"/>
        <v>408.932861</v>
      </c>
      <c r="D737" s="76">
        <f t="shared" si="510"/>
        <v>413.04273899999993</v>
      </c>
      <c r="E737" s="78">
        <f>4856.226/1800.553*100</f>
        <v>269.70747320406559</v>
      </c>
      <c r="F737" s="76">
        <v>4856.2259999999997</v>
      </c>
      <c r="G737" s="84"/>
      <c r="H737" s="78">
        <v>150.97810000000001</v>
      </c>
      <c r="I737" s="78">
        <v>146.3905</v>
      </c>
      <c r="J737" s="79">
        <f t="shared" si="509"/>
        <v>209.46563062206855</v>
      </c>
      <c r="K737" s="80">
        <v>624143.34979999997</v>
      </c>
      <c r="L737" s="83">
        <f>K737*B737/1000000</f>
        <v>256.51530221893245</v>
      </c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IH737" s="32"/>
      <c r="II737" s="32"/>
      <c r="IJ737" s="32"/>
      <c r="IK737" s="32"/>
      <c r="IL737" s="32"/>
      <c r="IM737" s="32"/>
    </row>
    <row r="738" spans="1:247" s="28" customFormat="1" ht="20.25" customHeight="1" x14ac:dyDescent="0.25">
      <c r="A738" s="75">
        <v>39447</v>
      </c>
      <c r="B738" s="76">
        <v>404.48370333658931</v>
      </c>
      <c r="C738" s="76" t="s">
        <v>32</v>
      </c>
      <c r="D738" s="76" t="s">
        <v>32</v>
      </c>
      <c r="E738" s="78">
        <f>4893.543/1800.553*100</f>
        <v>271.78000314347867</v>
      </c>
      <c r="F738" s="76">
        <v>4893.5429999999997</v>
      </c>
      <c r="G738" s="84"/>
      <c r="H738" s="78">
        <v>150.1722</v>
      </c>
      <c r="I738" s="78">
        <v>146.34289999999999</v>
      </c>
      <c r="J738" s="79">
        <f t="shared" si="509"/>
        <v>209.70251658818813</v>
      </c>
      <c r="K738" s="80">
        <v>624143.34979999997</v>
      </c>
      <c r="L738" s="83">
        <f t="shared" si="507"/>
        <v>252.45581354000828</v>
      </c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IH738" s="32"/>
      <c r="II738" s="32"/>
      <c r="IJ738" s="32"/>
      <c r="IK738" s="32"/>
      <c r="IL738" s="32"/>
      <c r="IM738" s="32"/>
    </row>
    <row r="739" spans="1:247" s="28" customFormat="1" ht="20.25" customHeight="1" x14ac:dyDescent="0.25">
      <c r="A739" s="75">
        <v>39443</v>
      </c>
      <c r="B739" s="76">
        <v>399.52759200000003</v>
      </c>
      <c r="C739" s="76">
        <f>0.995*B739</f>
        <v>397.52995404000001</v>
      </c>
      <c r="D739" s="76">
        <f>1.005*B739</f>
        <v>401.52522995999999</v>
      </c>
      <c r="E739" s="78">
        <f>4897.508/1800.553*100</f>
        <v>272.00021326781268</v>
      </c>
      <c r="F739" s="76">
        <v>4897.5079999999998</v>
      </c>
      <c r="G739" s="84"/>
      <c r="H739" s="78">
        <v>149.85069999999999</v>
      </c>
      <c r="I739" s="78">
        <v>146.29</v>
      </c>
      <c r="J739" s="79">
        <f t="shared" si="509"/>
        <v>209.56254207755069</v>
      </c>
      <c r="K739" s="80">
        <v>613446.25</v>
      </c>
      <c r="L739" s="83">
        <f>K739*B739/1000000</f>
        <v>245.08870308393003</v>
      </c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IH739" s="32"/>
      <c r="II739" s="32"/>
      <c r="IJ739" s="32"/>
      <c r="IK739" s="32"/>
      <c r="IL739" s="32"/>
      <c r="IM739" s="32"/>
    </row>
    <row r="740" spans="1:247" s="28" customFormat="1" ht="20.25" customHeight="1" x14ac:dyDescent="0.25">
      <c r="A740" s="75">
        <v>39436</v>
      </c>
      <c r="B740" s="76">
        <v>395.87759999999997</v>
      </c>
      <c r="C740" s="76">
        <f>0.995*B740</f>
        <v>393.89821199999994</v>
      </c>
      <c r="D740" s="76">
        <f>1.005*B740</f>
        <v>397.85698799999994</v>
      </c>
      <c r="E740" s="78">
        <f>4793.367/1800.553*100</f>
        <v>266.21637907909405</v>
      </c>
      <c r="F740" s="76">
        <v>4793.3670000000002</v>
      </c>
      <c r="G740" s="84"/>
      <c r="H740" s="78">
        <v>149.01</v>
      </c>
      <c r="I740" s="78">
        <v>146.19800000000001</v>
      </c>
      <c r="J740" s="79">
        <f t="shared" si="509"/>
        <v>206.73360280585607</v>
      </c>
      <c r="K740" s="80">
        <v>603824.76</v>
      </c>
      <c r="L740" s="83">
        <f>K740*B740/1000000</f>
        <v>239.04069680937599</v>
      </c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IH740" s="32"/>
      <c r="II740" s="32"/>
      <c r="IJ740" s="32"/>
      <c r="IK740" s="32"/>
      <c r="IL740" s="32"/>
      <c r="IM740" s="32"/>
    </row>
    <row r="741" spans="1:247" s="28" customFormat="1" ht="20.25" customHeight="1" x14ac:dyDescent="0.25">
      <c r="A741" s="75">
        <v>39429</v>
      </c>
      <c r="B741" s="76">
        <v>396.55770000000001</v>
      </c>
      <c r="C741" s="76">
        <f t="shared" ref="C741:C891" si="511">0.9975*B741</f>
        <v>395.56630575000003</v>
      </c>
      <c r="D741" s="76">
        <f t="shared" ref="D741:D748" si="512">1.0025*B741</f>
        <v>397.54909425</v>
      </c>
      <c r="E741" s="78">
        <f>4929.049/1800.553*100</f>
        <v>273.75195287225648</v>
      </c>
      <c r="F741" s="76">
        <v>4929.049</v>
      </c>
      <c r="G741" s="84"/>
      <c r="H741" s="78">
        <v>150.30350000000001</v>
      </c>
      <c r="I741" s="78">
        <v>146.108</v>
      </c>
      <c r="J741" s="79">
        <f t="shared" si="509"/>
        <v>210.53726745522118</v>
      </c>
      <c r="K741" s="80">
        <v>603824.76</v>
      </c>
      <c r="L741" s="83">
        <f t="shared" si="507"/>
        <v>239.45135802865201</v>
      </c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IH741" s="32"/>
      <c r="II741" s="32"/>
      <c r="IJ741" s="32"/>
      <c r="IK741" s="32"/>
      <c r="IL741" s="32"/>
      <c r="IM741" s="32"/>
    </row>
    <row r="742" spans="1:247" s="28" customFormat="1" ht="20.25" customHeight="1" x14ac:dyDescent="0.25">
      <c r="A742" s="75">
        <v>39422</v>
      </c>
      <c r="B742" s="76">
        <v>395.72730000000001</v>
      </c>
      <c r="C742" s="76">
        <f t="shared" si="511"/>
        <v>394.73798175000002</v>
      </c>
      <c r="D742" s="76">
        <f t="shared" si="512"/>
        <v>396.71661825000001</v>
      </c>
      <c r="E742" s="78">
        <f>4997.652/1800.553*100</f>
        <v>277.56206010042467</v>
      </c>
      <c r="F742" s="76">
        <v>4997.652</v>
      </c>
      <c r="G742" s="84"/>
      <c r="H742" s="78">
        <v>150.3014</v>
      </c>
      <c r="I742" s="78">
        <v>146.0179</v>
      </c>
      <c r="J742" s="79">
        <f t="shared" si="509"/>
        <v>211.99079018305628</v>
      </c>
      <c r="K742" s="80">
        <v>601252</v>
      </c>
      <c r="L742" s="83">
        <f t="shared" si="507"/>
        <v>237.93183057960002</v>
      </c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IH742" s="32"/>
      <c r="II742" s="32"/>
      <c r="IJ742" s="32"/>
      <c r="IK742" s="32"/>
      <c r="IL742" s="32"/>
      <c r="IM742" s="32"/>
    </row>
    <row r="743" spans="1:247" s="28" customFormat="1" ht="20.25" customHeight="1" x14ac:dyDescent="0.25">
      <c r="A743" s="75">
        <v>39415</v>
      </c>
      <c r="B743" s="76">
        <v>393.00416844101562</v>
      </c>
      <c r="C743" s="76">
        <f t="shared" si="511"/>
        <v>392.0216580199131</v>
      </c>
      <c r="D743" s="76">
        <f t="shared" si="512"/>
        <v>393.98667886211814</v>
      </c>
      <c r="E743" s="78">
        <f>4927.184/1800.553*100</f>
        <v>273.6483735830048</v>
      </c>
      <c r="F743" s="76">
        <v>4927.1840000000002</v>
      </c>
      <c r="G743" s="84"/>
      <c r="H743" s="78">
        <v>151.00436973535699</v>
      </c>
      <c r="I743" s="78">
        <v>145.92656718811401</v>
      </c>
      <c r="J743" s="79">
        <f t="shared" si="509"/>
        <v>210.97320448006434</v>
      </c>
      <c r="K743" s="80">
        <v>597913.46</v>
      </c>
      <c r="L743" s="83">
        <f t="shared" si="507"/>
        <v>234.98248214699044</v>
      </c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IH743" s="32"/>
      <c r="II743" s="32"/>
      <c r="IJ743" s="32"/>
      <c r="IK743" s="32"/>
      <c r="IL743" s="32"/>
      <c r="IM743" s="32"/>
    </row>
    <row r="744" spans="1:247" s="28" customFormat="1" ht="20.25" customHeight="1" x14ac:dyDescent="0.25">
      <c r="A744" s="75">
        <v>39408</v>
      </c>
      <c r="B744" s="76">
        <v>397.06189999999998</v>
      </c>
      <c r="C744" s="76">
        <f t="shared" si="511"/>
        <v>396.06924524999999</v>
      </c>
      <c r="D744" s="76">
        <f t="shared" si="512"/>
        <v>398.05455474999997</v>
      </c>
      <c r="E744" s="78">
        <f>4758.11/1800.553*100</f>
        <v>264.25825843504742</v>
      </c>
      <c r="F744" s="76">
        <v>4758.1099999999997</v>
      </c>
      <c r="G744" s="84"/>
      <c r="H744" s="78">
        <v>151.39813521920499</v>
      </c>
      <c r="I744" s="78">
        <v>145.83459999999999</v>
      </c>
      <c r="J744" s="79">
        <f t="shared" si="509"/>
        <v>207.55549237247865</v>
      </c>
      <c r="K744" s="80">
        <v>557882.41</v>
      </c>
      <c r="L744" s="83">
        <f t="shared" si="507"/>
        <v>221.51384969117902</v>
      </c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IH744" s="32"/>
      <c r="II744" s="32"/>
      <c r="IJ744" s="32"/>
      <c r="IK744" s="32"/>
      <c r="IL744" s="32"/>
      <c r="IM744" s="32"/>
    </row>
    <row r="745" spans="1:247" s="28" customFormat="1" ht="20.25" customHeight="1" x14ac:dyDescent="0.25">
      <c r="A745" s="75">
        <v>39401</v>
      </c>
      <c r="B745" s="76">
        <v>392.3467</v>
      </c>
      <c r="C745" s="76">
        <f t="shared" si="511"/>
        <v>391.36583325000004</v>
      </c>
      <c r="D745" s="76">
        <f t="shared" si="512"/>
        <v>393.32756674999996</v>
      </c>
      <c r="E745" s="78">
        <f>4872.26/1800.553*100</f>
        <v>270.5979773991657</v>
      </c>
      <c r="F745" s="76">
        <v>4872.26</v>
      </c>
      <c r="G745" s="84"/>
      <c r="H745" s="78">
        <v>150.27719999999999</v>
      </c>
      <c r="I745" s="78">
        <v>145.74299999999999</v>
      </c>
      <c r="J745" s="79">
        <f t="shared" si="509"/>
        <v>209.22610377276175</v>
      </c>
      <c r="K745" s="80">
        <v>559629.31999999995</v>
      </c>
      <c r="L745" s="83">
        <f t="shared" si="507"/>
        <v>219.56871692524396</v>
      </c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IH745" s="32"/>
      <c r="II745" s="32"/>
      <c r="IJ745" s="32"/>
      <c r="IK745" s="32"/>
      <c r="IL745" s="32"/>
      <c r="IM745" s="32"/>
    </row>
    <row r="746" spans="1:247" s="28" customFormat="1" ht="20.25" customHeight="1" x14ac:dyDescent="0.25">
      <c r="A746" s="75">
        <v>39394</v>
      </c>
      <c r="B746" s="76">
        <v>387.96148499999998</v>
      </c>
      <c r="C746" s="76">
        <f t="shared" si="511"/>
        <v>386.99158128750003</v>
      </c>
      <c r="D746" s="76">
        <f t="shared" si="512"/>
        <v>388.93138871249994</v>
      </c>
      <c r="E746" s="78">
        <f>4980.224/1800.553*100</f>
        <v>276.5941352462271</v>
      </c>
      <c r="F746" s="76">
        <v>4980.2240000000002</v>
      </c>
      <c r="G746" s="84"/>
      <c r="H746" s="78">
        <v>150.2903</v>
      </c>
      <c r="I746" s="78">
        <v>145.64750000000001</v>
      </c>
      <c r="J746" s="79">
        <f t="shared" ref="J746:J751" si="513">(E746/E747)*0.5*J747+(H746/H747)*0.5*J747</f>
        <v>211.5281335259784</v>
      </c>
      <c r="K746" s="80">
        <v>559629.31999999995</v>
      </c>
      <c r="L746" s="83">
        <f t="shared" si="507"/>
        <v>217.11462203674017</v>
      </c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IH746" s="32"/>
      <c r="II746" s="32"/>
      <c r="IJ746" s="32"/>
      <c r="IK746" s="32"/>
      <c r="IL746" s="32"/>
      <c r="IM746" s="32"/>
    </row>
    <row r="747" spans="1:247" s="28" customFormat="1" ht="20.25" customHeight="1" x14ac:dyDescent="0.25">
      <c r="A747" s="75">
        <v>39387</v>
      </c>
      <c r="B747" s="76">
        <v>380.39</v>
      </c>
      <c r="C747" s="76">
        <f t="shared" si="511"/>
        <v>379.43902500000002</v>
      </c>
      <c r="D747" s="76">
        <f t="shared" si="512"/>
        <v>381.34097499999996</v>
      </c>
      <c r="E747" s="78">
        <f>5076.243/1800.553*100</f>
        <v>281.92688579564168</v>
      </c>
      <c r="F747" s="76">
        <v>5076.2430000000004</v>
      </c>
      <c r="G747" s="84"/>
      <c r="H747" s="78">
        <v>148.9570490358484</v>
      </c>
      <c r="I747" s="78">
        <v>145.55038056255404</v>
      </c>
      <c r="J747" s="79">
        <f t="shared" si="513"/>
        <v>212.58732798896287</v>
      </c>
      <c r="K747" s="80">
        <v>548837.07999999996</v>
      </c>
      <c r="L747" s="83">
        <f t="shared" ref="L747:L810" si="514">K747*B747/1000000</f>
        <v>208.77213686119998</v>
      </c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IH747" s="32"/>
      <c r="II747" s="32"/>
      <c r="IJ747" s="32"/>
      <c r="IK747" s="32"/>
      <c r="IL747" s="32"/>
      <c r="IM747" s="32"/>
    </row>
    <row r="748" spans="1:247" s="28" customFormat="1" ht="20.25" customHeight="1" x14ac:dyDescent="0.25">
      <c r="A748" s="75">
        <v>39380</v>
      </c>
      <c r="B748" s="76">
        <v>374.51</v>
      </c>
      <c r="C748" s="76">
        <f t="shared" si="511"/>
        <v>373.57372500000002</v>
      </c>
      <c r="D748" s="76">
        <f t="shared" si="512"/>
        <v>375.44627499999996</v>
      </c>
      <c r="E748" s="78">
        <f>5019.554/1800.553*100</f>
        <v>278.77846417184054</v>
      </c>
      <c r="F748" s="76">
        <v>5019.5540000000001</v>
      </c>
      <c r="G748" s="84"/>
      <c r="H748" s="78">
        <v>148.47228382798733</v>
      </c>
      <c r="I748" s="78">
        <v>145.44928852513465</v>
      </c>
      <c r="J748" s="79">
        <f t="shared" si="513"/>
        <v>211.05101856667673</v>
      </c>
      <c r="K748" s="80">
        <v>548171.18999999994</v>
      </c>
      <c r="L748" s="83">
        <f t="shared" si="514"/>
        <v>205.29559236689997</v>
      </c>
      <c r="M748" s="22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IH748" s="32"/>
      <c r="II748" s="32"/>
      <c r="IJ748" s="32"/>
      <c r="IK748" s="32"/>
      <c r="IL748" s="32"/>
      <c r="IM748" s="32"/>
    </row>
    <row r="749" spans="1:247" s="28" customFormat="1" ht="20.25" customHeight="1" x14ac:dyDescent="0.25">
      <c r="A749" s="75">
        <v>39373</v>
      </c>
      <c r="B749" s="76">
        <v>370.83</v>
      </c>
      <c r="C749" s="76">
        <f t="shared" si="511"/>
        <v>369.90292499999998</v>
      </c>
      <c r="D749" s="76">
        <f t="shared" ref="D749:D754" si="515">1.0025*B749</f>
        <v>371.75707499999999</v>
      </c>
      <c r="E749" s="78">
        <f>5080.708/1800.553*100</f>
        <v>282.17486516642384</v>
      </c>
      <c r="F749" s="76">
        <v>5080.7079999999996</v>
      </c>
      <c r="G749" s="84"/>
      <c r="H749" s="78">
        <v>147.96108635610824</v>
      </c>
      <c r="I749" s="78">
        <v>145.34566048980605</v>
      </c>
      <c r="J749" s="79">
        <f t="shared" si="513"/>
        <v>211.96049506253547</v>
      </c>
      <c r="K749" s="80">
        <v>542799.47169999999</v>
      </c>
      <c r="L749" s="83">
        <f t="shared" si="514"/>
        <v>201.28632809051101</v>
      </c>
      <c r="M749" s="22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IH749" s="32"/>
      <c r="II749" s="32"/>
      <c r="IJ749" s="32"/>
      <c r="IK749" s="32"/>
      <c r="IL749" s="32"/>
      <c r="IM749" s="32"/>
    </row>
    <row r="750" spans="1:247" s="3" customFormat="1" ht="20.25" customHeight="1" x14ac:dyDescent="0.25">
      <c r="A750" s="75">
        <v>39366</v>
      </c>
      <c r="B750" s="76">
        <v>365.59</v>
      </c>
      <c r="C750" s="76">
        <f t="shared" si="511"/>
        <v>364.67602499999998</v>
      </c>
      <c r="D750" s="76">
        <f t="shared" si="515"/>
        <v>366.50397499999997</v>
      </c>
      <c r="E750" s="78">
        <f>5140.075/1800.553*100</f>
        <v>285.47201887420141</v>
      </c>
      <c r="F750" s="76">
        <v>5140.0749999999998</v>
      </c>
      <c r="G750" s="84"/>
      <c r="H750" s="78">
        <v>147.19120762328538</v>
      </c>
      <c r="I750" s="78">
        <v>145.24062793907402</v>
      </c>
      <c r="J750" s="79">
        <f t="shared" si="513"/>
        <v>212.63234572346025</v>
      </c>
      <c r="K750" s="80">
        <v>542799.47169999999</v>
      </c>
      <c r="L750" s="83">
        <f t="shared" si="514"/>
        <v>198.44205885880297</v>
      </c>
      <c r="M750" s="22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  <c r="BN750" s="28"/>
      <c r="BO750" s="28"/>
      <c r="BP750" s="28"/>
      <c r="BQ750" s="28"/>
      <c r="BR750" s="28"/>
      <c r="BS750" s="28"/>
      <c r="BT750" s="28"/>
      <c r="BU750" s="28"/>
      <c r="BV750" s="28"/>
      <c r="BW750" s="28"/>
      <c r="BX750" s="28"/>
      <c r="BY750" s="28"/>
      <c r="BZ750" s="28"/>
      <c r="CA750" s="28"/>
      <c r="CB750" s="28"/>
      <c r="CC750" s="28"/>
      <c r="CD750" s="28"/>
      <c r="CE750" s="28"/>
      <c r="CF750" s="28"/>
      <c r="CG750" s="28"/>
      <c r="CH750" s="28"/>
      <c r="CI750" s="28"/>
      <c r="CJ750" s="28"/>
      <c r="CK750" s="28"/>
      <c r="CL750" s="28"/>
      <c r="CM750" s="28"/>
      <c r="CN750" s="28"/>
      <c r="CO750" s="28"/>
      <c r="CP750" s="28"/>
      <c r="CQ750" s="28"/>
      <c r="CR750" s="28"/>
      <c r="CS750" s="28"/>
      <c r="CT750" s="28"/>
      <c r="CU750" s="28"/>
      <c r="CV750" s="28"/>
      <c r="CW750" s="28"/>
      <c r="CX750" s="28"/>
      <c r="CY750" s="28"/>
      <c r="CZ750" s="28"/>
      <c r="DA750" s="28"/>
      <c r="DB750" s="28"/>
      <c r="DC750" s="28"/>
      <c r="DD750" s="28"/>
      <c r="DE750" s="28"/>
      <c r="DF750" s="28"/>
      <c r="DG750" s="28"/>
      <c r="DH750" s="28"/>
      <c r="DI750" s="28"/>
      <c r="DJ750" s="28"/>
      <c r="DK750" s="28"/>
      <c r="DL750" s="28"/>
      <c r="DM750" s="28"/>
      <c r="IH750"/>
      <c r="II750"/>
      <c r="IJ750"/>
      <c r="IK750"/>
      <c r="IL750"/>
      <c r="IM750"/>
    </row>
    <row r="751" spans="1:247" s="28" customFormat="1" ht="20.25" customHeight="1" x14ac:dyDescent="0.25">
      <c r="A751" s="75">
        <v>39359</v>
      </c>
      <c r="B751" s="76">
        <v>366.3</v>
      </c>
      <c r="C751" s="76">
        <f t="shared" si="511"/>
        <v>365.38425000000001</v>
      </c>
      <c r="D751" s="76">
        <f t="shared" si="515"/>
        <v>367.21575000000001</v>
      </c>
      <c r="E751" s="78">
        <f>5057.144/1800.553*100</f>
        <v>280.86615611981426</v>
      </c>
      <c r="F751" s="76">
        <v>5057.1440000000002</v>
      </c>
      <c r="G751" s="84"/>
      <c r="H751" s="78">
        <v>147.1401891486984</v>
      </c>
      <c r="I751" s="78">
        <v>145.13403305561386</v>
      </c>
      <c r="J751" s="79">
        <f t="shared" si="513"/>
        <v>210.86680902567952</v>
      </c>
      <c r="K751" s="80">
        <v>497642.17550000001</v>
      </c>
      <c r="L751" s="83">
        <f t="shared" si="514"/>
        <v>182.28632888565002</v>
      </c>
      <c r="M751" s="22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IH751" s="32"/>
      <c r="II751" s="32"/>
      <c r="IJ751" s="32"/>
      <c r="IK751" s="32"/>
      <c r="IL751" s="32"/>
      <c r="IM751" s="32"/>
    </row>
    <row r="752" spans="1:247" s="28" customFormat="1" ht="20.25" customHeight="1" x14ac:dyDescent="0.25">
      <c r="A752" s="75">
        <v>39352</v>
      </c>
      <c r="B752" s="76">
        <v>367</v>
      </c>
      <c r="C752" s="76">
        <f t="shared" si="511"/>
        <v>366.08250000000004</v>
      </c>
      <c r="D752" s="76">
        <f t="shared" si="515"/>
        <v>367.91749999999996</v>
      </c>
      <c r="E752" s="78">
        <f>5002.982/1800.553*100</f>
        <v>277.85808026756223</v>
      </c>
      <c r="F752" s="76">
        <v>5002.982</v>
      </c>
      <c r="G752" s="84"/>
      <c r="H752" s="78">
        <v>147.15613368213153</v>
      </c>
      <c r="I752" s="78">
        <v>145.02944421366271</v>
      </c>
      <c r="J752" s="79">
        <f t="shared" ref="J752:J810" si="516">(E752/E753)*0.5*J753+(H752/H753)*0.5*J753</f>
        <v>209.74283990512538</v>
      </c>
      <c r="K752" s="80">
        <v>491672.65590000001</v>
      </c>
      <c r="L752" s="83">
        <f t="shared" si="514"/>
        <v>180.44386471529998</v>
      </c>
      <c r="M752" s="22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IH752" s="32"/>
      <c r="II752" s="32"/>
      <c r="IJ752" s="32"/>
      <c r="IK752" s="32"/>
      <c r="IL752" s="32"/>
      <c r="IM752" s="32"/>
    </row>
    <row r="753" spans="1:247" s="28" customFormat="1" ht="20.25" customHeight="1" x14ac:dyDescent="0.25">
      <c r="A753" s="75">
        <v>39345</v>
      </c>
      <c r="B753" s="76">
        <v>368.51</v>
      </c>
      <c r="C753" s="76">
        <f t="shared" si="511"/>
        <v>367.58872500000001</v>
      </c>
      <c r="D753" s="76">
        <f t="shared" si="515"/>
        <v>369.43127499999997</v>
      </c>
      <c r="E753" s="78">
        <f>4933.937/1800.553*100</f>
        <v>274.02342502553381</v>
      </c>
      <c r="F753" s="76">
        <v>4933.9369999999999</v>
      </c>
      <c r="G753" s="84"/>
      <c r="H753" s="78">
        <v>146.84257361670907</v>
      </c>
      <c r="I753" s="78">
        <v>144.92590319256294</v>
      </c>
      <c r="J753" s="79">
        <f t="shared" si="516"/>
        <v>208.06487531132521</v>
      </c>
      <c r="K753" s="80">
        <v>486044.79830000002</v>
      </c>
      <c r="L753" s="83">
        <f t="shared" si="514"/>
        <v>179.11236862153299</v>
      </c>
      <c r="M753" s="22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40"/>
      <c r="Y753" s="40"/>
      <c r="Z753" s="40"/>
      <c r="AA753" s="40"/>
      <c r="AB753" s="40"/>
      <c r="AC753" s="40"/>
      <c r="AD753" s="40"/>
      <c r="AE753" s="40"/>
      <c r="AF753" s="40"/>
      <c r="AG753" s="40"/>
      <c r="AH753" s="40"/>
      <c r="AI753" s="40"/>
      <c r="AJ753" s="40"/>
      <c r="AK753" s="40"/>
      <c r="AL753" s="40"/>
      <c r="AM753" s="40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0"/>
      <c r="BA753" s="40"/>
      <c r="BB753" s="40"/>
      <c r="BC753" s="40"/>
      <c r="BD753" s="40"/>
      <c r="BE753" s="40"/>
      <c r="BF753" s="40"/>
      <c r="BG753" s="40"/>
      <c r="BH753" s="40"/>
      <c r="BI753" s="40"/>
      <c r="BJ753" s="40"/>
      <c r="BK753" s="40"/>
      <c r="BL753" s="40"/>
      <c r="BM753" s="40"/>
      <c r="BN753" s="40"/>
      <c r="BO753" s="40"/>
      <c r="BP753" s="40"/>
      <c r="BQ753" s="40"/>
      <c r="BR753" s="40"/>
      <c r="BS753" s="40"/>
      <c r="BT753" s="40"/>
      <c r="BU753" s="40"/>
      <c r="BV753" s="40"/>
      <c r="BW753" s="40"/>
      <c r="BX753" s="40"/>
      <c r="BY753" s="40"/>
      <c r="BZ753" s="40"/>
      <c r="CA753" s="40"/>
      <c r="CB753" s="40"/>
      <c r="CC753" s="40"/>
      <c r="CD753" s="40"/>
      <c r="CE753" s="40"/>
      <c r="CF753" s="40"/>
      <c r="CG753" s="40"/>
      <c r="CH753" s="40"/>
      <c r="CI753" s="40"/>
      <c r="CJ753" s="40"/>
      <c r="CK753" s="40"/>
      <c r="CL753" s="40"/>
      <c r="CM753" s="40"/>
      <c r="CN753" s="40"/>
      <c r="CO753" s="40"/>
      <c r="CP753" s="40"/>
      <c r="CQ753" s="40"/>
      <c r="CR753" s="40"/>
      <c r="CS753" s="40"/>
      <c r="CT753" s="40"/>
      <c r="CU753" s="40"/>
      <c r="CV753" s="40"/>
      <c r="CW753" s="40"/>
      <c r="CX753" s="40"/>
      <c r="CY753" s="40"/>
      <c r="CZ753" s="40"/>
      <c r="DA753" s="40"/>
      <c r="DB753" s="40"/>
      <c r="DC753" s="40"/>
      <c r="DD753" s="40"/>
      <c r="DE753" s="40"/>
      <c r="DF753" s="40"/>
      <c r="DG753" s="40"/>
      <c r="DH753" s="40"/>
      <c r="DI753" s="40"/>
      <c r="DJ753" s="40"/>
      <c r="DK753" s="40"/>
      <c r="DL753" s="40"/>
      <c r="DM753" s="40"/>
      <c r="IH753" s="32"/>
      <c r="II753" s="32"/>
      <c r="IJ753" s="32"/>
      <c r="IK753" s="32"/>
      <c r="IL753" s="32"/>
      <c r="IM753" s="32"/>
    </row>
    <row r="754" spans="1:247" s="28" customFormat="1" ht="20.25" customHeight="1" x14ac:dyDescent="0.25">
      <c r="A754" s="75">
        <v>39338</v>
      </c>
      <c r="B754" s="76">
        <v>367.9</v>
      </c>
      <c r="C754" s="76">
        <f t="shared" si="511"/>
        <v>366.98025000000001</v>
      </c>
      <c r="D754" s="76">
        <f t="shared" si="515"/>
        <v>368.81974999999994</v>
      </c>
      <c r="E754" s="78">
        <f>4806.907/1800.553*100</f>
        <v>266.96837027291059</v>
      </c>
      <c r="F754" s="76">
        <v>4806.9070000000002</v>
      </c>
      <c r="G754" s="84"/>
      <c r="H754" s="78">
        <v>146.31879256034941</v>
      </c>
      <c r="I754" s="78">
        <v>144.82117258744364</v>
      </c>
      <c r="J754" s="79">
        <f t="shared" si="516"/>
        <v>204.98939060786302</v>
      </c>
      <c r="K754" s="80">
        <v>486372.46309999999</v>
      </c>
      <c r="L754" s="83">
        <f t="shared" si="514"/>
        <v>178.93642917448997</v>
      </c>
      <c r="M754" s="22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IH754" s="32"/>
      <c r="II754" s="32"/>
      <c r="IJ754" s="32"/>
      <c r="IK754" s="32"/>
      <c r="IL754" s="32"/>
      <c r="IM754" s="32"/>
    </row>
    <row r="755" spans="1:247" s="28" customFormat="1" ht="20.25" customHeight="1" x14ac:dyDescent="0.25">
      <c r="A755" s="75">
        <v>39331</v>
      </c>
      <c r="B755" s="76">
        <v>364.24</v>
      </c>
      <c r="C755" s="76">
        <f t="shared" si="511"/>
        <v>363.32940000000002</v>
      </c>
      <c r="D755" s="76">
        <f>1.0025*B755</f>
        <v>365.1506</v>
      </c>
      <c r="E755" s="78">
        <f>4787.971/1800.553*100</f>
        <v>265.91669337142531</v>
      </c>
      <c r="F755" s="76">
        <v>4787.9709999999995</v>
      </c>
      <c r="G755" s="84"/>
      <c r="H755" s="78">
        <v>145.6303093934801</v>
      </c>
      <c r="I755" s="78">
        <v>144.712911668803</v>
      </c>
      <c r="J755" s="79">
        <f t="shared" si="516"/>
        <v>204.10332498580362</v>
      </c>
      <c r="K755" s="80">
        <v>464484.99859999999</v>
      </c>
      <c r="L755" s="83">
        <f t="shared" si="514"/>
        <v>169.18401589006399</v>
      </c>
      <c r="M755" s="22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IH755" s="32"/>
      <c r="II755" s="32"/>
      <c r="IJ755" s="32"/>
      <c r="IK755" s="32"/>
      <c r="IL755" s="32"/>
      <c r="IM755" s="32"/>
    </row>
    <row r="756" spans="1:247" s="40" customFormat="1" ht="20.25" customHeight="1" x14ac:dyDescent="0.25">
      <c r="A756" s="75">
        <v>39324</v>
      </c>
      <c r="B756" s="76">
        <v>359.77</v>
      </c>
      <c r="C756" s="76">
        <f t="shared" si="511"/>
        <v>358.87057499999997</v>
      </c>
      <c r="D756" s="76">
        <f>1.0025*B756</f>
        <v>360.66942499999999</v>
      </c>
      <c r="E756" s="78">
        <f>4716.052/1800.553*100</f>
        <v>261.92242050081279</v>
      </c>
      <c r="F756" s="76">
        <v>4716.0519999999997</v>
      </c>
      <c r="G756" s="84"/>
      <c r="H756" s="78">
        <v>145.17243385362977</v>
      </c>
      <c r="I756" s="78">
        <v>144.6026124606048</v>
      </c>
      <c r="J756" s="79">
        <f t="shared" si="516"/>
        <v>202.24230710660157</v>
      </c>
      <c r="K756" s="80">
        <v>461101.91609999997</v>
      </c>
      <c r="L756" s="83">
        <f t="shared" si="514"/>
        <v>165.89063635529698</v>
      </c>
      <c r="M756" s="22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  <c r="CW756" s="28"/>
      <c r="CX756" s="28"/>
      <c r="CY756" s="28"/>
      <c r="CZ756" s="28"/>
      <c r="DA756" s="28"/>
      <c r="DB756" s="28"/>
      <c r="DC756" s="28"/>
      <c r="DD756" s="28"/>
      <c r="DE756" s="28"/>
      <c r="DF756" s="28"/>
      <c r="DG756" s="28"/>
      <c r="DH756" s="28"/>
      <c r="DI756" s="28"/>
      <c r="DJ756" s="28"/>
      <c r="DK756" s="28"/>
      <c r="DL756" s="28"/>
      <c r="DM756" s="28"/>
      <c r="IH756" s="41"/>
      <c r="II756" s="41"/>
      <c r="IJ756" s="41"/>
      <c r="IK756" s="41"/>
      <c r="IL756" s="41"/>
      <c r="IM756" s="41"/>
    </row>
    <row r="757" spans="1:247" s="28" customFormat="1" ht="20.25" customHeight="1" x14ac:dyDescent="0.25">
      <c r="A757" s="75">
        <v>39317</v>
      </c>
      <c r="B757" s="76">
        <v>353.16890000000001</v>
      </c>
      <c r="C757" s="76">
        <f t="shared" si="511"/>
        <v>352.28597775000003</v>
      </c>
      <c r="D757" s="76">
        <f>1.0025*B757</f>
        <v>354.05182224999999</v>
      </c>
      <c r="E757" s="78">
        <f>4713.384/1800.553*100</f>
        <v>261.77424380176535</v>
      </c>
      <c r="F757" s="76">
        <v>4713.384</v>
      </c>
      <c r="G757" s="84"/>
      <c r="H757" s="78">
        <v>144.80514133267704</v>
      </c>
      <c r="I757" s="78">
        <v>144.49535880114618</v>
      </c>
      <c r="J757" s="79">
        <f t="shared" si="516"/>
        <v>201.92906382229489</v>
      </c>
      <c r="K757" s="80">
        <v>455453.03</v>
      </c>
      <c r="L757" s="83">
        <f t="shared" si="514"/>
        <v>160.851845606767</v>
      </c>
      <c r="M757" s="22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IH757" s="32"/>
      <c r="II757" s="32"/>
      <c r="IJ757" s="32"/>
      <c r="IK757" s="32"/>
      <c r="IL757" s="32"/>
      <c r="IM757" s="32"/>
    </row>
    <row r="758" spans="1:247" s="28" customFormat="1" ht="20.25" customHeight="1" x14ac:dyDescent="0.25">
      <c r="A758" s="75">
        <v>39310</v>
      </c>
      <c r="B758" s="76">
        <v>351.82574799999998</v>
      </c>
      <c r="C758" s="76">
        <f t="shared" si="511"/>
        <v>350.94618363000001</v>
      </c>
      <c r="D758" s="76">
        <f>1.0025*B758</f>
        <v>352.70531236999994</v>
      </c>
      <c r="E758" s="78">
        <f>4507.874/1800.553*100</f>
        <v>250.36052812663661</v>
      </c>
      <c r="F758" s="76">
        <v>4507.8739999999998</v>
      </c>
      <c r="G758" s="84"/>
      <c r="H758" s="78">
        <v>144.5858371913956</v>
      </c>
      <c r="I758" s="78">
        <v>144.38805395087073</v>
      </c>
      <c r="J758" s="79">
        <f t="shared" si="516"/>
        <v>197.28248014443452</v>
      </c>
      <c r="K758" s="80">
        <v>444286.41850000003</v>
      </c>
      <c r="L758" s="83">
        <f t="shared" si="514"/>
        <v>156.31140151500352</v>
      </c>
      <c r="M758" s="22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IH758" s="32"/>
      <c r="II758" s="32"/>
      <c r="IJ758" s="32"/>
      <c r="IK758" s="32"/>
      <c r="IL758" s="32"/>
      <c r="IM758" s="32"/>
    </row>
    <row r="759" spans="1:247" s="28" customFormat="1" ht="20.25" customHeight="1" x14ac:dyDescent="0.25">
      <c r="A759" s="75">
        <v>39303</v>
      </c>
      <c r="B759" s="76">
        <v>348.49715600000002</v>
      </c>
      <c r="C759" s="76">
        <f t="shared" si="511"/>
        <v>347.62591311000006</v>
      </c>
      <c r="D759" s="76">
        <f>1.0025*B759</f>
        <v>349.36839888999998</v>
      </c>
      <c r="E759" s="78">
        <f>4754.525/1800.553*100</f>
        <v>264.05915293801399</v>
      </c>
      <c r="F759" s="76">
        <v>4754.5249999999996</v>
      </c>
      <c r="G759" s="84"/>
      <c r="H759" s="78">
        <v>144.60463435413442</v>
      </c>
      <c r="I759" s="78">
        <v>144.2795769556501</v>
      </c>
      <c r="J759" s="79">
        <f t="shared" si="516"/>
        <v>202.5494854719891</v>
      </c>
      <c r="K759" s="80">
        <v>441459.91600000003</v>
      </c>
      <c r="L759" s="83">
        <f t="shared" si="514"/>
        <v>153.84752521399892</v>
      </c>
      <c r="M759" s="22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IH759" s="32"/>
      <c r="II759" s="32"/>
      <c r="IJ759" s="32"/>
      <c r="IK759" s="32"/>
      <c r="IL759" s="32"/>
      <c r="IM759" s="32"/>
    </row>
    <row r="760" spans="1:247" s="28" customFormat="1" ht="20.25" customHeight="1" x14ac:dyDescent="0.25">
      <c r="A760" s="75">
        <v>39296</v>
      </c>
      <c r="B760" s="76">
        <v>345.384253</v>
      </c>
      <c r="C760" s="76">
        <f t="shared" si="511"/>
        <v>344.52079236750001</v>
      </c>
      <c r="D760" s="76">
        <f t="shared" ref="D760:D765" si="517">1.0025*B760</f>
        <v>346.24771363249999</v>
      </c>
      <c r="E760" s="78">
        <f>4781.58/1800.553*100</f>
        <v>265.56174686332474</v>
      </c>
      <c r="F760" s="76">
        <v>4781.58</v>
      </c>
      <c r="G760" s="84"/>
      <c r="H760" s="78">
        <v>144.46888371794515</v>
      </c>
      <c r="I760" s="78">
        <v>144.16317930845076</v>
      </c>
      <c r="J760" s="79">
        <f t="shared" si="516"/>
        <v>203.02848229224244</v>
      </c>
      <c r="K760" s="80">
        <v>441459.91600000003</v>
      </c>
      <c r="L760" s="83">
        <f t="shared" si="514"/>
        <v>152.47330331710276</v>
      </c>
      <c r="M760" s="22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IH760" s="32"/>
      <c r="II760" s="32"/>
      <c r="IJ760" s="32"/>
      <c r="IK760" s="32"/>
      <c r="IL760" s="32"/>
      <c r="IM760" s="32"/>
    </row>
    <row r="761" spans="1:247" s="28" customFormat="1" ht="20.25" customHeight="1" x14ac:dyDescent="0.25">
      <c r="A761" s="75">
        <v>39289</v>
      </c>
      <c r="B761" s="76">
        <v>350.41854499999999</v>
      </c>
      <c r="C761" s="76">
        <f t="shared" si="511"/>
        <v>349.54249863749999</v>
      </c>
      <c r="D761" s="76">
        <f t="shared" si="517"/>
        <v>351.2945913625</v>
      </c>
      <c r="E761" s="78">
        <f>4822.676/1800.553*100</f>
        <v>267.84415676739314</v>
      </c>
      <c r="F761" s="76">
        <v>4822.6760000000004</v>
      </c>
      <c r="G761" s="84"/>
      <c r="H761" s="78">
        <v>144.64143298349327</v>
      </c>
      <c r="I761" s="78">
        <v>144.04662713728897</v>
      </c>
      <c r="J761" s="79">
        <f t="shared" si="516"/>
        <v>204.01944093488316</v>
      </c>
      <c r="K761" s="80">
        <v>438613.20240000001</v>
      </c>
      <c r="L761" s="83">
        <f t="shared" si="514"/>
        <v>153.69820020279852</v>
      </c>
      <c r="M761" s="22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IH761" s="32"/>
      <c r="II761" s="32"/>
      <c r="IJ761" s="32"/>
      <c r="IK761" s="32"/>
      <c r="IL761" s="32"/>
      <c r="IM761" s="32"/>
    </row>
    <row r="762" spans="1:247" s="28" customFormat="1" ht="20.25" customHeight="1" x14ac:dyDescent="0.25">
      <c r="A762" s="75">
        <v>39282</v>
      </c>
      <c r="B762" s="76">
        <v>342.06176699999997</v>
      </c>
      <c r="C762" s="76">
        <f t="shared" si="511"/>
        <v>341.20661258249999</v>
      </c>
      <c r="D762" s="76">
        <f t="shared" si="517"/>
        <v>342.91692141749996</v>
      </c>
      <c r="E762" s="78">
        <f>5053.601/1800.553*100</f>
        <v>280.6693832394825</v>
      </c>
      <c r="F762" s="76">
        <v>5053.6009999999997</v>
      </c>
      <c r="G762" s="84"/>
      <c r="H762" s="78">
        <v>144.06714603045586</v>
      </c>
      <c r="I762" s="78">
        <v>143.92925696866166</v>
      </c>
      <c r="J762" s="79">
        <f t="shared" si="516"/>
        <v>208.36477303884226</v>
      </c>
      <c r="K762" s="80">
        <v>438713.20240000001</v>
      </c>
      <c r="L762" s="83">
        <f t="shared" si="514"/>
        <v>150.06701321917262</v>
      </c>
      <c r="M762" s="22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IH762" s="32"/>
      <c r="II762" s="32"/>
      <c r="IJ762" s="32"/>
      <c r="IK762" s="32"/>
      <c r="IL762" s="32"/>
      <c r="IM762" s="32"/>
    </row>
    <row r="763" spans="1:247" s="28" customFormat="1" ht="20.25" customHeight="1" x14ac:dyDescent="0.25">
      <c r="A763" s="75">
        <v>39275</v>
      </c>
      <c r="B763" s="76">
        <v>339.88767899999999</v>
      </c>
      <c r="C763" s="76">
        <f t="shared" si="511"/>
        <v>339.03795980249998</v>
      </c>
      <c r="D763" s="76">
        <f t="shared" si="517"/>
        <v>340.7373981975</v>
      </c>
      <c r="E763" s="78">
        <f>5026.569/1800.553*100</f>
        <v>279.16806669950847</v>
      </c>
      <c r="F763" s="76">
        <v>5026.5690000000004</v>
      </c>
      <c r="G763" s="84"/>
      <c r="H763" s="78">
        <v>143.7084172750499</v>
      </c>
      <c r="I763" s="78">
        <v>143.81062521990748</v>
      </c>
      <c r="J763" s="79">
        <f t="shared" si="516"/>
        <v>207.54765276259019</v>
      </c>
      <c r="K763" s="80">
        <v>438713.20240000001</v>
      </c>
      <c r="L763" s="83">
        <f t="shared" si="514"/>
        <v>149.11321211039322</v>
      </c>
      <c r="M763" s="22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IH763" s="32"/>
      <c r="II763" s="32"/>
      <c r="IJ763" s="32"/>
      <c r="IK763" s="32"/>
      <c r="IL763" s="32"/>
      <c r="IM763" s="32"/>
    </row>
    <row r="764" spans="1:247" s="28" customFormat="1" ht="20.25" customHeight="1" x14ac:dyDescent="0.25">
      <c r="A764" s="75">
        <v>39268</v>
      </c>
      <c r="B764" s="76">
        <v>338.860705</v>
      </c>
      <c r="C764" s="76">
        <f t="shared" si="511"/>
        <v>338.01355323749999</v>
      </c>
      <c r="D764" s="76">
        <f t="shared" si="517"/>
        <v>339.7078567625</v>
      </c>
      <c r="E764" s="78">
        <f>4957.965/1800.553*100</f>
        <v>275.35790393284725</v>
      </c>
      <c r="F764" s="76">
        <v>4957.9650000000001</v>
      </c>
      <c r="G764" s="84"/>
      <c r="H764" s="78">
        <v>142.86880140555559</v>
      </c>
      <c r="I764" s="78">
        <v>143.69260235220065</v>
      </c>
      <c r="J764" s="79">
        <f t="shared" si="516"/>
        <v>205.52182818989826</v>
      </c>
      <c r="K764" s="80">
        <v>438943.59149999998</v>
      </c>
      <c r="L764" s="83">
        <f t="shared" si="514"/>
        <v>148.74073487092201</v>
      </c>
      <c r="M764" s="22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IH764" s="32"/>
      <c r="II764" s="32"/>
      <c r="IJ764" s="32"/>
      <c r="IK764" s="32"/>
      <c r="IL764" s="32"/>
      <c r="IM764" s="32"/>
    </row>
    <row r="765" spans="1:247" s="28" customFormat="1" ht="20.25" customHeight="1" x14ac:dyDescent="0.25">
      <c r="A765" s="75">
        <v>39261</v>
      </c>
      <c r="B765" s="76">
        <v>339.79753299999999</v>
      </c>
      <c r="C765" s="76">
        <f t="shared" si="511"/>
        <v>338.94803916749999</v>
      </c>
      <c r="D765" s="76">
        <f t="shared" si="517"/>
        <v>340.64702683249999</v>
      </c>
      <c r="E765" s="78">
        <f>4871.534/1800.553*100</f>
        <v>270.55765645332292</v>
      </c>
      <c r="F765" s="76">
        <v>4871.5339999999997</v>
      </c>
      <c r="G765" s="84"/>
      <c r="H765" s="78">
        <v>142.25034715287921</v>
      </c>
      <c r="I765" s="78">
        <v>143.57526166977354</v>
      </c>
      <c r="J765" s="79">
        <f t="shared" si="516"/>
        <v>203.27666821211085</v>
      </c>
      <c r="K765" s="80">
        <v>439128.44</v>
      </c>
      <c r="L765" s="83">
        <f t="shared" si="514"/>
        <v>149.2147605821385</v>
      </c>
      <c r="M765" s="22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IH765" s="32"/>
      <c r="II765" s="32"/>
      <c r="IJ765" s="32"/>
      <c r="IK765" s="32"/>
      <c r="IL765" s="32"/>
      <c r="IM765" s="32"/>
    </row>
    <row r="766" spans="1:247" s="28" customFormat="1" ht="20.25" customHeight="1" x14ac:dyDescent="0.25">
      <c r="A766" s="75">
        <v>39254</v>
      </c>
      <c r="B766" s="76">
        <v>337.431535</v>
      </c>
      <c r="C766" s="76">
        <f t="shared" si="511"/>
        <v>336.58795616250001</v>
      </c>
      <c r="D766" s="76">
        <f>1.0025*B766</f>
        <v>338.27511383749999</v>
      </c>
      <c r="E766" s="78">
        <f>4912.675/1800.553*100</f>
        <v>272.84256558957168</v>
      </c>
      <c r="F766" s="76">
        <v>4912.6750000000002</v>
      </c>
      <c r="G766" s="84"/>
      <c r="H766" s="78">
        <v>141.81462304132677</v>
      </c>
      <c r="I766" s="78">
        <v>143.45951022020665</v>
      </c>
      <c r="J766" s="79">
        <f t="shared" si="516"/>
        <v>203.81698390120869</v>
      </c>
      <c r="K766" s="80">
        <v>446079.84279999998</v>
      </c>
      <c r="L766" s="83">
        <f t="shared" si="514"/>
        <v>150.52140608856268</v>
      </c>
      <c r="M766" s="22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IH766" s="32"/>
      <c r="II766" s="32"/>
      <c r="IJ766" s="32"/>
      <c r="IK766" s="32"/>
      <c r="IL766" s="32"/>
      <c r="IM766" s="32"/>
    </row>
    <row r="767" spans="1:247" s="28" customFormat="1" ht="20.25" customHeight="1" x14ac:dyDescent="0.25">
      <c r="A767" s="75">
        <v>39247</v>
      </c>
      <c r="B767" s="76">
        <v>331.95533999999998</v>
      </c>
      <c r="C767" s="76">
        <f t="shared" si="511"/>
        <v>331.12545165</v>
      </c>
      <c r="D767" s="76">
        <f>1.0025*B767</f>
        <v>332.78522834999995</v>
      </c>
      <c r="E767" s="78">
        <f>4888.948/1800.553*100</f>
        <v>271.52480376861996</v>
      </c>
      <c r="F767" s="76">
        <v>4888.9480000000003</v>
      </c>
      <c r="G767" s="84"/>
      <c r="H767" s="78">
        <v>141.46714378446865</v>
      </c>
      <c r="I767" s="78">
        <v>143.34336831781533</v>
      </c>
      <c r="J767" s="79">
        <f t="shared" si="516"/>
        <v>203.0748018076294</v>
      </c>
      <c r="K767" s="80">
        <v>446079.84279999998</v>
      </c>
      <c r="L767" s="83">
        <f t="shared" si="514"/>
        <v>148.07858588382052</v>
      </c>
      <c r="M767" s="22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IH767" s="32"/>
      <c r="II767" s="32"/>
      <c r="IJ767" s="32"/>
      <c r="IK767" s="32"/>
      <c r="IL767" s="32"/>
      <c r="IM767" s="32"/>
    </row>
    <row r="768" spans="1:247" s="28" customFormat="1" ht="20.25" customHeight="1" x14ac:dyDescent="0.25">
      <c r="A768" s="75">
        <v>39240</v>
      </c>
      <c r="B768" s="76">
        <v>334.97092900000001</v>
      </c>
      <c r="C768" s="76">
        <f t="shared" si="511"/>
        <v>334.13350167750002</v>
      </c>
      <c r="D768" s="76">
        <f>1.0025*B768</f>
        <v>335.8083563225</v>
      </c>
      <c r="E768" s="78">
        <f>4831.962/1800.553*100</f>
        <v>268.35988721242865</v>
      </c>
      <c r="F768" s="76">
        <v>4831.9620000000004</v>
      </c>
      <c r="G768" s="84"/>
      <c r="H768" s="78">
        <v>142.07487011617226</v>
      </c>
      <c r="I768" s="78">
        <v>143.22785391173673</v>
      </c>
      <c r="J768" s="79">
        <f t="shared" si="516"/>
        <v>202.31449932185234</v>
      </c>
      <c r="K768" s="80">
        <v>446142.47850000003</v>
      </c>
      <c r="L768" s="83">
        <f t="shared" si="514"/>
        <v>149.44476048950753</v>
      </c>
      <c r="M768" s="22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IH768" s="32"/>
      <c r="II768" s="32"/>
      <c r="IJ768" s="32"/>
      <c r="IK768" s="32"/>
      <c r="IL768" s="32"/>
      <c r="IM768" s="32"/>
    </row>
    <row r="769" spans="1:247" s="28" customFormat="1" ht="20.25" customHeight="1" x14ac:dyDescent="0.25">
      <c r="A769" s="75">
        <v>39233</v>
      </c>
      <c r="B769" s="76">
        <v>332.19003400000003</v>
      </c>
      <c r="C769" s="76">
        <f t="shared" si="511"/>
        <v>331.35955891500004</v>
      </c>
      <c r="D769" s="76">
        <f>1.0025*B769</f>
        <v>333.02050908500001</v>
      </c>
      <c r="E769" s="78">
        <f>4926.191/1800.553*100</f>
        <v>273.59322385955869</v>
      </c>
      <c r="F769" s="76">
        <v>4926.1909999999998</v>
      </c>
      <c r="G769" s="84"/>
      <c r="H769" s="78">
        <v>141.89480616455955</v>
      </c>
      <c r="I769" s="78">
        <v>143.11260572243782</v>
      </c>
      <c r="J769" s="79">
        <f t="shared" si="516"/>
        <v>204.13736125016106</v>
      </c>
      <c r="K769" s="80">
        <v>449398.69880000001</v>
      </c>
      <c r="L769" s="83">
        <f t="shared" si="514"/>
        <v>149.28576903392778</v>
      </c>
      <c r="M769" s="22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IH769" s="32"/>
      <c r="II769" s="32"/>
      <c r="IJ769" s="32"/>
      <c r="IK769" s="32"/>
      <c r="IL769" s="32"/>
      <c r="IM769" s="32"/>
    </row>
    <row r="770" spans="1:247" s="28" customFormat="1" ht="20.25" customHeight="1" x14ac:dyDescent="0.25">
      <c r="A770" s="75">
        <v>39226</v>
      </c>
      <c r="B770" s="76">
        <v>333.93202700000001</v>
      </c>
      <c r="C770" s="76">
        <f t="shared" si="511"/>
        <v>333.09719693250003</v>
      </c>
      <c r="D770" s="76">
        <f>1.0025*B770</f>
        <v>334.76685706749998</v>
      </c>
      <c r="E770" s="78">
        <f>4862.802/1800.553*100</f>
        <v>270.07269433335199</v>
      </c>
      <c r="F770" s="76">
        <v>4862.8019999999997</v>
      </c>
      <c r="G770" s="84"/>
      <c r="H770" s="78">
        <v>141.81175736577833</v>
      </c>
      <c r="I770" s="78">
        <v>142.99773763392929</v>
      </c>
      <c r="J770" s="79">
        <f t="shared" si="516"/>
        <v>202.75647654466422</v>
      </c>
      <c r="K770" s="80">
        <v>449478.69959999999</v>
      </c>
      <c r="L770" s="83">
        <f t="shared" si="514"/>
        <v>150.09533325075211</v>
      </c>
      <c r="M770" s="22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IH770" s="32"/>
      <c r="II770" s="32"/>
      <c r="IJ770" s="32"/>
      <c r="IK770" s="32"/>
      <c r="IL770" s="32"/>
      <c r="IM770" s="32"/>
    </row>
    <row r="771" spans="1:247" s="28" customFormat="1" ht="20.25" customHeight="1" x14ac:dyDescent="0.25">
      <c r="A771" s="75">
        <v>39219</v>
      </c>
      <c r="B771" s="76">
        <v>334.69796400000001</v>
      </c>
      <c r="C771" s="76">
        <f t="shared" si="511"/>
        <v>333.86121909000002</v>
      </c>
      <c r="D771" s="76">
        <f t="shared" ref="D771:D776" si="518">1.0025*B771</f>
        <v>335.53470891000001</v>
      </c>
      <c r="E771" s="78">
        <f>4853.122/1800.553*100</f>
        <v>269.53508172211536</v>
      </c>
      <c r="F771" s="76">
        <v>4853.1220000000003</v>
      </c>
      <c r="G771" s="84"/>
      <c r="H771" s="78">
        <v>141.81772609629664</v>
      </c>
      <c r="I771" s="78">
        <v>142.88271293968822</v>
      </c>
      <c r="J771" s="79">
        <f t="shared" si="516"/>
        <v>202.55872807903532</v>
      </c>
      <c r="K771" s="80">
        <v>449632.33960000001</v>
      </c>
      <c r="L771" s="83">
        <f t="shared" si="514"/>
        <v>150.49102861267659</v>
      </c>
      <c r="M771" s="22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IH771" s="32"/>
      <c r="II771" s="32"/>
      <c r="IJ771" s="32"/>
      <c r="IK771" s="32"/>
      <c r="IL771" s="32"/>
      <c r="IM771" s="32"/>
    </row>
    <row r="772" spans="1:247" s="28" customFormat="1" ht="20.25" customHeight="1" x14ac:dyDescent="0.25">
      <c r="A772" s="75">
        <v>39212</v>
      </c>
      <c r="B772" s="76">
        <v>335.32886300000001</v>
      </c>
      <c r="C772" s="76">
        <f t="shared" si="511"/>
        <v>334.49054084250002</v>
      </c>
      <c r="D772" s="76">
        <f t="shared" si="518"/>
        <v>336.1671851575</v>
      </c>
      <c r="E772" s="78">
        <f>4815.635/1800.553*100</f>
        <v>267.45311023890991</v>
      </c>
      <c r="F772" s="76">
        <v>4815.6350000000002</v>
      </c>
      <c r="G772" s="84"/>
      <c r="H772" s="78">
        <v>141.96008102908124</v>
      </c>
      <c r="I772" s="78">
        <v>142.76912097289207</v>
      </c>
      <c r="J772" s="79">
        <f t="shared" si="516"/>
        <v>201.87420755920843</v>
      </c>
      <c r="K772" s="80">
        <v>450837.03970000002</v>
      </c>
      <c r="L772" s="83">
        <f t="shared" si="514"/>
        <v>151.17867192088687</v>
      </c>
      <c r="M772" s="22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IH772" s="32"/>
      <c r="II772" s="32"/>
      <c r="IJ772" s="32"/>
      <c r="IK772" s="32"/>
      <c r="IL772" s="32"/>
      <c r="IM772" s="32"/>
    </row>
    <row r="773" spans="1:247" s="28" customFormat="1" ht="20.25" customHeight="1" x14ac:dyDescent="0.25">
      <c r="A773" s="75">
        <v>39205</v>
      </c>
      <c r="B773" s="76">
        <v>333.95433800000001</v>
      </c>
      <c r="C773" s="76">
        <f t="shared" si="511"/>
        <v>333.11945215500003</v>
      </c>
      <c r="D773" s="76">
        <f t="shared" si="518"/>
        <v>334.78922384499998</v>
      </c>
      <c r="E773" s="78">
        <f>4826.408/1800.553*100</f>
        <v>268.05142642288229</v>
      </c>
      <c r="F773" s="76">
        <v>4826.4080000000004</v>
      </c>
      <c r="G773" s="84"/>
      <c r="H773" s="78">
        <v>141.97223698891753</v>
      </c>
      <c r="I773" s="78">
        <v>142.65566203940426</v>
      </c>
      <c r="J773" s="79">
        <f t="shared" si="516"/>
        <v>202.10842260750661</v>
      </c>
      <c r="K773" s="80">
        <v>452358.98800000001</v>
      </c>
      <c r="L773" s="83">
        <f t="shared" si="514"/>
        <v>151.06724637588997</v>
      </c>
      <c r="M773" s="22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IH773" s="32"/>
      <c r="II773" s="32"/>
      <c r="IJ773" s="32"/>
      <c r="IK773" s="32"/>
      <c r="IL773" s="32"/>
      <c r="IM773" s="32"/>
    </row>
    <row r="774" spans="1:247" s="28" customFormat="1" ht="20.25" customHeight="1" x14ac:dyDescent="0.25">
      <c r="A774" s="75">
        <v>39198</v>
      </c>
      <c r="B774" s="76">
        <v>334.281994</v>
      </c>
      <c r="C774" s="76">
        <f t="shared" si="511"/>
        <v>333.44628901499999</v>
      </c>
      <c r="D774" s="76">
        <f t="shared" si="518"/>
        <v>335.117698985</v>
      </c>
      <c r="E774" s="78">
        <f>4809.429/1800.553*100</f>
        <v>267.10843835199518</v>
      </c>
      <c r="F774" s="76">
        <v>4809.4290000000001</v>
      </c>
      <c r="G774" s="84"/>
      <c r="H774" s="78">
        <v>142.18300225454146</v>
      </c>
      <c r="I774" s="78">
        <v>142.541759590509</v>
      </c>
      <c r="J774" s="79">
        <f t="shared" si="516"/>
        <v>201.9016748213663</v>
      </c>
      <c r="K774" s="80">
        <v>451842.78840000002</v>
      </c>
      <c r="L774" s="83">
        <f t="shared" si="514"/>
        <v>151.04290828087207</v>
      </c>
      <c r="M774" s="22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IH774" s="32"/>
      <c r="II774" s="32"/>
      <c r="IJ774" s="32"/>
      <c r="IK774" s="32"/>
      <c r="IL774" s="32"/>
      <c r="IM774" s="32"/>
    </row>
    <row r="775" spans="1:247" s="28" customFormat="1" ht="20.25" customHeight="1" x14ac:dyDescent="0.25">
      <c r="A775" s="75">
        <v>39191</v>
      </c>
      <c r="B775" s="76">
        <v>335.85825499999999</v>
      </c>
      <c r="C775" s="76">
        <f t="shared" si="511"/>
        <v>335.0186093625</v>
      </c>
      <c r="D775" s="76">
        <f t="shared" si="518"/>
        <v>336.69790063749997</v>
      </c>
      <c r="E775" s="78">
        <f>4756.123/1800.553*100</f>
        <v>264.14790344966235</v>
      </c>
      <c r="F775" s="76">
        <v>4756.1229999999996</v>
      </c>
      <c r="G775" s="84"/>
      <c r="H775" s="78">
        <v>142.37643414519198</v>
      </c>
      <c r="I775" s="78">
        <v>142.42749570390345</v>
      </c>
      <c r="J775" s="79">
        <f t="shared" si="516"/>
        <v>200.91225495670736</v>
      </c>
      <c r="K775" s="80">
        <v>452687.65429999999</v>
      </c>
      <c r="L775" s="83">
        <f t="shared" si="514"/>
        <v>152.03888563324125</v>
      </c>
      <c r="M775" s="22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IH775" s="32"/>
      <c r="II775" s="32"/>
      <c r="IJ775" s="32"/>
      <c r="IK775" s="32"/>
      <c r="IL775" s="32"/>
      <c r="IM775" s="32"/>
    </row>
    <row r="776" spans="1:247" s="28" customFormat="1" ht="20.25" customHeight="1" x14ac:dyDescent="0.25">
      <c r="A776" s="75">
        <v>39184</v>
      </c>
      <c r="B776" s="76">
        <v>331.969043</v>
      </c>
      <c r="C776" s="76">
        <f t="shared" si="511"/>
        <v>331.13912039249999</v>
      </c>
      <c r="D776" s="76">
        <f t="shared" si="518"/>
        <v>332.79896560750001</v>
      </c>
      <c r="E776" s="78">
        <f>4691.265/1800.553*100</f>
        <v>260.54578787739098</v>
      </c>
      <c r="F776" s="76">
        <v>4691.2650000000003</v>
      </c>
      <c r="G776" s="84"/>
      <c r="H776" s="78">
        <v>141.62933939041335</v>
      </c>
      <c r="I776" s="78">
        <v>142.31352011978996</v>
      </c>
      <c r="J776" s="79">
        <f t="shared" si="516"/>
        <v>199.01166679136412</v>
      </c>
      <c r="K776" s="80">
        <v>452876.42489999998</v>
      </c>
      <c r="L776" s="83">
        <f t="shared" si="514"/>
        <v>150.34095337131438</v>
      </c>
      <c r="M776" s="22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IH776" s="32"/>
      <c r="II776" s="32"/>
      <c r="IJ776" s="32"/>
      <c r="IK776" s="32"/>
      <c r="IL776" s="32"/>
      <c r="IM776" s="32"/>
    </row>
    <row r="777" spans="1:247" s="28" customFormat="1" ht="20.25" customHeight="1" x14ac:dyDescent="0.25">
      <c r="A777" s="75">
        <v>39177</v>
      </c>
      <c r="B777" s="76">
        <v>329.70696199999998</v>
      </c>
      <c r="C777" s="76">
        <f t="shared" si="511"/>
        <v>328.88269459499998</v>
      </c>
      <c r="D777" s="76">
        <f>1.0025*B777</f>
        <v>330.53122940499998</v>
      </c>
      <c r="E777" s="78">
        <f>4670.053/1800.553*100</f>
        <v>259.36770536607361</v>
      </c>
      <c r="F777" s="76">
        <v>4670.0529999999999</v>
      </c>
      <c r="G777" s="84"/>
      <c r="H777" s="78">
        <v>141.39683616898401</v>
      </c>
      <c r="I777" s="78">
        <v>142.19932918861147</v>
      </c>
      <c r="J777" s="79">
        <f t="shared" si="516"/>
        <v>198.397975848561</v>
      </c>
      <c r="K777" s="80">
        <v>454116.23359999998</v>
      </c>
      <c r="L777" s="83">
        <f t="shared" si="514"/>
        <v>149.72528377513831</v>
      </c>
      <c r="M777" s="22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IH777" s="32"/>
      <c r="II777" s="32"/>
      <c r="IJ777" s="32"/>
      <c r="IK777" s="32"/>
      <c r="IL777" s="32"/>
      <c r="IM777" s="32"/>
    </row>
    <row r="778" spans="1:247" s="28" customFormat="1" ht="20.25" customHeight="1" x14ac:dyDescent="0.25">
      <c r="A778" s="75">
        <v>39171</v>
      </c>
      <c r="B778" s="76">
        <v>330.14</v>
      </c>
      <c r="C778" s="76">
        <f t="shared" si="511"/>
        <v>329.31465000000003</v>
      </c>
      <c r="D778" s="76">
        <f>1.0025*B778</f>
        <v>330.96534999999994</v>
      </c>
      <c r="E778" s="78">
        <f>4582.512/1800.553*100</f>
        <v>254.50581015943433</v>
      </c>
      <c r="F778" s="76">
        <v>4582.5119999999997</v>
      </c>
      <c r="G778" s="84"/>
      <c r="H778" s="78">
        <v>141.17438399167401</v>
      </c>
      <c r="I778" s="78">
        <v>142.18794963635099</v>
      </c>
      <c r="J778" s="79">
        <f t="shared" si="516"/>
        <v>196.36763231514252</v>
      </c>
      <c r="K778" s="80">
        <v>454116.23359999998</v>
      </c>
      <c r="L778" s="83">
        <f t="shared" si="514"/>
        <v>149.92193336070397</v>
      </c>
      <c r="M778" s="22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IH778" s="32"/>
      <c r="II778" s="32"/>
      <c r="IJ778" s="32"/>
      <c r="IK778" s="32"/>
      <c r="IL778" s="32"/>
      <c r="IM778" s="32"/>
    </row>
    <row r="779" spans="1:247" s="28" customFormat="1" ht="20.25" customHeight="1" x14ac:dyDescent="0.25">
      <c r="A779" s="75">
        <v>39170</v>
      </c>
      <c r="B779" s="76">
        <v>328.90974799999998</v>
      </c>
      <c r="C779" s="76">
        <f t="shared" si="511"/>
        <v>328.08747362999998</v>
      </c>
      <c r="D779" s="76">
        <f>1.0025*B779</f>
        <v>329.73202236999998</v>
      </c>
      <c r="E779" s="78">
        <f>4587.331/1800.553*100</f>
        <v>254.77345015670184</v>
      </c>
      <c r="F779" s="76">
        <v>4587.3310000000001</v>
      </c>
      <c r="G779" s="84"/>
      <c r="H779" s="78">
        <v>141.07379993915524</v>
      </c>
      <c r="I779" s="78">
        <v>142.08802774365722</v>
      </c>
      <c r="J779" s="79">
        <f t="shared" si="516"/>
        <v>196.40077622484287</v>
      </c>
      <c r="K779" s="80">
        <v>454116.23359999998</v>
      </c>
      <c r="L779" s="83">
        <f t="shared" si="514"/>
        <v>149.36325595608511</v>
      </c>
      <c r="M779" s="22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IH779" s="32"/>
      <c r="II779" s="32"/>
      <c r="IJ779" s="32"/>
      <c r="IK779" s="32"/>
      <c r="IL779" s="32"/>
      <c r="IM779" s="32"/>
    </row>
    <row r="780" spans="1:247" s="28" customFormat="1" ht="20.25" customHeight="1" x14ac:dyDescent="0.25">
      <c r="A780" s="75">
        <v>39163</v>
      </c>
      <c r="B780" s="76">
        <v>327.09461499999998</v>
      </c>
      <c r="C780" s="76">
        <f t="shared" si="511"/>
        <v>326.27687846250001</v>
      </c>
      <c r="D780" s="76">
        <f>1.0025*B780</f>
        <v>327.91235153749994</v>
      </c>
      <c r="E780" s="78">
        <f>4609.979/1800.553*100</f>
        <v>256.03128594381838</v>
      </c>
      <c r="F780" s="76">
        <v>4609.9790000000003</v>
      </c>
      <c r="G780" s="84"/>
      <c r="H780" s="78">
        <v>140.97321588663624</v>
      </c>
      <c r="I780" s="78">
        <v>141.98810585096351</v>
      </c>
      <c r="J780" s="79">
        <f t="shared" si="516"/>
        <v>196.8140190467127</v>
      </c>
      <c r="K780" s="80">
        <v>454474.13050000003</v>
      </c>
      <c r="L780" s="83">
        <f t="shared" si="514"/>
        <v>148.65604074335724</v>
      </c>
      <c r="M780" s="22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IH780" s="32"/>
      <c r="II780" s="32"/>
      <c r="IJ780" s="32"/>
      <c r="IK780" s="32"/>
      <c r="IL780" s="32"/>
      <c r="IM780" s="32"/>
    </row>
    <row r="781" spans="1:247" s="28" customFormat="1" ht="20.25" customHeight="1" x14ac:dyDescent="0.25">
      <c r="A781" s="75">
        <v>39156</v>
      </c>
      <c r="B781" s="76">
        <v>327.48859099999999</v>
      </c>
      <c r="C781" s="76">
        <f t="shared" si="511"/>
        <v>326.66986952249999</v>
      </c>
      <c r="D781" s="76">
        <f>1.0025*B781</f>
        <v>328.30731247749998</v>
      </c>
      <c r="E781" s="78">
        <f>4446.862/1800.553*100</f>
        <v>246.97201359804458</v>
      </c>
      <c r="F781" s="76">
        <v>4446.8620000000001</v>
      </c>
      <c r="G781" s="84"/>
      <c r="H781" s="78">
        <v>140.51659626133994</v>
      </c>
      <c r="I781" s="78">
        <v>141.87470481635705</v>
      </c>
      <c r="J781" s="79">
        <f t="shared" si="516"/>
        <v>192.96145199476624</v>
      </c>
      <c r="K781" s="80">
        <v>455069.9191</v>
      </c>
      <c r="L781" s="83">
        <f t="shared" si="514"/>
        <v>149.030206612543</v>
      </c>
      <c r="M781" s="22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IH781" s="32"/>
      <c r="II781" s="32"/>
      <c r="IJ781" s="32"/>
      <c r="IK781" s="32"/>
      <c r="IL781" s="32"/>
      <c r="IM781" s="32"/>
    </row>
    <row r="782" spans="1:247" s="28" customFormat="1" ht="20.25" customHeight="1" x14ac:dyDescent="0.25">
      <c r="A782" s="75">
        <v>39149</v>
      </c>
      <c r="B782" s="76">
        <v>327.66601500000002</v>
      </c>
      <c r="C782" s="76">
        <f t="shared" si="511"/>
        <v>326.84684996250002</v>
      </c>
      <c r="D782" s="76">
        <f t="shared" ref="D782:D787" si="519">1.0025*B782</f>
        <v>328.48518003750002</v>
      </c>
      <c r="E782" s="78">
        <f>4481.433/1800.553*100</f>
        <v>248.89203483596427</v>
      </c>
      <c r="F782" s="76">
        <v>4481.433</v>
      </c>
      <c r="G782" s="84"/>
      <c r="H782" s="78">
        <v>140.13107675545709</v>
      </c>
      <c r="I782" s="78">
        <v>141.7610496774719</v>
      </c>
      <c r="J782" s="79">
        <f t="shared" si="516"/>
        <v>193.44149045547695</v>
      </c>
      <c r="K782" s="80">
        <v>455069.9191</v>
      </c>
      <c r="L782" s="83">
        <f t="shared" si="514"/>
        <v>149.11094693786939</v>
      </c>
      <c r="M782" s="22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IH782" s="32"/>
      <c r="II782" s="32"/>
      <c r="IJ782" s="32"/>
      <c r="IK782" s="32"/>
      <c r="IL782" s="32"/>
      <c r="IM782" s="32"/>
    </row>
    <row r="783" spans="1:247" s="28" customFormat="1" ht="20.25" customHeight="1" x14ac:dyDescent="0.25">
      <c r="A783" s="75">
        <v>39142</v>
      </c>
      <c r="B783" s="76">
        <v>328.16351900000001</v>
      </c>
      <c r="C783" s="76">
        <f t="shared" si="511"/>
        <v>327.34311020250004</v>
      </c>
      <c r="D783" s="76">
        <f t="shared" si="519"/>
        <v>328.98392779749997</v>
      </c>
      <c r="E783" s="78">
        <f>4471.281/1800.553*100</f>
        <v>248.32820805608051</v>
      </c>
      <c r="F783" s="76">
        <v>4471.2809999999999</v>
      </c>
      <c r="G783" s="84"/>
      <c r="H783" s="78">
        <v>140.30167837309253</v>
      </c>
      <c r="I783" s="78">
        <v>141.64830024999625</v>
      </c>
      <c r="J783" s="79">
        <f t="shared" si="516"/>
        <v>193.33954951979439</v>
      </c>
      <c r="K783" s="80">
        <v>455872.62540000002</v>
      </c>
      <c r="L783" s="83">
        <f t="shared" si="514"/>
        <v>149.6007649670328</v>
      </c>
      <c r="M783" s="22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IH783" s="32"/>
      <c r="II783" s="32"/>
      <c r="IJ783" s="32"/>
      <c r="IK783" s="32"/>
      <c r="IL783" s="32"/>
      <c r="IM783" s="32"/>
    </row>
    <row r="784" spans="1:247" s="28" customFormat="1" ht="20.25" customHeight="1" x14ac:dyDescent="0.25">
      <c r="A784" s="75">
        <v>39135</v>
      </c>
      <c r="B784" s="76">
        <v>326.67202600000002</v>
      </c>
      <c r="C784" s="76">
        <f t="shared" si="511"/>
        <v>325.85534593500006</v>
      </c>
      <c r="D784" s="76">
        <f t="shared" si="519"/>
        <v>327.48870606499997</v>
      </c>
      <c r="E784" s="78">
        <f>4633.394/1800.553*100</f>
        <v>257.33171975498641</v>
      </c>
      <c r="F784" s="76">
        <v>4633.3940000000002</v>
      </c>
      <c r="G784" s="84"/>
      <c r="H784" s="78">
        <v>139.30389940684483</v>
      </c>
      <c r="I784" s="78">
        <v>141.53532723650611</v>
      </c>
      <c r="J784" s="79">
        <f t="shared" si="516"/>
        <v>196.06737143102021</v>
      </c>
      <c r="K784" s="80">
        <v>459526.65549999999</v>
      </c>
      <c r="L784" s="83">
        <f t="shared" si="514"/>
        <v>150.11450355318905</v>
      </c>
      <c r="M784" s="22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IH784" s="32"/>
      <c r="II784" s="32"/>
      <c r="IJ784" s="32"/>
      <c r="IK784" s="32"/>
      <c r="IL784" s="32"/>
      <c r="IM784" s="32"/>
    </row>
    <row r="785" spans="1:247" s="28" customFormat="1" ht="20.25" customHeight="1" x14ac:dyDescent="0.25">
      <c r="A785" s="75">
        <v>39128</v>
      </c>
      <c r="B785" s="76">
        <v>325.12776400000001</v>
      </c>
      <c r="C785" s="76">
        <f t="shared" si="511"/>
        <v>324.31494459000004</v>
      </c>
      <c r="D785" s="76">
        <f t="shared" si="519"/>
        <v>325.94058340999999</v>
      </c>
      <c r="E785" s="78">
        <f>4641.042/1800.553*100</f>
        <v>257.75647814865766</v>
      </c>
      <c r="F785" s="76">
        <v>4641.0420000000004</v>
      </c>
      <c r="G785" s="84"/>
      <c r="H785" s="78">
        <v>139.61234283996151</v>
      </c>
      <c r="I785" s="78">
        <v>141.42167332128483</v>
      </c>
      <c r="J785" s="79">
        <f t="shared" si="516"/>
        <v>196.44623672358989</v>
      </c>
      <c r="K785" s="80">
        <v>459855.20909999998</v>
      </c>
      <c r="L785" s="83">
        <f t="shared" si="514"/>
        <v>149.51169589843545</v>
      </c>
      <c r="M785" s="22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IH785" s="32"/>
      <c r="II785" s="32"/>
      <c r="IJ785" s="32"/>
      <c r="IK785" s="32"/>
      <c r="IL785" s="32"/>
      <c r="IM785" s="32"/>
    </row>
    <row r="786" spans="1:247" s="28" customFormat="1" ht="20.25" customHeight="1" x14ac:dyDescent="0.25">
      <c r="A786" s="75">
        <v>39121</v>
      </c>
      <c r="B786" s="76">
        <v>321.31544500000001</v>
      </c>
      <c r="C786" s="76">
        <f t="shared" si="511"/>
        <v>320.51215638750006</v>
      </c>
      <c r="D786" s="76">
        <f t="shared" si="519"/>
        <v>322.11873361249997</v>
      </c>
      <c r="E786" s="78">
        <f>4572.555/1800.553*100</f>
        <v>253.95281338566539</v>
      </c>
      <c r="F786" s="76">
        <v>4572.5550000000003</v>
      </c>
      <c r="G786" s="84"/>
      <c r="H786" s="78">
        <v>138.96464198912741</v>
      </c>
      <c r="I786" s="78">
        <v>141.30868270502037</v>
      </c>
      <c r="J786" s="79">
        <f t="shared" si="516"/>
        <v>194.53601516671819</v>
      </c>
      <c r="K786" s="80">
        <v>463574.4621</v>
      </c>
      <c r="L786" s="83">
        <f t="shared" si="514"/>
        <v>148.95363458029715</v>
      </c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IH786" s="32"/>
      <c r="II786" s="32"/>
      <c r="IJ786" s="32"/>
      <c r="IK786" s="32"/>
      <c r="IL786" s="32"/>
      <c r="IM786" s="32"/>
    </row>
    <row r="787" spans="1:247" s="28" customFormat="1" ht="20.25" customHeight="1" x14ac:dyDescent="0.25">
      <c r="A787" s="75">
        <v>39114</v>
      </c>
      <c r="B787" s="76">
        <v>317.87594799999999</v>
      </c>
      <c r="C787" s="76">
        <f t="shared" si="511"/>
        <v>317.08125813000004</v>
      </c>
      <c r="D787" s="76">
        <f t="shared" si="519"/>
        <v>318.67063786999995</v>
      </c>
      <c r="E787" s="78">
        <f>4562.356/1800.553*100</f>
        <v>253.38637629661548</v>
      </c>
      <c r="F787" s="76">
        <v>4562.3559999999998</v>
      </c>
      <c r="G787" s="84"/>
      <c r="H787" s="78">
        <v>138.89945205142948</v>
      </c>
      <c r="I787" s="78">
        <v>141.19611787172425</v>
      </c>
      <c r="J787" s="79">
        <f t="shared" si="516"/>
        <v>194.27328001470539</v>
      </c>
      <c r="K787" s="80">
        <v>465043.69030000002</v>
      </c>
      <c r="L787" s="83">
        <f t="shared" si="514"/>
        <v>147.82620391553093</v>
      </c>
      <c r="M787" s="22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IH787" s="32"/>
      <c r="II787" s="32"/>
      <c r="IJ787" s="32"/>
      <c r="IK787" s="32"/>
      <c r="IL787" s="32"/>
      <c r="IM787" s="32"/>
    </row>
    <row r="788" spans="1:247" s="28" customFormat="1" ht="20.25" customHeight="1" x14ac:dyDescent="0.25">
      <c r="A788" s="75">
        <v>39107</v>
      </c>
      <c r="B788" s="76">
        <v>316.87789099999998</v>
      </c>
      <c r="C788" s="76">
        <f t="shared" si="511"/>
        <v>316.0856962725</v>
      </c>
      <c r="D788" s="76">
        <f>1.0025*B788</f>
        <v>317.67008572749995</v>
      </c>
      <c r="E788" s="78">
        <f>4504.56/1800.553*100</f>
        <v>250.17647356117814</v>
      </c>
      <c r="F788" s="76">
        <v>4504.5600000000004</v>
      </c>
      <c r="G788" s="84"/>
      <c r="H788" s="78">
        <v>138.45344853831244</v>
      </c>
      <c r="I788" s="78">
        <v>141.08344872620398</v>
      </c>
      <c r="J788" s="79">
        <f t="shared" si="516"/>
        <v>192.72646907010801</v>
      </c>
      <c r="K788" s="80">
        <v>465062.67249999999</v>
      </c>
      <c r="L788" s="83">
        <f t="shared" si="514"/>
        <v>147.36807884462368</v>
      </c>
      <c r="M788" s="22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IH788" s="32"/>
      <c r="II788" s="32"/>
      <c r="IJ788" s="32"/>
      <c r="IK788" s="32"/>
      <c r="IL788" s="32"/>
      <c r="IM788" s="32"/>
    </row>
    <row r="789" spans="1:247" s="3" customFormat="1" ht="20.25" customHeight="1" x14ac:dyDescent="0.25">
      <c r="A789" s="75">
        <v>39100</v>
      </c>
      <c r="B789" s="76">
        <v>318.71798799999999</v>
      </c>
      <c r="C789" s="76">
        <f t="shared" si="511"/>
        <v>317.92119302999998</v>
      </c>
      <c r="D789" s="76">
        <f>1.0025*B789</f>
        <v>319.51478297</v>
      </c>
      <c r="E789" s="78">
        <f>4481.269/1800.553*100</f>
        <v>248.8829265231293</v>
      </c>
      <c r="F789" s="76">
        <v>4481.2690000000002</v>
      </c>
      <c r="G789" s="84"/>
      <c r="H789" s="78">
        <v>138.50780636364627</v>
      </c>
      <c r="I789" s="78">
        <v>140.97073609169829</v>
      </c>
      <c r="J789" s="79">
        <f t="shared" si="516"/>
        <v>192.26455745433259</v>
      </c>
      <c r="K789" s="80">
        <v>463753.2536</v>
      </c>
      <c r="L789" s="83">
        <f t="shared" si="514"/>
        <v>147.80650391584575</v>
      </c>
      <c r="M789" s="22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  <c r="BN789" s="28"/>
      <c r="BO789" s="28"/>
      <c r="BP789" s="28"/>
      <c r="BQ789" s="28"/>
      <c r="BR789" s="28"/>
      <c r="BS789" s="28"/>
      <c r="BT789" s="28"/>
      <c r="BU789" s="28"/>
      <c r="BV789" s="28"/>
      <c r="BW789" s="28"/>
      <c r="BX789" s="28"/>
      <c r="BY789" s="28"/>
      <c r="BZ789" s="28"/>
      <c r="CA789" s="28"/>
      <c r="CB789" s="28"/>
      <c r="CC789" s="28"/>
      <c r="CD789" s="28"/>
      <c r="CE789" s="28"/>
      <c r="CF789" s="28"/>
      <c r="CG789" s="28"/>
      <c r="CH789" s="28"/>
      <c r="CI789" s="28"/>
      <c r="CJ789" s="28"/>
      <c r="CK789" s="28"/>
      <c r="CL789" s="28"/>
      <c r="CM789" s="28"/>
      <c r="CN789" s="28"/>
      <c r="CO789" s="28"/>
      <c r="CP789" s="28"/>
      <c r="CQ789" s="28"/>
      <c r="CR789" s="28"/>
      <c r="CS789" s="28"/>
      <c r="CT789" s="28"/>
      <c r="CU789" s="28"/>
      <c r="CV789" s="28"/>
      <c r="CW789" s="28"/>
      <c r="CX789" s="28"/>
      <c r="CY789" s="28"/>
      <c r="CZ789" s="28"/>
      <c r="DA789" s="28"/>
      <c r="DB789" s="28"/>
      <c r="DC789" s="28"/>
      <c r="DD789" s="28"/>
      <c r="DE789" s="28"/>
      <c r="DF789" s="28"/>
      <c r="DG789" s="28"/>
      <c r="DH789" s="28"/>
      <c r="DI789" s="28"/>
      <c r="DJ789" s="28"/>
      <c r="DK789" s="28"/>
      <c r="DL789" s="28"/>
      <c r="DM789" s="28"/>
      <c r="IH789"/>
      <c r="II789"/>
      <c r="IJ789"/>
      <c r="IK789"/>
      <c r="IL789"/>
      <c r="IM789"/>
    </row>
    <row r="790" spans="1:247" s="28" customFormat="1" ht="20.25" customHeight="1" x14ac:dyDescent="0.25">
      <c r="A790" s="75">
        <v>39093</v>
      </c>
      <c r="B790" s="76">
        <v>316.08578799999998</v>
      </c>
      <c r="C790" s="76">
        <f t="shared" si="511"/>
        <v>315.29557353000001</v>
      </c>
      <c r="D790" s="76">
        <f>1.0025*B790</f>
        <v>316.87600246999995</v>
      </c>
      <c r="E790" s="78">
        <f>4443.669/1800.553*100</f>
        <v>246.79467919022656</v>
      </c>
      <c r="F790" s="76">
        <v>4443.6689999999999</v>
      </c>
      <c r="G790" s="84"/>
      <c r="H790" s="78">
        <v>138.12546450424944</v>
      </c>
      <c r="I790" s="78">
        <v>140.85883082827905</v>
      </c>
      <c r="J790" s="79">
        <f t="shared" si="516"/>
        <v>191.19106238295666</v>
      </c>
      <c r="K790" s="80">
        <v>464675.39789999998</v>
      </c>
      <c r="L790" s="83">
        <f t="shared" si="514"/>
        <v>146.87728930943504</v>
      </c>
      <c r="M790" s="22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IH790" s="32"/>
      <c r="II790" s="32"/>
      <c r="IJ790" s="32"/>
      <c r="IK790" s="32"/>
      <c r="IL790" s="32"/>
      <c r="IM790" s="32"/>
    </row>
    <row r="791" spans="1:247" s="28" customFormat="1" ht="20.25" customHeight="1" x14ac:dyDescent="0.25">
      <c r="A791" s="75">
        <v>39086</v>
      </c>
      <c r="B791" s="76">
        <v>318.30200600000001</v>
      </c>
      <c r="C791" s="76">
        <f t="shared" si="511"/>
        <v>317.50625098500001</v>
      </c>
      <c r="D791" s="76">
        <f>1.0025*B791</f>
        <v>319.097761015</v>
      </c>
      <c r="E791" s="78">
        <f>4469.223/1800.553*100</f>
        <v>248.21390983769987</v>
      </c>
      <c r="F791" s="76">
        <v>4469.223</v>
      </c>
      <c r="G791" s="84"/>
      <c r="H791" s="78">
        <v>138.77458731031908</v>
      </c>
      <c r="I791" s="78">
        <v>140.74697563986265</v>
      </c>
      <c r="J791" s="79">
        <f t="shared" si="516"/>
        <v>192.18999931891744</v>
      </c>
      <c r="K791" s="80">
        <v>439065.89380000002</v>
      </c>
      <c r="L791" s="83">
        <f t="shared" si="514"/>
        <v>139.75555476272297</v>
      </c>
      <c r="M791" s="22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IH791" s="32"/>
      <c r="II791" s="32"/>
      <c r="IJ791" s="32"/>
      <c r="IK791" s="32"/>
      <c r="IL791" s="32"/>
      <c r="IM791" s="32"/>
    </row>
    <row r="792" spans="1:247" s="28" customFormat="1" ht="20.25" customHeight="1" x14ac:dyDescent="0.25">
      <c r="A792" s="75">
        <v>39080</v>
      </c>
      <c r="B792" s="76">
        <v>319.28050000000002</v>
      </c>
      <c r="C792" s="76">
        <f t="shared" si="511"/>
        <v>318.48229875000004</v>
      </c>
      <c r="D792" s="76">
        <f>1.0025*B792</f>
        <v>320.07870124999999</v>
      </c>
      <c r="E792" s="78">
        <f>4466.298/1800.553*100</f>
        <v>248.05145974597801</v>
      </c>
      <c r="F792" s="76">
        <v>4466.2979999999998</v>
      </c>
      <c r="G792" s="84"/>
      <c r="H792" s="78">
        <v>139.17672648130491</v>
      </c>
      <c r="I792" s="78">
        <v>140.65085176500804</v>
      </c>
      <c r="J792" s="79">
        <f t="shared" si="516"/>
        <v>192.40496464310195</v>
      </c>
      <c r="K792" s="80">
        <v>439065.9</v>
      </c>
      <c r="L792" s="83">
        <f t="shared" si="514"/>
        <v>140.18518008495002</v>
      </c>
      <c r="M792" s="22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IH792" s="32"/>
      <c r="II792" s="32"/>
      <c r="IJ792" s="32"/>
      <c r="IK792" s="32"/>
      <c r="IL792" s="32"/>
      <c r="IM792" s="32"/>
    </row>
    <row r="793" spans="1:247" s="28" customFormat="1" ht="20.25" customHeight="1" x14ac:dyDescent="0.25">
      <c r="A793" s="75">
        <v>39079</v>
      </c>
      <c r="B793" s="76">
        <v>317.64533699999998</v>
      </c>
      <c r="C793" s="76">
        <f t="shared" si="511"/>
        <v>316.85122365749999</v>
      </c>
      <c r="D793" s="76">
        <f t="shared" ref="D793:D798" si="520">1.0025*B793</f>
        <v>318.43945034249998</v>
      </c>
      <c r="E793" s="78">
        <f>4475.479/1800.553*100</f>
        <v>248.56135864925943</v>
      </c>
      <c r="F793" s="76">
        <v>4475.4790000000003</v>
      </c>
      <c r="G793" s="84"/>
      <c r="H793" s="78">
        <v>138.99438161480208</v>
      </c>
      <c r="I793" s="78">
        <v>140.6246695705359</v>
      </c>
      <c r="J793" s="79">
        <f t="shared" si="516"/>
        <v>192.47613403456398</v>
      </c>
      <c r="K793" s="80">
        <v>443377.57449999999</v>
      </c>
      <c r="L793" s="83">
        <f t="shared" si="514"/>
        <v>140.83681907029509</v>
      </c>
      <c r="M793" s="22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IH793" s="32"/>
      <c r="II793" s="32"/>
      <c r="IJ793" s="32"/>
      <c r="IK793" s="32"/>
      <c r="IL793" s="32"/>
      <c r="IM793" s="32"/>
    </row>
    <row r="794" spans="1:247" s="28" customFormat="1" ht="20.25" customHeight="1" x14ac:dyDescent="0.25">
      <c r="A794" s="75">
        <v>39072</v>
      </c>
      <c r="B794" s="76">
        <v>317.452833</v>
      </c>
      <c r="C794" s="76">
        <f t="shared" si="511"/>
        <v>316.65920091750002</v>
      </c>
      <c r="D794" s="76">
        <f t="shared" si="520"/>
        <v>318.24646508249998</v>
      </c>
      <c r="E794" s="78">
        <f>4452.085/1800.553*100</f>
        <v>247.26209114644223</v>
      </c>
      <c r="F794" s="76">
        <v>4452.085</v>
      </c>
      <c r="G794" s="84"/>
      <c r="H794" s="78">
        <v>139.04711426384242</v>
      </c>
      <c r="I794" s="78">
        <v>140.52711930187169</v>
      </c>
      <c r="J794" s="79">
        <f t="shared" si="516"/>
        <v>192.00807847364874</v>
      </c>
      <c r="K794" s="80">
        <v>449701.62280000001</v>
      </c>
      <c r="L794" s="83">
        <f t="shared" si="514"/>
        <v>142.75905416255739</v>
      </c>
      <c r="M794" s="22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IH794" s="32"/>
      <c r="II794" s="32"/>
      <c r="IJ794" s="32"/>
      <c r="IK794" s="32"/>
      <c r="IL794" s="32"/>
      <c r="IM794" s="32"/>
    </row>
    <row r="795" spans="1:247" s="28" customFormat="1" ht="20.25" customHeight="1" x14ac:dyDescent="0.25">
      <c r="A795" s="75">
        <v>39065</v>
      </c>
      <c r="B795" s="76">
        <v>317.72414700000002</v>
      </c>
      <c r="C795" s="76">
        <f t="shared" si="511"/>
        <v>316.92983663250004</v>
      </c>
      <c r="D795" s="76">
        <f t="shared" si="520"/>
        <v>318.51845736749999</v>
      </c>
      <c r="E795" s="78">
        <f>4464.047/1800.553*100</f>
        <v>247.92644259846833</v>
      </c>
      <c r="F795" s="76">
        <v>4464.0469999999996</v>
      </c>
      <c r="G795" s="84"/>
      <c r="H795" s="78">
        <v>138.93026463449431</v>
      </c>
      <c r="I795" s="78">
        <v>140.41789508445058</v>
      </c>
      <c r="J795" s="79">
        <f t="shared" si="516"/>
        <v>192.18475050468496</v>
      </c>
      <c r="K795" s="80">
        <v>449519.52980000002</v>
      </c>
      <c r="L795" s="83">
        <f t="shared" si="514"/>
        <v>142.8232091655461</v>
      </c>
      <c r="M795" s="22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IH795" s="32"/>
      <c r="II795" s="32"/>
      <c r="IJ795" s="32"/>
      <c r="IK795" s="32"/>
      <c r="IL795" s="32"/>
      <c r="IM795" s="32"/>
    </row>
    <row r="796" spans="1:247" s="28" customFormat="1" ht="20.25" customHeight="1" x14ac:dyDescent="0.25">
      <c r="A796" s="75">
        <v>39058</v>
      </c>
      <c r="B796" s="76">
        <v>320.46169800000001</v>
      </c>
      <c r="C796" s="76">
        <f t="shared" si="511"/>
        <v>319.66054375500005</v>
      </c>
      <c r="D796" s="76">
        <f t="shared" si="520"/>
        <v>321.26285224499998</v>
      </c>
      <c r="E796" s="78">
        <f>4417.919/1800.553*100</f>
        <v>245.36456299814552</v>
      </c>
      <c r="F796" s="76">
        <v>4417.9189999999999</v>
      </c>
      <c r="G796" s="84"/>
      <c r="H796" s="78">
        <v>139.68146049909026</v>
      </c>
      <c r="I796" s="78">
        <v>140.3084008455684</v>
      </c>
      <c r="J796" s="79">
        <f t="shared" si="516"/>
        <v>191.69944477609772</v>
      </c>
      <c r="K796" s="80">
        <v>431254.74589999998</v>
      </c>
      <c r="L796" s="83">
        <f t="shared" si="514"/>
        <v>138.20062814167255</v>
      </c>
      <c r="M796" s="22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IH796" s="32"/>
      <c r="II796" s="32"/>
      <c r="IJ796" s="32"/>
      <c r="IK796" s="32"/>
      <c r="IL796" s="32"/>
      <c r="IM796" s="32"/>
    </row>
    <row r="797" spans="1:247" s="28" customFormat="1" ht="20.25" customHeight="1" x14ac:dyDescent="0.25">
      <c r="A797" s="75">
        <v>39051</v>
      </c>
      <c r="B797" s="76">
        <v>319.52014300000002</v>
      </c>
      <c r="C797" s="76">
        <f t="shared" si="511"/>
        <v>318.72134264250002</v>
      </c>
      <c r="D797" s="76">
        <f t="shared" si="520"/>
        <v>320.31894335750002</v>
      </c>
      <c r="E797" s="78">
        <f>4376.153/1800.553*100</f>
        <v>243.04494230383665</v>
      </c>
      <c r="F797" s="76">
        <v>4376.1530000000002</v>
      </c>
      <c r="G797" s="84"/>
      <c r="H797" s="78">
        <v>139.37840622763335</v>
      </c>
      <c r="I797" s="78">
        <v>140.20013753114691</v>
      </c>
      <c r="J797" s="79">
        <f t="shared" si="516"/>
        <v>190.58278911945345</v>
      </c>
      <c r="K797" s="80">
        <v>445626.17389999999</v>
      </c>
      <c r="L797" s="83">
        <f t="shared" si="514"/>
        <v>142.38653880907088</v>
      </c>
      <c r="M797" s="22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IH797" s="32"/>
      <c r="II797" s="32"/>
      <c r="IJ797" s="32"/>
      <c r="IK797" s="32"/>
      <c r="IL797" s="32"/>
      <c r="IM797" s="32"/>
    </row>
    <row r="798" spans="1:247" s="28" customFormat="1" ht="20.25" customHeight="1" x14ac:dyDescent="0.25">
      <c r="A798" s="75">
        <v>39044</v>
      </c>
      <c r="B798" s="76">
        <v>314.30521399999998</v>
      </c>
      <c r="C798" s="76">
        <f t="shared" si="511"/>
        <v>313.51945096499998</v>
      </c>
      <c r="D798" s="76">
        <f t="shared" si="520"/>
        <v>315.09097703499998</v>
      </c>
      <c r="E798" s="78">
        <f>4357.553/1800.553*100</f>
        <v>242.01192633596455</v>
      </c>
      <c r="F798" s="76">
        <v>4357.5529999999999</v>
      </c>
      <c r="G798" s="84"/>
      <c r="H798" s="78">
        <v>138.02602800977289</v>
      </c>
      <c r="I798" s="78">
        <v>140.09190540363286</v>
      </c>
      <c r="J798" s="79">
        <f t="shared" si="516"/>
        <v>189.25173954229018</v>
      </c>
      <c r="K798" s="80">
        <v>455759.10969999997</v>
      </c>
      <c r="L798" s="83">
        <f t="shared" si="514"/>
        <v>143.24746450670796</v>
      </c>
      <c r="M798" s="22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IH798" s="32"/>
      <c r="II798" s="32"/>
      <c r="IJ798" s="32"/>
      <c r="IK798" s="32"/>
      <c r="IL798" s="32"/>
      <c r="IM798" s="32"/>
    </row>
    <row r="799" spans="1:247" s="28" customFormat="1" ht="20.25" customHeight="1" x14ac:dyDescent="0.25">
      <c r="A799" s="75">
        <v>39037</v>
      </c>
      <c r="B799" s="76">
        <v>312.68318499999998</v>
      </c>
      <c r="C799" s="76">
        <f t="shared" si="511"/>
        <v>311.9014770375</v>
      </c>
      <c r="D799" s="76">
        <f t="shared" ref="D799:D804" si="521">1.0025*B799</f>
        <v>313.46489296249996</v>
      </c>
      <c r="E799" s="78">
        <f>4332.646/1800.553*100</f>
        <v>240.62862909339518</v>
      </c>
      <c r="F799" s="76">
        <v>4332.6459999999997</v>
      </c>
      <c r="G799" s="84"/>
      <c r="H799" s="78">
        <v>136.9867201420455</v>
      </c>
      <c r="I799" s="78">
        <v>139.98307546573321</v>
      </c>
      <c r="J799" s="79">
        <f t="shared" si="516"/>
        <v>187.99820461527389</v>
      </c>
      <c r="K799" s="80">
        <v>457405.06800000003</v>
      </c>
      <c r="L799" s="83">
        <f t="shared" si="514"/>
        <v>143.02287349738157</v>
      </c>
      <c r="M799" s="22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IH799" s="32"/>
      <c r="II799" s="32"/>
      <c r="IJ799" s="32"/>
      <c r="IK799" s="32"/>
      <c r="IL799" s="32"/>
      <c r="IM799" s="32"/>
    </row>
    <row r="800" spans="1:247" s="28" customFormat="1" ht="20.25" customHeight="1" x14ac:dyDescent="0.25">
      <c r="A800" s="75">
        <v>39030</v>
      </c>
      <c r="B800" s="76">
        <v>315.27413999999999</v>
      </c>
      <c r="C800" s="76">
        <f t="shared" si="511"/>
        <v>314.48595465</v>
      </c>
      <c r="D800" s="76">
        <f t="shared" si="521"/>
        <v>316.06232534999998</v>
      </c>
      <c r="E800" s="78">
        <f>4290.116/1800.553*100</f>
        <v>238.26657699051344</v>
      </c>
      <c r="F800" s="76">
        <v>4290.116</v>
      </c>
      <c r="G800" s="84"/>
      <c r="H800" s="78">
        <v>137.13884798994741</v>
      </c>
      <c r="I800" s="78">
        <v>139.87450698111252</v>
      </c>
      <c r="J800" s="79">
        <f t="shared" si="516"/>
        <v>187.17424609527666</v>
      </c>
      <c r="K800" s="80">
        <v>455694.3224</v>
      </c>
      <c r="L800" s="83">
        <f t="shared" si="514"/>
        <v>143.66863559754273</v>
      </c>
      <c r="M800" s="22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IH800" s="32"/>
      <c r="II800" s="32"/>
      <c r="IJ800" s="32"/>
      <c r="IK800" s="32"/>
      <c r="IL800" s="32"/>
      <c r="IM800" s="32"/>
    </row>
    <row r="801" spans="1:247" s="28" customFormat="1" ht="20.25" customHeight="1" x14ac:dyDescent="0.25">
      <c r="A801" s="75">
        <v>39023</v>
      </c>
      <c r="B801" s="76">
        <v>316.468255</v>
      </c>
      <c r="C801" s="76">
        <f t="shared" si="511"/>
        <v>315.67708436250001</v>
      </c>
      <c r="D801" s="76">
        <f t="shared" si="521"/>
        <v>317.25942563749999</v>
      </c>
      <c r="E801" s="78">
        <f>4252.606/1800.553*100</f>
        <v>236.18332812197141</v>
      </c>
      <c r="F801" s="76">
        <v>4252.6059999999998</v>
      </c>
      <c r="G801" s="84"/>
      <c r="H801" s="78">
        <v>137.06618511427558</v>
      </c>
      <c r="I801" s="78">
        <v>139.76596377634269</v>
      </c>
      <c r="J801" s="79">
        <f t="shared" si="516"/>
        <v>186.30322229612295</v>
      </c>
      <c r="K801" s="80">
        <v>455694.3224</v>
      </c>
      <c r="L801" s="83">
        <f t="shared" si="514"/>
        <v>144.21278702333544</v>
      </c>
      <c r="M801" s="22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IH801" s="32"/>
      <c r="II801" s="32"/>
      <c r="IJ801" s="32"/>
      <c r="IK801" s="32"/>
      <c r="IL801" s="32"/>
      <c r="IM801" s="32"/>
    </row>
    <row r="802" spans="1:247" s="28" customFormat="1" ht="20.25" customHeight="1" x14ac:dyDescent="0.25">
      <c r="A802" s="75">
        <v>39016</v>
      </c>
      <c r="B802" s="76">
        <v>312.998088</v>
      </c>
      <c r="C802" s="76">
        <f t="shared" si="511"/>
        <v>312.21559278000001</v>
      </c>
      <c r="D802" s="76">
        <f t="shared" si="521"/>
        <v>313.78058321999998</v>
      </c>
      <c r="E802" s="78">
        <f>4290.4/1800.553*100</f>
        <v>238.28234992249602</v>
      </c>
      <c r="F802" s="76">
        <v>4290.3999999999996</v>
      </c>
      <c r="G802" s="84"/>
      <c r="H802" s="78">
        <v>136.38065384264974</v>
      </c>
      <c r="I802" s="78">
        <v>139.65827857327071</v>
      </c>
      <c r="J802" s="79">
        <f t="shared" si="516"/>
        <v>186.65622345017022</v>
      </c>
      <c r="K802" s="80">
        <v>487329.12660000002</v>
      </c>
      <c r="L802" s="83">
        <f t="shared" si="514"/>
        <v>152.53308485250994</v>
      </c>
      <c r="M802" s="22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IH802" s="32"/>
      <c r="II802" s="32"/>
      <c r="IJ802" s="32"/>
      <c r="IK802" s="32"/>
      <c r="IL802" s="32"/>
      <c r="IM802" s="32"/>
    </row>
    <row r="803" spans="1:247" s="28" customFormat="1" ht="20.25" customHeight="1" x14ac:dyDescent="0.25">
      <c r="A803" s="75">
        <v>39009</v>
      </c>
      <c r="B803" s="76">
        <v>311.640152</v>
      </c>
      <c r="C803" s="76">
        <f t="shared" si="511"/>
        <v>310.86105162000001</v>
      </c>
      <c r="D803" s="76">
        <f t="shared" si="521"/>
        <v>312.41925237999999</v>
      </c>
      <c r="E803" s="78">
        <f>4218.86/1800.553*100</f>
        <v>234.30912614069121</v>
      </c>
      <c r="F803" s="76">
        <v>4218.8599999999997</v>
      </c>
      <c r="G803" s="84"/>
      <c r="H803" s="78">
        <v>136.03920036779485</v>
      </c>
      <c r="I803" s="78">
        <v>139.55012244925874</v>
      </c>
      <c r="J803" s="79">
        <f t="shared" si="516"/>
        <v>184.85690477985227</v>
      </c>
      <c r="K803" s="80">
        <v>489944.78899999999</v>
      </c>
      <c r="L803" s="83">
        <f t="shared" si="514"/>
        <v>152.68646851556792</v>
      </c>
      <c r="M803" s="22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IH803" s="32"/>
      <c r="II803" s="32"/>
      <c r="IJ803" s="32"/>
      <c r="IK803" s="32"/>
      <c r="IL803" s="32"/>
      <c r="IM803" s="32"/>
    </row>
    <row r="804" spans="1:247" s="28" customFormat="1" ht="20.25" customHeight="1" x14ac:dyDescent="0.25">
      <c r="A804" s="75">
        <v>39002</v>
      </c>
      <c r="B804" s="76">
        <v>308.550207</v>
      </c>
      <c r="C804" s="76">
        <f t="shared" si="511"/>
        <v>307.77883148250004</v>
      </c>
      <c r="D804" s="76">
        <f t="shared" si="521"/>
        <v>309.32158251749996</v>
      </c>
      <c r="E804" s="78">
        <f>4183.956/1800.553*100</f>
        <v>232.37061058463703</v>
      </c>
      <c r="F804" s="76">
        <v>4183.9560000000001</v>
      </c>
      <c r="G804" s="84"/>
      <c r="H804" s="78">
        <v>135.40895676124416</v>
      </c>
      <c r="I804" s="78">
        <v>139.44319244282372</v>
      </c>
      <c r="J804" s="79">
        <f t="shared" si="516"/>
        <v>183.66339433124875</v>
      </c>
      <c r="K804" s="80">
        <v>490803.34970000002</v>
      </c>
      <c r="L804" s="83">
        <f t="shared" si="514"/>
        <v>151.43747514622839</v>
      </c>
      <c r="M804" s="22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IH804" s="32"/>
      <c r="II804" s="32"/>
      <c r="IJ804" s="32"/>
      <c r="IK804" s="32"/>
      <c r="IL804" s="32"/>
      <c r="IM804" s="32"/>
    </row>
    <row r="805" spans="1:247" s="28" customFormat="1" ht="20.25" customHeight="1" x14ac:dyDescent="0.25">
      <c r="A805" s="75">
        <v>38995</v>
      </c>
      <c r="B805" s="76">
        <v>310.641032</v>
      </c>
      <c r="C805" s="76">
        <f t="shared" si="511"/>
        <v>309.86442942000002</v>
      </c>
      <c r="D805" s="76">
        <f t="shared" ref="D805:D812" si="522">1.0025*B805</f>
        <v>311.41763457999997</v>
      </c>
      <c r="E805" s="78">
        <f>4170.325/1800.553*100</f>
        <v>231.6135653879669</v>
      </c>
      <c r="F805" s="76">
        <v>4170.3249999999998</v>
      </c>
      <c r="G805" s="84"/>
      <c r="H805" s="78">
        <v>136.07738984020926</v>
      </c>
      <c r="I805" s="78">
        <v>138.49746225771679</v>
      </c>
      <c r="J805" s="79">
        <f t="shared" si="516"/>
        <v>183.81445154835598</v>
      </c>
      <c r="K805" s="80">
        <v>491283.4129</v>
      </c>
      <c r="L805" s="83">
        <f t="shared" si="514"/>
        <v>152.61278638773811</v>
      </c>
      <c r="M805" s="22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IH805" s="32"/>
      <c r="II805" s="32"/>
      <c r="IJ805" s="32"/>
      <c r="IK805" s="32"/>
      <c r="IL805" s="32"/>
      <c r="IM805" s="32"/>
    </row>
    <row r="806" spans="1:247" s="28" customFormat="1" ht="20.25" customHeight="1" x14ac:dyDescent="0.25">
      <c r="A806" s="75">
        <v>38988</v>
      </c>
      <c r="B806" s="76">
        <v>312.25058899999999</v>
      </c>
      <c r="C806" s="76">
        <f t="shared" si="511"/>
        <v>311.4699625275</v>
      </c>
      <c r="D806" s="76">
        <f>1.0025*B806</f>
        <v>313.03121547249998</v>
      </c>
      <c r="E806" s="78">
        <f>4124.69/1800.553*100</f>
        <v>229.07906626464199</v>
      </c>
      <c r="F806" s="76">
        <v>4124.6899999999996</v>
      </c>
      <c r="G806" s="84"/>
      <c r="H806" s="78">
        <v>136.10919620459939</v>
      </c>
      <c r="I806" s="78">
        <v>139.33679928730845</v>
      </c>
      <c r="J806" s="79">
        <f t="shared" si="516"/>
        <v>182.82444083210515</v>
      </c>
      <c r="K806" s="80">
        <v>494729</v>
      </c>
      <c r="L806" s="83">
        <f t="shared" si="514"/>
        <v>154.479421645381</v>
      </c>
      <c r="M806" s="22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IH806" s="32"/>
      <c r="II806" s="32"/>
      <c r="IJ806" s="32"/>
      <c r="IK806" s="32"/>
      <c r="IL806" s="32"/>
      <c r="IM806" s="32"/>
    </row>
    <row r="807" spans="1:247" s="28" customFormat="1" ht="20.25" customHeight="1" x14ac:dyDescent="0.25">
      <c r="A807" s="75">
        <v>38981</v>
      </c>
      <c r="B807" s="76">
        <v>311.33999999999997</v>
      </c>
      <c r="C807" s="76">
        <f t="shared" si="511"/>
        <v>310.56164999999999</v>
      </c>
      <c r="D807" s="76">
        <f>1.0025*B807</f>
        <v>312.11834999999996</v>
      </c>
      <c r="E807" s="78">
        <f>4074.741/1800.553*100</f>
        <v>226.30497408296227</v>
      </c>
      <c r="F807" s="76">
        <v>4074.741</v>
      </c>
      <c r="G807" s="84"/>
      <c r="H807" s="78">
        <v>135.9949033050404</v>
      </c>
      <c r="I807" s="78">
        <v>139.23182707247969</v>
      </c>
      <c r="J807" s="79">
        <f t="shared" si="516"/>
        <v>181.63485758091539</v>
      </c>
      <c r="K807" s="80">
        <v>496974</v>
      </c>
      <c r="L807" s="83">
        <f t="shared" si="514"/>
        <v>154.72788516</v>
      </c>
      <c r="M807" s="22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IH807" s="32"/>
      <c r="II807" s="32"/>
      <c r="IJ807" s="32"/>
      <c r="IK807" s="32"/>
      <c r="IL807" s="32"/>
      <c r="IM807" s="32"/>
    </row>
    <row r="808" spans="1:247" s="28" customFormat="1" ht="20.25" customHeight="1" x14ac:dyDescent="0.25">
      <c r="A808" s="75">
        <v>38974</v>
      </c>
      <c r="B808" s="76">
        <v>308.76620200000002</v>
      </c>
      <c r="C808" s="76">
        <f t="shared" si="511"/>
        <v>307.99428649500004</v>
      </c>
      <c r="D808" s="76">
        <f t="shared" si="522"/>
        <v>309.538117505</v>
      </c>
      <c r="E808" s="78">
        <f>4063.257/1800.553*100</f>
        <v>225.6671700305406</v>
      </c>
      <c r="F808" s="76">
        <v>4063.2570000000001</v>
      </c>
      <c r="G808" s="84"/>
      <c r="H808" s="78">
        <v>136.39195295156986</v>
      </c>
      <c r="I808" s="78">
        <v>139.1273138719576</v>
      </c>
      <c r="J808" s="79">
        <f t="shared" si="516"/>
        <v>181.64255820681183</v>
      </c>
      <c r="K808" s="80">
        <v>497009</v>
      </c>
      <c r="L808" s="83">
        <f t="shared" si="514"/>
        <v>153.45958128981803</v>
      </c>
      <c r="M808" s="22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IH808" s="32"/>
      <c r="II808" s="32"/>
      <c r="IJ808" s="32"/>
      <c r="IK808" s="32"/>
      <c r="IL808" s="32"/>
      <c r="IM808" s="32"/>
    </row>
    <row r="809" spans="1:247" s="28" customFormat="1" ht="20.25" customHeight="1" x14ac:dyDescent="0.25">
      <c r="A809" s="75">
        <v>38967</v>
      </c>
      <c r="B809" s="76">
        <v>312.18785800000001</v>
      </c>
      <c r="C809" s="76">
        <f t="shared" si="511"/>
        <v>311.40738835500002</v>
      </c>
      <c r="D809" s="76">
        <f t="shared" si="522"/>
        <v>312.96832764499999</v>
      </c>
      <c r="E809" s="78">
        <f>4021.397/1800.553*100</f>
        <v>223.34232871789942</v>
      </c>
      <c r="F809" s="76">
        <v>4021.3969999999999</v>
      </c>
      <c r="G809" s="84"/>
      <c r="H809" s="78">
        <v>135.95397082343399</v>
      </c>
      <c r="I809" s="78">
        <v>139.02244286350862</v>
      </c>
      <c r="J809" s="79">
        <f t="shared" si="516"/>
        <v>180.41296580608446</v>
      </c>
      <c r="K809" s="80">
        <v>499712</v>
      </c>
      <c r="L809" s="83">
        <f t="shared" si="514"/>
        <v>156.00401889689601</v>
      </c>
      <c r="M809" s="22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IH809" s="32"/>
      <c r="II809" s="32"/>
      <c r="IJ809" s="32"/>
      <c r="IK809" s="32"/>
      <c r="IL809" s="32"/>
      <c r="IM809" s="32"/>
    </row>
    <row r="810" spans="1:247" s="28" customFormat="1" ht="20.25" customHeight="1" x14ac:dyDescent="0.25">
      <c r="A810" s="75">
        <v>38960</v>
      </c>
      <c r="B810" s="76">
        <v>312.21018500000002</v>
      </c>
      <c r="C810" s="76">
        <f t="shared" si="511"/>
        <v>311.42965953750002</v>
      </c>
      <c r="D810" s="76">
        <f t="shared" si="522"/>
        <v>312.99071046250003</v>
      </c>
      <c r="E810" s="78">
        <f>4067.754/1800.553*100</f>
        <v>225.91692663309547</v>
      </c>
      <c r="F810" s="76">
        <v>4067.7539999999999</v>
      </c>
      <c r="G810" s="84"/>
      <c r="H810" s="78">
        <v>135.98714998469461</v>
      </c>
      <c r="I810" s="78">
        <v>138.91725557392732</v>
      </c>
      <c r="J810" s="79">
        <f t="shared" si="516"/>
        <v>181.46913455957343</v>
      </c>
      <c r="K810" s="80">
        <v>499900</v>
      </c>
      <c r="L810" s="83">
        <f t="shared" si="514"/>
        <v>156.07387148149999</v>
      </c>
      <c r="M810" s="22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IH810" s="32"/>
      <c r="II810" s="32"/>
      <c r="IJ810" s="32"/>
      <c r="IK810" s="32"/>
      <c r="IL810" s="32"/>
      <c r="IM810" s="32"/>
    </row>
    <row r="811" spans="1:247" s="28" customFormat="1" ht="20.25" customHeight="1" x14ac:dyDescent="0.25">
      <c r="A811" s="75">
        <v>38953</v>
      </c>
      <c r="B811" s="76">
        <v>312.54388299999999</v>
      </c>
      <c r="C811" s="76">
        <f t="shared" si="511"/>
        <v>311.76252329250002</v>
      </c>
      <c r="D811" s="76">
        <f t="shared" si="522"/>
        <v>313.32524270749997</v>
      </c>
      <c r="E811" s="78">
        <f>4034.914/1800.553*100</f>
        <v>224.09304252637941</v>
      </c>
      <c r="F811" s="76">
        <v>4034.9140000000002</v>
      </c>
      <c r="G811" s="84"/>
      <c r="H811" s="78">
        <v>136.14377418549299</v>
      </c>
      <c r="I811" s="78">
        <v>138.81227023763932</v>
      </c>
      <c r="J811" s="79">
        <f t="shared" ref="J811:J874" si="523">(E811/E812)*0.5*J812+(H811/H812)*0.5*J812</f>
        <v>180.83724160893979</v>
      </c>
      <c r="K811" s="80">
        <v>500059.81809999997</v>
      </c>
      <c r="L811" s="83">
        <f t="shared" ref="L811:L874" si="524">K811*B811/1000000</f>
        <v>156.29063728124768</v>
      </c>
      <c r="M811" s="22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IH811" s="32"/>
      <c r="II811" s="32"/>
      <c r="IJ811" s="32"/>
      <c r="IK811" s="32"/>
      <c r="IL811" s="32"/>
      <c r="IM811" s="32"/>
    </row>
    <row r="812" spans="1:247" s="28" customFormat="1" ht="20.25" customHeight="1" x14ac:dyDescent="0.25">
      <c r="A812" s="75">
        <v>38946</v>
      </c>
      <c r="B812" s="76">
        <v>311.52962600000001</v>
      </c>
      <c r="C812" s="76">
        <f t="shared" si="511"/>
        <v>310.75080193500003</v>
      </c>
      <c r="D812" s="76">
        <f t="shared" si="522"/>
        <v>312.30845006499999</v>
      </c>
      <c r="E812" s="78">
        <f>4052.598/1800.553*100</f>
        <v>225.07518523475844</v>
      </c>
      <c r="F812" s="76">
        <v>4052.598</v>
      </c>
      <c r="G812" s="84"/>
      <c r="H812" s="78">
        <v>135.931852882475</v>
      </c>
      <c r="I812" s="78">
        <v>138.70776628643404</v>
      </c>
      <c r="J812" s="79">
        <f t="shared" si="523"/>
        <v>181.09118527975417</v>
      </c>
      <c r="K812" s="80">
        <v>500059.81809999997</v>
      </c>
      <c r="L812" s="83">
        <f t="shared" si="524"/>
        <v>155.78344811032102</v>
      </c>
      <c r="M812" s="22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IH812" s="32"/>
      <c r="II812" s="32"/>
      <c r="IJ812" s="32"/>
      <c r="IK812" s="32"/>
      <c r="IL812" s="32"/>
      <c r="IM812" s="32"/>
    </row>
    <row r="813" spans="1:247" s="28" customFormat="1" ht="20.25" customHeight="1" x14ac:dyDescent="0.25">
      <c r="A813" s="75">
        <v>38939</v>
      </c>
      <c r="B813" s="76">
        <v>311.16569099999998</v>
      </c>
      <c r="C813" s="76">
        <f t="shared" si="511"/>
        <v>310.38777677249999</v>
      </c>
      <c r="D813" s="76">
        <f t="shared" ref="D813:D820" si="525">1.0025*B813</f>
        <v>311.94360522749997</v>
      </c>
      <c r="E813" s="78">
        <f>3952.52/1800.553*100</f>
        <v>219.5170039426776</v>
      </c>
      <c r="F813" s="76">
        <v>3952.52</v>
      </c>
      <c r="G813" s="84"/>
      <c r="H813" s="78">
        <v>136.07981363207767</v>
      </c>
      <c r="I813" s="78">
        <v>138.60239874930866</v>
      </c>
      <c r="J813" s="79">
        <f t="shared" si="523"/>
        <v>178.92328452733915</v>
      </c>
      <c r="K813" s="80">
        <v>501213.21389999997</v>
      </c>
      <c r="L813" s="83">
        <f t="shared" si="524"/>
        <v>155.96035604152428</v>
      </c>
      <c r="M813" s="22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40"/>
      <c r="Y813" s="40"/>
      <c r="Z813" s="40"/>
      <c r="AA813" s="40"/>
      <c r="AB813" s="40"/>
      <c r="AC813" s="40"/>
      <c r="AD813" s="40"/>
      <c r="AE813" s="40"/>
      <c r="AF813" s="40"/>
      <c r="AG813" s="40"/>
      <c r="AH813" s="40"/>
      <c r="AI813" s="40"/>
      <c r="AJ813" s="40"/>
      <c r="AK813" s="40"/>
      <c r="AL813" s="40"/>
      <c r="AM813" s="40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0"/>
      <c r="BA813" s="40"/>
      <c r="BB813" s="40"/>
      <c r="BC813" s="40"/>
      <c r="BD813" s="40"/>
      <c r="BE813" s="40"/>
      <c r="BF813" s="40"/>
      <c r="BG813" s="40"/>
      <c r="BH813" s="40"/>
      <c r="BI813" s="40"/>
      <c r="BJ813" s="40"/>
      <c r="BK813" s="40"/>
      <c r="BL813" s="40"/>
      <c r="BM813" s="40"/>
      <c r="BN813" s="40"/>
      <c r="BO813" s="40"/>
      <c r="BP813" s="40"/>
      <c r="BQ813" s="40"/>
      <c r="BR813" s="40"/>
      <c r="BS813" s="40"/>
      <c r="BT813" s="40"/>
      <c r="BU813" s="40"/>
      <c r="BV813" s="40"/>
      <c r="BW813" s="40"/>
      <c r="BX813" s="40"/>
      <c r="BY813" s="40"/>
      <c r="BZ813" s="40"/>
      <c r="CA813" s="40"/>
      <c r="CB813" s="40"/>
      <c r="CC813" s="40"/>
      <c r="CD813" s="40"/>
      <c r="CE813" s="40"/>
      <c r="CF813" s="40"/>
      <c r="CG813" s="40"/>
      <c r="CH813" s="40"/>
      <c r="CI813" s="40"/>
      <c r="CJ813" s="40"/>
      <c r="CK813" s="40"/>
      <c r="CL813" s="40"/>
      <c r="CM813" s="40"/>
      <c r="CN813" s="40"/>
      <c r="CO813" s="40"/>
      <c r="CP813" s="40"/>
      <c r="CQ813" s="40"/>
      <c r="CR813" s="40"/>
      <c r="CS813" s="40"/>
      <c r="CT813" s="40"/>
      <c r="CU813" s="40"/>
      <c r="CV813" s="40"/>
      <c r="CW813" s="40"/>
      <c r="CX813" s="40"/>
      <c r="CY813" s="40"/>
      <c r="CZ813" s="40"/>
      <c r="DA813" s="40"/>
      <c r="DB813" s="40"/>
      <c r="DC813" s="40"/>
      <c r="DD813" s="40"/>
      <c r="DE813" s="40"/>
      <c r="DF813" s="40"/>
      <c r="DG813" s="40"/>
      <c r="DH813" s="40"/>
      <c r="DI813" s="40"/>
      <c r="DJ813" s="40"/>
      <c r="DK813" s="40"/>
      <c r="DL813" s="40"/>
      <c r="DM813" s="40"/>
      <c r="IH813" s="32"/>
      <c r="II813" s="32"/>
      <c r="IJ813" s="32"/>
      <c r="IK813" s="32"/>
      <c r="IL813" s="32"/>
      <c r="IM813" s="32"/>
    </row>
    <row r="814" spans="1:247" s="28" customFormat="1" ht="20.25" customHeight="1" x14ac:dyDescent="0.25">
      <c r="A814" s="75">
        <v>38932</v>
      </c>
      <c r="B814" s="76">
        <v>312.30485099999999</v>
      </c>
      <c r="C814" s="76">
        <f t="shared" si="511"/>
        <v>311.52408887249999</v>
      </c>
      <c r="D814" s="76">
        <f>1.0025*B814</f>
        <v>313.08561312749998</v>
      </c>
      <c r="E814" s="78">
        <f>3964.534/1800.553*100</f>
        <v>220.18424339633435</v>
      </c>
      <c r="F814" s="76">
        <v>3964.5340000000001</v>
      </c>
      <c r="G814" s="84"/>
      <c r="H814" s="78">
        <v>135.27102262368203</v>
      </c>
      <c r="I814" s="78">
        <v>138.28842777830704</v>
      </c>
      <c r="J814" s="79">
        <f t="shared" si="523"/>
        <v>178.65987980187009</v>
      </c>
      <c r="K814" s="80">
        <v>500710.06630000001</v>
      </c>
      <c r="L814" s="83">
        <f t="shared" si="524"/>
        <v>156.37418265002162</v>
      </c>
      <c r="M814" s="22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IH814" s="32"/>
      <c r="II814" s="32"/>
      <c r="IJ814" s="32"/>
      <c r="IK814" s="32"/>
      <c r="IL814" s="32"/>
      <c r="IM814" s="32"/>
    </row>
    <row r="815" spans="1:247" s="28" customFormat="1" ht="20.25" customHeight="1" x14ac:dyDescent="0.25">
      <c r="A815" s="75">
        <v>38925</v>
      </c>
      <c r="B815" s="76">
        <v>313.14999999999998</v>
      </c>
      <c r="C815" s="76">
        <f t="shared" si="511"/>
        <v>312.36712499999999</v>
      </c>
      <c r="D815" s="76">
        <f t="shared" si="525"/>
        <v>313.93287499999997</v>
      </c>
      <c r="E815" s="78">
        <f>3922.061/1800.553*100</f>
        <v>217.82535698754774</v>
      </c>
      <c r="F815" s="76">
        <v>3922.0610000000001</v>
      </c>
      <c r="G815" s="84"/>
      <c r="H815" s="78">
        <v>134.69557869481474</v>
      </c>
      <c r="I815" s="78">
        <v>138.18470019028564</v>
      </c>
      <c r="J815" s="79">
        <f t="shared" si="523"/>
        <v>177.32097903993346</v>
      </c>
      <c r="K815" s="80">
        <v>501484.67599999998</v>
      </c>
      <c r="L815" s="83">
        <f t="shared" si="524"/>
        <v>157.03992628939997</v>
      </c>
      <c r="M815" s="22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IH815" s="32"/>
      <c r="II815" s="32"/>
      <c r="IJ815" s="32"/>
      <c r="IK815" s="32"/>
      <c r="IL815" s="32"/>
      <c r="IM815" s="32"/>
    </row>
    <row r="816" spans="1:247" s="40" customFormat="1" ht="20.25" customHeight="1" x14ac:dyDescent="0.25">
      <c r="A816" s="75">
        <v>38918</v>
      </c>
      <c r="B816" s="76">
        <v>312.50303500000001</v>
      </c>
      <c r="C816" s="76">
        <f t="shared" si="511"/>
        <v>311.72177741250005</v>
      </c>
      <c r="D816" s="76">
        <f t="shared" si="525"/>
        <v>313.28429258749998</v>
      </c>
      <c r="E816" s="78">
        <f>3845.743/1800.553*100</f>
        <v>213.58677028668413</v>
      </c>
      <c r="F816" s="76">
        <v>3845.7429999999999</v>
      </c>
      <c r="G816" s="84"/>
      <c r="H816" s="78">
        <v>135.01063258434363</v>
      </c>
      <c r="I816" s="78">
        <v>138.08033081791478</v>
      </c>
      <c r="J816" s="79">
        <f t="shared" si="523"/>
        <v>175.78189855799781</v>
      </c>
      <c r="K816" s="80">
        <v>505941.71429999999</v>
      </c>
      <c r="L816" s="83">
        <f t="shared" si="524"/>
        <v>158.10832125185291</v>
      </c>
      <c r="M816" s="22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  <c r="CW816" s="28"/>
      <c r="CX816" s="28"/>
      <c r="CY816" s="28"/>
      <c r="CZ816" s="28"/>
      <c r="DA816" s="28"/>
      <c r="DB816" s="28"/>
      <c r="DC816" s="28"/>
      <c r="DD816" s="28"/>
      <c r="DE816" s="28"/>
      <c r="DF816" s="28"/>
      <c r="DG816" s="28"/>
      <c r="DH816" s="28"/>
      <c r="DI816" s="28"/>
      <c r="DJ816" s="28"/>
      <c r="DK816" s="28"/>
      <c r="DL816" s="28"/>
      <c r="DM816" s="28"/>
      <c r="IH816" s="41"/>
      <c r="II816" s="41"/>
      <c r="IJ816" s="41"/>
      <c r="IK816" s="41"/>
      <c r="IL816" s="41"/>
      <c r="IM816" s="41"/>
    </row>
    <row r="817" spans="1:247" s="28" customFormat="1" ht="20.25" customHeight="1" x14ac:dyDescent="0.25">
      <c r="A817" s="75">
        <v>38911</v>
      </c>
      <c r="B817" s="76">
        <v>314.02999</v>
      </c>
      <c r="C817" s="76">
        <f t="shared" si="511"/>
        <v>313.24491502500001</v>
      </c>
      <c r="D817" s="76">
        <f t="shared" si="525"/>
        <v>314.81506497499998</v>
      </c>
      <c r="E817" s="78">
        <f>3850.383/1800.553*100</f>
        <v>213.84446889372319</v>
      </c>
      <c r="F817" s="76">
        <v>3850.3829999999998</v>
      </c>
      <c r="G817" s="84"/>
      <c r="H817" s="78">
        <v>135.37522033008733</v>
      </c>
      <c r="I817" s="78">
        <v>137.88451660998376</v>
      </c>
      <c r="J817" s="79">
        <f t="shared" si="523"/>
        <v>176.12518763829354</v>
      </c>
      <c r="K817" s="80">
        <v>506089.10129999998</v>
      </c>
      <c r="L817" s="83">
        <f t="shared" si="524"/>
        <v>158.92715542034799</v>
      </c>
      <c r="M817" s="22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IH817" s="32"/>
      <c r="II817" s="32"/>
      <c r="IJ817" s="32"/>
      <c r="IK817" s="32"/>
      <c r="IL817" s="32"/>
      <c r="IM817" s="32"/>
    </row>
    <row r="818" spans="1:247" s="28" customFormat="1" ht="20.25" customHeight="1" x14ac:dyDescent="0.25">
      <c r="A818" s="75">
        <v>38904</v>
      </c>
      <c r="B818" s="76">
        <v>317.48724099999998</v>
      </c>
      <c r="C818" s="76">
        <f t="shared" si="511"/>
        <v>316.69352289749997</v>
      </c>
      <c r="D818" s="76">
        <f t="shared" si="525"/>
        <v>318.28095910249999</v>
      </c>
      <c r="E818" s="78">
        <f>3939.638/1800.553*100</f>
        <v>218.8015570771868</v>
      </c>
      <c r="F818" s="76">
        <v>3939.6379999999999</v>
      </c>
      <c r="G818" s="84"/>
      <c r="H818" s="78">
        <v>134.65629333365845</v>
      </c>
      <c r="I818" s="78">
        <v>137.85886513540891</v>
      </c>
      <c r="J818" s="79">
        <f t="shared" si="523"/>
        <v>177.66345618598908</v>
      </c>
      <c r="K818" s="80">
        <v>503753.01870000002</v>
      </c>
      <c r="L818" s="83">
        <f t="shared" si="524"/>
        <v>159.93515605248439</v>
      </c>
      <c r="M818" s="22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IH818" s="32"/>
      <c r="II818" s="32"/>
      <c r="IJ818" s="32"/>
      <c r="IK818" s="32"/>
      <c r="IL818" s="32"/>
      <c r="IM818" s="32"/>
    </row>
    <row r="819" spans="1:247" s="28" customFormat="1" ht="20.25" customHeight="1" x14ac:dyDescent="0.25">
      <c r="A819" s="75">
        <v>38898</v>
      </c>
      <c r="B819" s="76">
        <v>316.92669999999998</v>
      </c>
      <c r="C819" s="76">
        <f t="shared" si="511"/>
        <v>316.13438324999998</v>
      </c>
      <c r="D819" s="76">
        <f t="shared" si="525"/>
        <v>317.71901674999998</v>
      </c>
      <c r="E819" s="78">
        <f>3937.433/1800.553*100</f>
        <v>218.67909470035039</v>
      </c>
      <c r="F819" s="76">
        <v>3937.433</v>
      </c>
      <c r="G819" s="84"/>
      <c r="H819" s="78">
        <v>134.17301955769705</v>
      </c>
      <c r="I819" s="78">
        <v>137.75538649707445</v>
      </c>
      <c r="J819" s="79">
        <f t="shared" si="523"/>
        <v>177.29451697425893</v>
      </c>
      <c r="K819" s="80">
        <v>503753.01870000002</v>
      </c>
      <c r="L819" s="83">
        <f t="shared" si="524"/>
        <v>159.65278183162928</v>
      </c>
      <c r="M819" s="22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IH819" s="32"/>
      <c r="II819" s="32"/>
      <c r="IJ819" s="32"/>
      <c r="IK819" s="32"/>
      <c r="IL819" s="32"/>
      <c r="IM819" s="32"/>
    </row>
    <row r="820" spans="1:247" s="28" customFormat="1" ht="20.25" customHeight="1" x14ac:dyDescent="0.25">
      <c r="A820" s="75">
        <v>38897</v>
      </c>
      <c r="B820" s="76">
        <v>314.157353</v>
      </c>
      <c r="C820" s="76">
        <f t="shared" si="511"/>
        <v>313.37195961750001</v>
      </c>
      <c r="D820" s="76">
        <f t="shared" si="525"/>
        <v>314.94274638249999</v>
      </c>
      <c r="E820" s="78">
        <f>3875.445/1800.553*100</f>
        <v>215.23637460269151</v>
      </c>
      <c r="F820" s="76">
        <v>3875.4450000000002</v>
      </c>
      <c r="G820" s="84"/>
      <c r="H820" s="78">
        <v>134.6170391678898</v>
      </c>
      <c r="I820" s="78">
        <v>137.65236307121893</v>
      </c>
      <c r="J820" s="79">
        <f t="shared" si="523"/>
        <v>176.17609163899709</v>
      </c>
      <c r="K820" s="80">
        <v>503629.02639999997</v>
      </c>
      <c r="L820" s="83">
        <f t="shared" si="524"/>
        <v>158.21876182779113</v>
      </c>
      <c r="M820" s="22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IH820" s="32"/>
      <c r="II820" s="32"/>
      <c r="IJ820" s="32"/>
      <c r="IK820" s="32"/>
      <c r="IL820" s="32"/>
      <c r="IM820" s="32"/>
    </row>
    <row r="821" spans="1:247" s="28" customFormat="1" ht="20.25" customHeight="1" x14ac:dyDescent="0.25">
      <c r="A821" s="75">
        <v>38890</v>
      </c>
      <c r="B821" s="76">
        <v>311.90633000000003</v>
      </c>
      <c r="C821" s="76">
        <f t="shared" si="511"/>
        <v>311.12656417500006</v>
      </c>
      <c r="D821" s="76">
        <f t="shared" ref="D821:D826" si="526">1.0025*B821</f>
        <v>312.686095825</v>
      </c>
      <c r="E821" s="78">
        <f>3815.694/1800.553*100</f>
        <v>211.91789411364175</v>
      </c>
      <c r="F821" s="76">
        <v>3815.694</v>
      </c>
      <c r="G821" s="84"/>
      <c r="H821" s="78">
        <v>134.59803907331508</v>
      </c>
      <c r="I821" s="78">
        <v>137.55138596943408</v>
      </c>
      <c r="J821" s="79">
        <f t="shared" si="523"/>
        <v>174.79517165023759</v>
      </c>
      <c r="K821" s="80">
        <v>540803.82860000001</v>
      </c>
      <c r="L821" s="83">
        <f t="shared" si="524"/>
        <v>168.68013742857508</v>
      </c>
      <c r="M821" s="22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IH821" s="32"/>
      <c r="II821" s="32"/>
      <c r="IJ821" s="32"/>
      <c r="IK821" s="32"/>
      <c r="IL821" s="32"/>
      <c r="IM821" s="32"/>
    </row>
    <row r="822" spans="1:247" s="28" customFormat="1" ht="20.25" customHeight="1" x14ac:dyDescent="0.25">
      <c r="A822" s="75">
        <v>38883</v>
      </c>
      <c r="B822" s="76">
        <v>310.53142200000002</v>
      </c>
      <c r="C822" s="76">
        <f t="shared" si="511"/>
        <v>309.75509344500006</v>
      </c>
      <c r="D822" s="76">
        <f t="shared" si="526"/>
        <v>311.30775055499998</v>
      </c>
      <c r="E822" s="78">
        <f>3806.645/1800.553*100</f>
        <v>211.41532629142267</v>
      </c>
      <c r="F822" s="76">
        <v>3806.645</v>
      </c>
      <c r="G822" s="84"/>
      <c r="H822" s="78">
        <v>135.1673116701636</v>
      </c>
      <c r="I822" s="78">
        <v>137.97590293926027</v>
      </c>
      <c r="J822" s="79">
        <f t="shared" si="523"/>
        <v>174.95564582494131</v>
      </c>
      <c r="K822" s="80">
        <v>541461.84089999995</v>
      </c>
      <c r="L822" s="83">
        <f t="shared" si="524"/>
        <v>168.14091541341475</v>
      </c>
      <c r="M822" s="22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IH822" s="32"/>
      <c r="II822" s="32"/>
      <c r="IJ822" s="32"/>
      <c r="IK822" s="32"/>
      <c r="IL822" s="32"/>
      <c r="IM822" s="32"/>
    </row>
    <row r="823" spans="1:247" s="28" customFormat="1" ht="20.25" customHeight="1" x14ac:dyDescent="0.25">
      <c r="A823" s="75">
        <v>38876</v>
      </c>
      <c r="B823" s="76">
        <v>311.324322</v>
      </c>
      <c r="C823" s="76">
        <f t="shared" si="511"/>
        <v>310.54601119500001</v>
      </c>
      <c r="D823" s="76">
        <f t="shared" si="526"/>
        <v>312.10263280499998</v>
      </c>
      <c r="E823" s="78">
        <f>3802.817/1800.553*100</f>
        <v>211.20272494061547</v>
      </c>
      <c r="F823" s="76">
        <v>3802.817</v>
      </c>
      <c r="G823" s="84"/>
      <c r="H823" s="78">
        <v>135.34582401325792</v>
      </c>
      <c r="I823" s="78">
        <v>137.45161806438347</v>
      </c>
      <c r="J823" s="79">
        <f t="shared" si="523"/>
        <v>174.9829705351797</v>
      </c>
      <c r="K823" s="80">
        <v>540853</v>
      </c>
      <c r="L823" s="83">
        <f t="shared" si="524"/>
        <v>168.38069352666599</v>
      </c>
      <c r="M823" s="22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IH823" s="32"/>
      <c r="II823" s="32"/>
      <c r="IJ823" s="32"/>
      <c r="IK823" s="32"/>
      <c r="IL823" s="32"/>
      <c r="IM823" s="32"/>
    </row>
    <row r="824" spans="1:247" s="28" customFormat="1" ht="20.25" customHeight="1" x14ac:dyDescent="0.25">
      <c r="A824" s="75">
        <v>38869</v>
      </c>
      <c r="B824" s="76">
        <v>319.87399599999998</v>
      </c>
      <c r="C824" s="76">
        <f t="shared" si="511"/>
        <v>319.07431100999997</v>
      </c>
      <c r="D824" s="76">
        <f t="shared" si="526"/>
        <v>320.67368098999998</v>
      </c>
      <c r="E824" s="78">
        <f>3966.346/1800.553*100</f>
        <v>220.28487914546253</v>
      </c>
      <c r="F824" s="76">
        <v>3966.346</v>
      </c>
      <c r="G824" s="84"/>
      <c r="H824" s="78">
        <v>135.47220027873905</v>
      </c>
      <c r="I824" s="78">
        <v>137.35191891619837</v>
      </c>
      <c r="J824" s="79">
        <f t="shared" si="523"/>
        <v>178.75122409384028</v>
      </c>
      <c r="K824" s="80">
        <v>541091.14269999997</v>
      </c>
      <c r="L824" s="83">
        <f t="shared" si="524"/>
        <v>173.08098601565521</v>
      </c>
      <c r="M824" s="22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IH824" s="32"/>
      <c r="II824" s="32"/>
      <c r="IJ824" s="32"/>
      <c r="IK824" s="32"/>
      <c r="IL824" s="32"/>
      <c r="IM824" s="32"/>
    </row>
    <row r="825" spans="1:247" s="28" customFormat="1" ht="20.25" customHeight="1" x14ac:dyDescent="0.25">
      <c r="A825" s="75">
        <v>38862</v>
      </c>
      <c r="B825" s="76">
        <v>320.00733200000002</v>
      </c>
      <c r="C825" s="76">
        <f t="shared" si="511"/>
        <v>319.20731367000002</v>
      </c>
      <c r="D825" s="76">
        <f t="shared" si="526"/>
        <v>320.80735033000002</v>
      </c>
      <c r="E825" s="78">
        <f>3927.02/1800.553*100</f>
        <v>218.10077237382069</v>
      </c>
      <c r="F825" s="76">
        <v>3927.02</v>
      </c>
      <c r="G825" s="84"/>
      <c r="H825" s="78">
        <v>135.79760199440747</v>
      </c>
      <c r="I825" s="78">
        <v>137.25338104758686</v>
      </c>
      <c r="J825" s="79">
        <f t="shared" si="523"/>
        <v>178.07294571617768</v>
      </c>
      <c r="K825" s="80">
        <v>539844.28870000003</v>
      </c>
      <c r="L825" s="83">
        <f t="shared" si="524"/>
        <v>172.75413052232477</v>
      </c>
      <c r="M825" s="22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IH825" s="32"/>
      <c r="II825" s="32"/>
      <c r="IJ825" s="32"/>
      <c r="IK825" s="32"/>
      <c r="IL825" s="32"/>
      <c r="IM825" s="32"/>
    </row>
    <row r="826" spans="1:247" s="28" customFormat="1" ht="20.25" customHeight="1" x14ac:dyDescent="0.25">
      <c r="A826" s="75">
        <v>38855</v>
      </c>
      <c r="B826" s="76">
        <v>324.32082200000002</v>
      </c>
      <c r="C826" s="76">
        <f t="shared" si="511"/>
        <v>323.51001994500001</v>
      </c>
      <c r="D826" s="76">
        <f t="shared" si="526"/>
        <v>325.13162405500003</v>
      </c>
      <c r="E826" s="78">
        <f>3940.996/1800.553*100</f>
        <v>218.87697835054007</v>
      </c>
      <c r="F826" s="76">
        <v>3940.9960000000001</v>
      </c>
      <c r="G826" s="84"/>
      <c r="H826" s="78">
        <v>135.62525049415535</v>
      </c>
      <c r="I826" s="78">
        <v>137.15586735935887</v>
      </c>
      <c r="J826" s="79">
        <f t="shared" si="523"/>
        <v>178.27578072551336</v>
      </c>
      <c r="K826" s="80">
        <v>540125.82019999996</v>
      </c>
      <c r="L826" s="83">
        <f t="shared" si="524"/>
        <v>175.17404999068822</v>
      </c>
      <c r="M826" s="22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IH826" s="32"/>
      <c r="II826" s="32"/>
      <c r="IJ826" s="32"/>
      <c r="IK826" s="32"/>
      <c r="IL826" s="32"/>
      <c r="IM826" s="32"/>
    </row>
    <row r="827" spans="1:247" s="28" customFormat="1" ht="20.25" customHeight="1" x14ac:dyDescent="0.25">
      <c r="A827" s="75">
        <v>38848</v>
      </c>
      <c r="B827" s="76">
        <v>332.065879</v>
      </c>
      <c r="C827" s="76">
        <f t="shared" si="511"/>
        <v>331.23571430250001</v>
      </c>
      <c r="D827" s="76">
        <f t="shared" ref="D827:D832" si="527">1.0025*B827</f>
        <v>332.89604369749998</v>
      </c>
      <c r="E827" s="78">
        <f>4134.058/1800.553*100</f>
        <v>229.59935086609499</v>
      </c>
      <c r="F827" s="76">
        <v>4134.058</v>
      </c>
      <c r="G827" s="84"/>
      <c r="H827" s="78">
        <v>134.38415616937908</v>
      </c>
      <c r="I827" s="78">
        <v>137.05801056832286</v>
      </c>
      <c r="J827" s="79">
        <f t="shared" si="523"/>
        <v>181.67907854699044</v>
      </c>
      <c r="K827" s="80">
        <v>541799.62289999996</v>
      </c>
      <c r="L827" s="83">
        <f t="shared" si="524"/>
        <v>179.913168020157</v>
      </c>
      <c r="M827" s="22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IH827" s="32"/>
      <c r="II827" s="32"/>
      <c r="IJ827" s="32"/>
      <c r="IK827" s="32"/>
      <c r="IL827" s="32"/>
      <c r="IM827" s="32"/>
    </row>
    <row r="828" spans="1:247" s="28" customFormat="1" ht="20.25" customHeight="1" x14ac:dyDescent="0.25">
      <c r="A828" s="75">
        <v>38841</v>
      </c>
      <c r="B828" s="76">
        <v>327.89392800000002</v>
      </c>
      <c r="C828" s="76">
        <f t="shared" si="511"/>
        <v>327.07419318000001</v>
      </c>
      <c r="D828" s="76">
        <f t="shared" si="527"/>
        <v>328.71366282000002</v>
      </c>
      <c r="E828" s="78">
        <f>4106.992/1800.553*100</f>
        <v>228.09614601736246</v>
      </c>
      <c r="F828" s="76">
        <v>4106.9920000000002</v>
      </c>
      <c r="G828" s="84"/>
      <c r="H828" s="78">
        <v>133.42714429579433</v>
      </c>
      <c r="I828" s="78">
        <v>136.96069736620063</v>
      </c>
      <c r="J828" s="79">
        <f t="shared" si="523"/>
        <v>180.43741944358618</v>
      </c>
      <c r="K828" s="80">
        <v>540303.54240000003</v>
      </c>
      <c r="L828" s="83">
        <f t="shared" si="524"/>
        <v>177.16225082985056</v>
      </c>
      <c r="M828" s="22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IH828" s="32"/>
      <c r="II828" s="32"/>
      <c r="IJ828" s="32"/>
      <c r="IK828" s="32"/>
      <c r="IL828" s="32"/>
      <c r="IM828" s="32"/>
    </row>
    <row r="829" spans="1:247" s="28" customFormat="1" ht="20.25" customHeight="1" x14ac:dyDescent="0.25">
      <c r="A829" s="75">
        <v>38834</v>
      </c>
      <c r="B829" s="76">
        <v>324.627859</v>
      </c>
      <c r="C829" s="76">
        <f t="shared" si="511"/>
        <v>323.81628935250001</v>
      </c>
      <c r="D829" s="76">
        <f t="shared" si="527"/>
        <v>325.43942864749999</v>
      </c>
      <c r="E829" s="78">
        <f>4075.355/1800.553*100</f>
        <v>226.33907471760062</v>
      </c>
      <c r="F829" s="76">
        <v>4075.355</v>
      </c>
      <c r="G829" s="84"/>
      <c r="H829" s="78">
        <v>131.98253570211671</v>
      </c>
      <c r="I829" s="78">
        <v>136.86464110767349</v>
      </c>
      <c r="J829" s="79">
        <f t="shared" si="523"/>
        <v>178.76520880273185</v>
      </c>
      <c r="K829" s="80">
        <v>541168.70830000006</v>
      </c>
      <c r="L829" s="83">
        <f t="shared" si="524"/>
        <v>175.67843913322454</v>
      </c>
      <c r="M829" s="22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IH829" s="32"/>
      <c r="II829" s="32"/>
      <c r="IJ829" s="32"/>
      <c r="IK829" s="32"/>
      <c r="IL829" s="32"/>
      <c r="IM829" s="32"/>
    </row>
    <row r="830" spans="1:247" s="28" customFormat="1" ht="20.25" customHeight="1" x14ac:dyDescent="0.25">
      <c r="A830" s="75">
        <v>38827</v>
      </c>
      <c r="B830" s="76">
        <v>320.68598200000002</v>
      </c>
      <c r="C830" s="76">
        <f t="shared" si="511"/>
        <v>319.88426704500006</v>
      </c>
      <c r="D830" s="76">
        <f t="shared" si="527"/>
        <v>321.48769695499999</v>
      </c>
      <c r="E830" s="78">
        <f>4040.398/1800.553*100</f>
        <v>224.39761562142294</v>
      </c>
      <c r="F830" s="76">
        <v>4040.3980000000001</v>
      </c>
      <c r="G830" s="84"/>
      <c r="H830" s="78">
        <v>130.96663359806013</v>
      </c>
      <c r="I830" s="78">
        <v>136.76956471430671</v>
      </c>
      <c r="J830" s="79">
        <f t="shared" si="523"/>
        <v>177.31048056244936</v>
      </c>
      <c r="K830" s="80">
        <v>541168.70830000006</v>
      </c>
      <c r="L830" s="83">
        <f t="shared" si="524"/>
        <v>173.54521864885709</v>
      </c>
      <c r="M830" s="22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IH830" s="32"/>
      <c r="II830" s="32"/>
      <c r="IJ830" s="32"/>
      <c r="IK830" s="32"/>
      <c r="IL830" s="32"/>
      <c r="IM830" s="32"/>
    </row>
    <row r="831" spans="1:247" s="28" customFormat="1" ht="20.25" customHeight="1" x14ac:dyDescent="0.25">
      <c r="A831" s="75">
        <v>38820</v>
      </c>
      <c r="B831" s="76">
        <v>318.00665600000002</v>
      </c>
      <c r="C831" s="76">
        <f t="shared" si="511"/>
        <v>317.21163936000005</v>
      </c>
      <c r="D831" s="76">
        <f t="shared" si="527"/>
        <v>318.80167263999999</v>
      </c>
      <c r="E831" s="78">
        <f>3953.365/1800.553*100</f>
        <v>219.56393396917503</v>
      </c>
      <c r="F831" s="76">
        <v>3953.3649999999998</v>
      </c>
      <c r="G831" s="84"/>
      <c r="H831" s="78">
        <v>131.33853553520768</v>
      </c>
      <c r="I831" s="78">
        <v>136.67463556753077</v>
      </c>
      <c r="J831" s="79">
        <f t="shared" si="523"/>
        <v>175.6259390836359</v>
      </c>
      <c r="K831" s="80">
        <v>541799.2023</v>
      </c>
      <c r="L831" s="83">
        <f t="shared" si="524"/>
        <v>172.29575254689053</v>
      </c>
      <c r="M831" s="22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IH831" s="32"/>
      <c r="II831" s="32"/>
      <c r="IJ831" s="32"/>
      <c r="IK831" s="32"/>
      <c r="IL831" s="32"/>
      <c r="IM831" s="32"/>
    </row>
    <row r="832" spans="1:247" s="28" customFormat="1" ht="20.25" customHeight="1" x14ac:dyDescent="0.25">
      <c r="A832" s="75">
        <v>38813</v>
      </c>
      <c r="B832" s="76">
        <v>317.13175899999999</v>
      </c>
      <c r="C832" s="76">
        <f t="shared" si="511"/>
        <v>316.3389296025</v>
      </c>
      <c r="D832" s="76">
        <f t="shared" si="527"/>
        <v>317.92458839749997</v>
      </c>
      <c r="E832" s="78">
        <f>4021.489/1800.553*100</f>
        <v>223.34743825924588</v>
      </c>
      <c r="F832" s="76">
        <v>4021.489</v>
      </c>
      <c r="G832" s="84"/>
      <c r="H832" s="78">
        <v>131.08637395882471</v>
      </c>
      <c r="I832" s="78">
        <v>136.58011389648834</v>
      </c>
      <c r="J832" s="79">
        <f t="shared" si="523"/>
        <v>176.95454610279523</v>
      </c>
      <c r="K832" s="80">
        <v>552323.79619999998</v>
      </c>
      <c r="L832" s="83">
        <f t="shared" si="524"/>
        <v>175.1594170264635</v>
      </c>
      <c r="M832" s="22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IH832" s="32"/>
      <c r="II832" s="32"/>
      <c r="IJ832" s="32"/>
      <c r="IK832" s="32"/>
      <c r="IL832" s="32"/>
      <c r="IM832" s="32"/>
    </row>
    <row r="833" spans="1:247" s="28" customFormat="1" ht="20.25" customHeight="1" x14ac:dyDescent="0.25">
      <c r="A833" s="75">
        <v>38806</v>
      </c>
      <c r="B833" s="76">
        <v>312.57052399999998</v>
      </c>
      <c r="C833" s="76">
        <f t="shared" si="511"/>
        <v>311.78909769000001</v>
      </c>
      <c r="D833" s="76">
        <f t="shared" ref="D833:D838" si="528">1.0025*B833</f>
        <v>313.35195030999995</v>
      </c>
      <c r="E833" s="78">
        <f>3973.009/1800.553*100</f>
        <v>220.65493212363089</v>
      </c>
      <c r="F833" s="76">
        <v>3973.009</v>
      </c>
      <c r="G833" s="84"/>
      <c r="H833" s="78">
        <v>130.30914182290849</v>
      </c>
      <c r="I833" s="78">
        <v>136.48618367112158</v>
      </c>
      <c r="J833" s="79">
        <f t="shared" si="523"/>
        <v>175.36166044243978</v>
      </c>
      <c r="K833" s="80">
        <v>553197.12</v>
      </c>
      <c r="L833" s="83">
        <f t="shared" si="524"/>
        <v>172.91311367369084</v>
      </c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IH833" s="32"/>
      <c r="II833" s="32"/>
      <c r="IJ833" s="32"/>
      <c r="IK833" s="32"/>
      <c r="IL833" s="32"/>
      <c r="IM833" s="32"/>
    </row>
    <row r="834" spans="1:247" s="28" customFormat="1" ht="20.25" customHeight="1" x14ac:dyDescent="0.25">
      <c r="A834" s="75">
        <v>38799</v>
      </c>
      <c r="B834" s="76">
        <v>310.43074100000001</v>
      </c>
      <c r="C834" s="76">
        <f t="shared" si="511"/>
        <v>309.6546641475</v>
      </c>
      <c r="D834" s="76">
        <f t="shared" si="528"/>
        <v>311.20681785250002</v>
      </c>
      <c r="E834" s="78">
        <f>3931.867/1800.553*100</f>
        <v>218.3699674488893</v>
      </c>
      <c r="F834" s="76">
        <v>3931.8670000000002</v>
      </c>
      <c r="G834" s="84"/>
      <c r="H834" s="78">
        <v>131.12728249718171</v>
      </c>
      <c r="I834" s="78">
        <v>136.39284052153778</v>
      </c>
      <c r="J834" s="79">
        <f t="shared" si="523"/>
        <v>174.99203832857194</v>
      </c>
      <c r="K834" s="80">
        <v>569680.73360000004</v>
      </c>
      <c r="L834" s="83">
        <f t="shared" si="524"/>
        <v>176.84641226487162</v>
      </c>
      <c r="M834" s="22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IH834" s="32"/>
      <c r="II834" s="32"/>
      <c r="IJ834" s="32"/>
      <c r="IK834" s="32"/>
      <c r="IL834" s="32"/>
      <c r="IM834" s="32"/>
    </row>
    <row r="835" spans="1:247" s="28" customFormat="1" ht="20.25" customHeight="1" x14ac:dyDescent="0.25">
      <c r="A835" s="75">
        <v>38792</v>
      </c>
      <c r="B835" s="76">
        <v>310.57126399999999</v>
      </c>
      <c r="C835" s="76">
        <f t="shared" si="511"/>
        <v>309.79483584000002</v>
      </c>
      <c r="D835" s="76">
        <f t="shared" si="528"/>
        <v>311.34769215999995</v>
      </c>
      <c r="E835" s="78">
        <f>3943.433/1800.553*100</f>
        <v>219.01232565772847</v>
      </c>
      <c r="F835" s="76">
        <v>3943.433</v>
      </c>
      <c r="G835" s="84"/>
      <c r="H835" s="78">
        <v>129.90079454100101</v>
      </c>
      <c r="I835" s="78">
        <v>136.3007409308625</v>
      </c>
      <c r="J835" s="79">
        <f t="shared" si="523"/>
        <v>174.42439589442137</v>
      </c>
      <c r="K835" s="80">
        <v>570159.15520000004</v>
      </c>
      <c r="L835" s="83">
        <f t="shared" si="524"/>
        <v>177.07504951163617</v>
      </c>
      <c r="M835" s="22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IH835" s="32"/>
      <c r="II835" s="32"/>
      <c r="IJ835" s="32"/>
      <c r="IK835" s="32"/>
      <c r="IL835" s="32"/>
      <c r="IM835" s="32"/>
    </row>
    <row r="836" spans="1:247" s="3" customFormat="1" ht="20.25" customHeight="1" x14ac:dyDescent="0.25">
      <c r="A836" s="75">
        <v>38785</v>
      </c>
      <c r="B836" s="76">
        <v>306.26454999999999</v>
      </c>
      <c r="C836" s="76">
        <f t="shared" si="511"/>
        <v>305.49888862500001</v>
      </c>
      <c r="D836" s="76">
        <f t="shared" si="528"/>
        <v>307.03021137499996</v>
      </c>
      <c r="E836" s="78">
        <f>3837.321/1800.553*100</f>
        <v>213.11902509951105</v>
      </c>
      <c r="F836" s="76">
        <v>3837.3209999999999</v>
      </c>
      <c r="G836" s="84"/>
      <c r="H836" s="78">
        <v>136.0057895752602</v>
      </c>
      <c r="I836" s="78">
        <v>138.39296025092045</v>
      </c>
      <c r="J836" s="79">
        <f t="shared" si="523"/>
        <v>175.94057551445064</v>
      </c>
      <c r="K836" s="80">
        <v>576728.30669999996</v>
      </c>
      <c r="L836" s="83">
        <f t="shared" si="524"/>
        <v>176.63143532373746</v>
      </c>
      <c r="M836" s="22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  <c r="BN836" s="28"/>
      <c r="BO836" s="28"/>
      <c r="BP836" s="28"/>
      <c r="BQ836" s="28"/>
      <c r="BR836" s="28"/>
      <c r="BS836" s="28"/>
      <c r="BT836" s="28"/>
      <c r="BU836" s="28"/>
      <c r="BV836" s="28"/>
      <c r="BW836" s="28"/>
      <c r="BX836" s="28"/>
      <c r="BY836" s="28"/>
      <c r="BZ836" s="28"/>
      <c r="CA836" s="28"/>
      <c r="CB836" s="28"/>
      <c r="CC836" s="28"/>
      <c r="CD836" s="28"/>
      <c r="CE836" s="28"/>
      <c r="CF836" s="28"/>
      <c r="CG836" s="28"/>
      <c r="CH836" s="28"/>
      <c r="CI836" s="28"/>
      <c r="CJ836" s="28"/>
      <c r="CK836" s="28"/>
      <c r="CL836" s="28"/>
      <c r="CM836" s="28"/>
      <c r="CN836" s="28"/>
      <c r="CO836" s="28"/>
      <c r="CP836" s="28"/>
      <c r="CQ836" s="28"/>
      <c r="CR836" s="28"/>
      <c r="CS836" s="28"/>
      <c r="CT836" s="28"/>
      <c r="CU836" s="28"/>
      <c r="CV836" s="28"/>
      <c r="CW836" s="28"/>
      <c r="CX836" s="28"/>
      <c r="CY836" s="28"/>
      <c r="CZ836" s="28"/>
      <c r="DA836" s="28"/>
      <c r="DB836" s="28"/>
      <c r="DC836" s="28"/>
      <c r="DD836" s="28"/>
      <c r="DE836" s="28"/>
      <c r="DF836" s="28"/>
      <c r="DG836" s="28"/>
      <c r="DH836" s="28"/>
      <c r="DI836" s="28"/>
      <c r="DJ836" s="28"/>
      <c r="DK836" s="28"/>
      <c r="DL836" s="28"/>
      <c r="DM836" s="28"/>
      <c r="IH836"/>
      <c r="II836"/>
      <c r="IJ836"/>
      <c r="IK836"/>
      <c r="IL836"/>
      <c r="IM836"/>
    </row>
    <row r="837" spans="1:247" s="28" customFormat="1" ht="20.25" customHeight="1" x14ac:dyDescent="0.25">
      <c r="A837" s="75">
        <v>38778</v>
      </c>
      <c r="B837" s="76">
        <v>311.34293700000001</v>
      </c>
      <c r="C837" s="76">
        <f t="shared" si="511"/>
        <v>310.56457965750002</v>
      </c>
      <c r="D837" s="76">
        <f t="shared" si="528"/>
        <v>312.12129434249999</v>
      </c>
      <c r="E837" s="78">
        <f>3879.053/1800.553*100</f>
        <v>215.43675748506152</v>
      </c>
      <c r="F837" s="76">
        <v>3879.0529999999999</v>
      </c>
      <c r="G837" s="84"/>
      <c r="H837" s="78">
        <v>130.68671063921943</v>
      </c>
      <c r="I837" s="78">
        <v>136.20869408079872</v>
      </c>
      <c r="J837" s="79">
        <f t="shared" si="523"/>
        <v>173.34536165858015</v>
      </c>
      <c r="K837" s="80">
        <v>599312.97900000005</v>
      </c>
      <c r="L837" s="83">
        <f t="shared" si="524"/>
        <v>186.59186306407935</v>
      </c>
      <c r="M837" s="22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IH837" s="32"/>
      <c r="II837" s="32"/>
      <c r="IJ837" s="32"/>
      <c r="IK837" s="32"/>
      <c r="IL837" s="32"/>
      <c r="IM837" s="32"/>
    </row>
    <row r="838" spans="1:247" s="28" customFormat="1" ht="20.25" customHeight="1" x14ac:dyDescent="0.25">
      <c r="A838" s="75">
        <v>38771</v>
      </c>
      <c r="B838" s="76">
        <v>309.67047500000001</v>
      </c>
      <c r="C838" s="76">
        <f t="shared" si="511"/>
        <v>308.89629881250005</v>
      </c>
      <c r="D838" s="76">
        <f t="shared" si="528"/>
        <v>310.44465118749997</v>
      </c>
      <c r="E838" s="78">
        <f>3869.317/1800.553*100</f>
        <v>214.89603471822267</v>
      </c>
      <c r="F838" s="76">
        <v>3869.317</v>
      </c>
      <c r="G838" s="84"/>
      <c r="H838" s="78">
        <v>130.04115831727984</v>
      </c>
      <c r="I838" s="78">
        <v>136.11735504693326</v>
      </c>
      <c r="J838" s="79">
        <f t="shared" si="523"/>
        <v>172.69942937406489</v>
      </c>
      <c r="K838" s="80">
        <v>599312.97900000005</v>
      </c>
      <c r="L838" s="83">
        <f t="shared" si="524"/>
        <v>185.58953488059507</v>
      </c>
      <c r="M838" s="22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IH838" s="32"/>
      <c r="II838" s="32"/>
      <c r="IJ838" s="32"/>
      <c r="IK838" s="32"/>
      <c r="IL838" s="32"/>
      <c r="IM838" s="32"/>
    </row>
    <row r="839" spans="1:247" s="28" customFormat="1" ht="20.25" customHeight="1" x14ac:dyDescent="0.25">
      <c r="A839" s="75">
        <v>38764</v>
      </c>
      <c r="B839" s="76">
        <v>310.544397</v>
      </c>
      <c r="C839" s="76">
        <f t="shared" si="511"/>
        <v>309.76803600750003</v>
      </c>
      <c r="D839" s="76">
        <f t="shared" ref="D839:D844" si="529">1.0025*B839</f>
        <v>311.32075799249998</v>
      </c>
      <c r="E839" s="78">
        <f>3842.452/1800.553*100</f>
        <v>213.40399310656224</v>
      </c>
      <c r="F839" s="76">
        <v>3842.4520000000002</v>
      </c>
      <c r="G839" s="84"/>
      <c r="H839" s="78">
        <v>129.76036265601249</v>
      </c>
      <c r="I839" s="78">
        <v>136.02679157684858</v>
      </c>
      <c r="J839" s="79">
        <f t="shared" si="523"/>
        <v>171.91244986017506</v>
      </c>
      <c r="K839" s="80">
        <v>599263.41910000006</v>
      </c>
      <c r="L839" s="83">
        <f t="shared" si="524"/>
        <v>186.09789712856781</v>
      </c>
      <c r="M839" s="22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IH839" s="32"/>
      <c r="II839" s="32"/>
      <c r="IJ839" s="32"/>
      <c r="IK839" s="32"/>
      <c r="IL839" s="32"/>
      <c r="IM839" s="32"/>
    </row>
    <row r="840" spans="1:247" s="28" customFormat="1" ht="20.25" customHeight="1" x14ac:dyDescent="0.25">
      <c r="A840" s="75">
        <v>38757</v>
      </c>
      <c r="B840" s="76">
        <v>312.095122</v>
      </c>
      <c r="C840" s="76">
        <f t="shared" si="511"/>
        <v>311.31488419500005</v>
      </c>
      <c r="D840" s="76">
        <f t="shared" si="529"/>
        <v>312.87535980499996</v>
      </c>
      <c r="E840" s="78">
        <f>3813.438/1800.553*100</f>
        <v>211.79259927366761</v>
      </c>
      <c r="F840" s="76">
        <v>3813.4380000000001</v>
      </c>
      <c r="G840" s="84"/>
      <c r="H840" s="78">
        <v>129.68289895650986</v>
      </c>
      <c r="I840" s="78">
        <v>135.93711553766542</v>
      </c>
      <c r="J840" s="79">
        <f t="shared" si="523"/>
        <v>171.21000182454094</v>
      </c>
      <c r="K840" s="80">
        <v>599263.41910000006</v>
      </c>
      <c r="L840" s="83">
        <f t="shared" si="524"/>
        <v>187.02718989415166</v>
      </c>
      <c r="M840" s="22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IH840" s="32"/>
      <c r="II840" s="32"/>
      <c r="IJ840" s="32"/>
      <c r="IK840" s="32"/>
      <c r="IL840" s="32"/>
      <c r="IM840" s="32"/>
    </row>
    <row r="841" spans="1:247" s="28" customFormat="1" ht="20.25" customHeight="1" x14ac:dyDescent="0.25">
      <c r="A841" s="75">
        <v>38750</v>
      </c>
      <c r="B841" s="76">
        <v>312.78316100000001</v>
      </c>
      <c r="C841" s="76">
        <f t="shared" si="511"/>
        <v>312.00120309750002</v>
      </c>
      <c r="D841" s="76">
        <f t="shared" si="529"/>
        <v>313.56511890249999</v>
      </c>
      <c r="E841" s="78">
        <f>3843.1/1800.553*100</f>
        <v>213.43998204995907</v>
      </c>
      <c r="F841" s="76">
        <v>3843.1</v>
      </c>
      <c r="G841" s="84"/>
      <c r="H841" s="78">
        <v>130.3419282899647</v>
      </c>
      <c r="I841" s="78">
        <v>135.84787027928547</v>
      </c>
      <c r="J841" s="79">
        <f t="shared" si="523"/>
        <v>172.31058449864116</v>
      </c>
      <c r="K841" s="80">
        <v>599807.63789999997</v>
      </c>
      <c r="L841" s="83">
        <f t="shared" si="524"/>
        <v>187.6097289743054</v>
      </c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IH841" s="32"/>
      <c r="II841" s="32"/>
      <c r="IJ841" s="32"/>
      <c r="IK841" s="32"/>
      <c r="IL841" s="32"/>
      <c r="IM841" s="32"/>
    </row>
    <row r="842" spans="1:247" s="28" customFormat="1" ht="20.25" customHeight="1" x14ac:dyDescent="0.25">
      <c r="A842" s="75">
        <v>38743</v>
      </c>
      <c r="B842" s="76">
        <v>313.72360099999997</v>
      </c>
      <c r="C842" s="76">
        <f t="shared" si="511"/>
        <v>312.93929199749999</v>
      </c>
      <c r="D842" s="76">
        <f t="shared" si="529"/>
        <v>314.50791000249995</v>
      </c>
      <c r="E842" s="78">
        <f>3832.372/1800.553*100</f>
        <v>212.84416509816703</v>
      </c>
      <c r="F842" s="76">
        <v>3832.3719999999998</v>
      </c>
      <c r="G842" s="84"/>
      <c r="H842" s="78">
        <v>130.79817004093749</v>
      </c>
      <c r="I842" s="78">
        <v>135.75913829246892</v>
      </c>
      <c r="J842" s="79">
        <f t="shared" si="523"/>
        <v>172.36995085294973</v>
      </c>
      <c r="K842" s="80">
        <v>602514.66709999996</v>
      </c>
      <c r="L842" s="83">
        <f t="shared" si="524"/>
        <v>189.0230710179282</v>
      </c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IH842" s="32"/>
      <c r="II842" s="32"/>
      <c r="IJ842" s="32"/>
      <c r="IK842" s="32"/>
      <c r="IL842" s="32"/>
      <c r="IM842" s="32"/>
    </row>
    <row r="843" spans="1:247" s="28" customFormat="1" ht="20.25" customHeight="1" x14ac:dyDescent="0.25">
      <c r="A843" s="75">
        <v>38736</v>
      </c>
      <c r="B843" s="76">
        <v>312.327</v>
      </c>
      <c r="C843" s="76">
        <f t="shared" si="511"/>
        <v>311.54618250000004</v>
      </c>
      <c r="D843" s="76">
        <f t="shared" si="529"/>
        <v>313.10781749999995</v>
      </c>
      <c r="E843" s="78">
        <f>3817.788/1800.553*100</f>
        <v>212.0341917177667</v>
      </c>
      <c r="F843" s="76">
        <v>3817.788</v>
      </c>
      <c r="G843" s="84"/>
      <c r="H843" s="78">
        <v>130.74983113848327</v>
      </c>
      <c r="I843" s="78">
        <v>135.67155294927855</v>
      </c>
      <c r="J843" s="79">
        <f t="shared" si="523"/>
        <v>172.00961493454713</v>
      </c>
      <c r="K843" s="80">
        <v>602975</v>
      </c>
      <c r="L843" s="83">
        <f t="shared" si="524"/>
        <v>188.32537282499999</v>
      </c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IH843" s="32"/>
      <c r="II843" s="32"/>
      <c r="IJ843" s="32"/>
      <c r="IK843" s="32"/>
      <c r="IL843" s="32"/>
      <c r="IM843" s="32"/>
    </row>
    <row r="844" spans="1:247" s="28" customFormat="1" ht="20.25" customHeight="1" x14ac:dyDescent="0.25">
      <c r="A844" s="75">
        <v>38729</v>
      </c>
      <c r="B844" s="76">
        <v>312.48751900000002</v>
      </c>
      <c r="C844" s="76">
        <f t="shared" si="511"/>
        <v>311.70630020250002</v>
      </c>
      <c r="D844" s="76">
        <f t="shared" si="529"/>
        <v>313.26873779750002</v>
      </c>
      <c r="E844" s="78">
        <f>3850.225/1800.553*100</f>
        <v>213.83569381184557</v>
      </c>
      <c r="F844" s="76">
        <v>3850.2249999999999</v>
      </c>
      <c r="G844" s="84"/>
      <c r="H844" s="78">
        <v>130.66214044501316</v>
      </c>
      <c r="I844" s="78">
        <v>135.58531771547851</v>
      </c>
      <c r="J844" s="79">
        <f t="shared" si="523"/>
        <v>172.67905510604101</v>
      </c>
      <c r="K844" s="80">
        <v>603304.20609999995</v>
      </c>
      <c r="L844" s="83">
        <f t="shared" si="524"/>
        <v>188.52503456645366</v>
      </c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IH844" s="32"/>
      <c r="II844" s="32"/>
      <c r="IJ844" s="32"/>
      <c r="IK844" s="32"/>
      <c r="IL844" s="32"/>
      <c r="IM844" s="32"/>
    </row>
    <row r="845" spans="1:247" s="28" customFormat="1" ht="20.25" customHeight="1" x14ac:dyDescent="0.25">
      <c r="A845" s="75">
        <v>38722</v>
      </c>
      <c r="B845" s="76">
        <v>313.053966</v>
      </c>
      <c r="C845" s="76">
        <f t="shared" si="511"/>
        <v>312.27133108500004</v>
      </c>
      <c r="D845" s="76">
        <f t="shared" ref="D845:D850" si="530">1.0025*B845</f>
        <v>313.83660091499996</v>
      </c>
      <c r="E845" s="78">
        <f>3813.128/1800.553*100</f>
        <v>211.77538234086973</v>
      </c>
      <c r="F845" s="76">
        <v>3813.1280000000002</v>
      </c>
      <c r="G845" s="84"/>
      <c r="H845" s="78">
        <v>130.56030000000001</v>
      </c>
      <c r="I845" s="78">
        <v>135.49948009414896</v>
      </c>
      <c r="J845" s="79">
        <f t="shared" si="523"/>
        <v>171.77647415317062</v>
      </c>
      <c r="K845" s="80">
        <v>603483.1801</v>
      </c>
      <c r="L845" s="83">
        <f t="shared" si="524"/>
        <v>188.92280294459727</v>
      </c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IH845" s="32"/>
      <c r="II845" s="32"/>
      <c r="IJ845" s="32"/>
      <c r="IK845" s="32"/>
      <c r="IL845" s="32"/>
      <c r="IM845" s="32"/>
    </row>
    <row r="846" spans="1:247" s="28" customFormat="1" ht="20.25" customHeight="1" x14ac:dyDescent="0.25">
      <c r="A846" s="75">
        <v>38716</v>
      </c>
      <c r="B846" s="76">
        <v>308.04254600000002</v>
      </c>
      <c r="C846" s="76">
        <f t="shared" si="511"/>
        <v>307.27243963500001</v>
      </c>
      <c r="D846" s="76">
        <f t="shared" si="530"/>
        <v>308.81265236500002</v>
      </c>
      <c r="E846" s="78">
        <f>3701.795/1800.553*100</f>
        <v>205.59211531124046</v>
      </c>
      <c r="F846" s="76">
        <v>3701.7950000000001</v>
      </c>
      <c r="G846" s="84"/>
      <c r="H846" s="78">
        <v>129.7739</v>
      </c>
      <c r="I846" s="78">
        <v>135.42228588505586</v>
      </c>
      <c r="J846" s="79">
        <f t="shared" si="523"/>
        <v>168.72796647801886</v>
      </c>
      <c r="K846" s="80">
        <v>603484.1801</v>
      </c>
      <c r="L846" s="83">
        <f t="shared" si="524"/>
        <v>185.89880330872654</v>
      </c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IH846" s="32"/>
      <c r="II846" s="32"/>
      <c r="IJ846" s="32"/>
      <c r="IK846" s="32"/>
      <c r="IL846" s="32"/>
      <c r="IM846" s="32"/>
    </row>
    <row r="847" spans="1:247" s="28" customFormat="1" ht="20.25" customHeight="1" x14ac:dyDescent="0.25">
      <c r="A847" s="75">
        <v>38715</v>
      </c>
      <c r="B847" s="76">
        <v>308.376036</v>
      </c>
      <c r="C847" s="76">
        <f t="shared" si="511"/>
        <v>307.60509590999999</v>
      </c>
      <c r="D847" s="76">
        <f t="shared" si="530"/>
        <v>309.14697609000001</v>
      </c>
      <c r="E847" s="78">
        <f>3727.536/1800.553*100</f>
        <v>207.02173165688544</v>
      </c>
      <c r="F847" s="76">
        <v>3727.5360000000001</v>
      </c>
      <c r="G847" s="84"/>
      <c r="H847" s="78">
        <v>129.65979999999999</v>
      </c>
      <c r="I847" s="78">
        <v>135.40937120700238</v>
      </c>
      <c r="J847" s="79">
        <f t="shared" si="523"/>
        <v>169.23784957051697</v>
      </c>
      <c r="K847" s="80">
        <v>611253.83420000004</v>
      </c>
      <c r="L847" s="83">
        <f t="shared" si="524"/>
        <v>188.49603438039722</v>
      </c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IH847" s="32"/>
      <c r="II847" s="32"/>
      <c r="IJ847" s="32"/>
      <c r="IK847" s="32"/>
      <c r="IL847" s="32"/>
      <c r="IM847" s="32"/>
    </row>
    <row r="848" spans="1:247" s="3" customFormat="1" ht="20.25" customHeight="1" x14ac:dyDescent="0.25">
      <c r="A848" s="75">
        <v>38708</v>
      </c>
      <c r="B848" s="76">
        <v>307.54125900000003</v>
      </c>
      <c r="C848" s="76">
        <f t="shared" si="511"/>
        <v>306.77240585250001</v>
      </c>
      <c r="D848" s="76">
        <f t="shared" si="530"/>
        <v>308.31011214750004</v>
      </c>
      <c r="E848" s="78">
        <f>3736.632/1800.553*100</f>
        <v>207.52690978827059</v>
      </c>
      <c r="F848" s="76">
        <v>3736.6320000000001</v>
      </c>
      <c r="G848" s="84"/>
      <c r="H848" s="78">
        <v>129.71809999999999</v>
      </c>
      <c r="I848" s="78">
        <v>135.31916416558227</v>
      </c>
      <c r="J848" s="79">
        <f t="shared" si="523"/>
        <v>169.48221868004973</v>
      </c>
      <c r="K848" s="80">
        <v>611253.83420000004</v>
      </c>
      <c r="L848" s="83">
        <f t="shared" si="524"/>
        <v>187.98577373844529</v>
      </c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IH848"/>
      <c r="II848"/>
      <c r="IJ848"/>
      <c r="IK848"/>
      <c r="IL848"/>
      <c r="IM848"/>
    </row>
    <row r="849" spans="1:247" s="3" customFormat="1" ht="20.25" customHeight="1" x14ac:dyDescent="0.25">
      <c r="A849" s="75">
        <v>38701</v>
      </c>
      <c r="B849" s="76">
        <v>308.21881100000002</v>
      </c>
      <c r="C849" s="76">
        <f t="shared" si="511"/>
        <v>307.44826397250006</v>
      </c>
      <c r="D849" s="76">
        <f t="shared" si="530"/>
        <v>308.98935802749997</v>
      </c>
      <c r="E849" s="78">
        <f>3719.936/1800.553*100</f>
        <v>206.59963911087314</v>
      </c>
      <c r="F849" s="76">
        <v>3719.9360000000001</v>
      </c>
      <c r="G849" s="84"/>
      <c r="H849" s="78">
        <v>129.79990000000001</v>
      </c>
      <c r="I849" s="78">
        <v>135.22871755302072</v>
      </c>
      <c r="J849" s="79">
        <f t="shared" si="523"/>
        <v>169.15591282501114</v>
      </c>
      <c r="K849" s="80">
        <v>611721.30229999998</v>
      </c>
      <c r="L849" s="83">
        <f t="shared" si="524"/>
        <v>188.54401245827759</v>
      </c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IH849"/>
      <c r="II849"/>
      <c r="IJ849"/>
      <c r="IK849"/>
      <c r="IL849"/>
      <c r="IM849"/>
    </row>
    <row r="850" spans="1:247" s="3" customFormat="1" ht="20.25" customHeight="1" x14ac:dyDescent="0.25">
      <c r="A850" s="75">
        <v>38694</v>
      </c>
      <c r="B850" s="76">
        <v>305.09424799999999</v>
      </c>
      <c r="C850" s="76">
        <f t="shared" si="511"/>
        <v>304.33151237999999</v>
      </c>
      <c r="D850" s="76">
        <f t="shared" si="530"/>
        <v>305.85698361999999</v>
      </c>
      <c r="E850" s="78">
        <f>3672.328/1800.553*100</f>
        <v>203.95556254106376</v>
      </c>
      <c r="F850" s="76">
        <v>3672.328</v>
      </c>
      <c r="G850" s="84"/>
      <c r="H850" s="78">
        <v>128.7568</v>
      </c>
      <c r="I850" s="78">
        <v>135.13905735172509</v>
      </c>
      <c r="J850" s="79">
        <f t="shared" si="523"/>
        <v>167.39282253597727</v>
      </c>
      <c r="K850" s="80">
        <v>614001.83909999998</v>
      </c>
      <c r="L850" s="83">
        <f t="shared" si="524"/>
        <v>187.32842937083149</v>
      </c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IH850"/>
      <c r="II850"/>
      <c r="IJ850"/>
      <c r="IK850"/>
      <c r="IL850"/>
      <c r="IM850"/>
    </row>
    <row r="851" spans="1:247" s="3" customFormat="1" ht="20.25" customHeight="1" x14ac:dyDescent="0.25">
      <c r="A851" s="75">
        <v>38687</v>
      </c>
      <c r="B851" s="76">
        <v>302.68021900000002</v>
      </c>
      <c r="C851" s="76">
        <f t="shared" si="511"/>
        <v>301.92351845250005</v>
      </c>
      <c r="D851" s="76">
        <f t="shared" ref="D851:D856" si="531">1.0025*B851</f>
        <v>303.4369195475</v>
      </c>
      <c r="E851" s="78">
        <f>3659.046/1800.553*100</f>
        <v>203.21790027841442</v>
      </c>
      <c r="F851" s="76">
        <v>3659.0459999999998</v>
      </c>
      <c r="G851" s="84"/>
      <c r="H851" s="78">
        <v>128.48560000000001</v>
      </c>
      <c r="I851" s="78">
        <v>135.04994312975157</v>
      </c>
      <c r="J851" s="79">
        <f t="shared" si="523"/>
        <v>166.91372587272036</v>
      </c>
      <c r="K851" s="80">
        <v>613672.28130000003</v>
      </c>
      <c r="L851" s="83">
        <f t="shared" si="524"/>
        <v>185.74646049811363</v>
      </c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IH851"/>
      <c r="II851"/>
      <c r="IJ851"/>
      <c r="IK851"/>
      <c r="IL851"/>
      <c r="IM851"/>
    </row>
    <row r="852" spans="1:247" s="3" customFormat="1" ht="20.25" customHeight="1" x14ac:dyDescent="0.25">
      <c r="A852" s="75">
        <v>38680</v>
      </c>
      <c r="B852" s="76">
        <v>302.38557100000003</v>
      </c>
      <c r="C852" s="76">
        <f t="shared" si="511"/>
        <v>301.62960707250005</v>
      </c>
      <c r="D852" s="76">
        <f t="shared" si="531"/>
        <v>303.1415349275</v>
      </c>
      <c r="E852" s="78">
        <f>3653.187/1800.553*100</f>
        <v>202.89250024853476</v>
      </c>
      <c r="F852" s="76">
        <v>3653.1869999999999</v>
      </c>
      <c r="G852" s="84"/>
      <c r="H852" s="78">
        <v>128.87610000000001</v>
      </c>
      <c r="I852" s="78">
        <v>134.96089691906135</v>
      </c>
      <c r="J852" s="79">
        <f t="shared" si="523"/>
        <v>167.03284007412805</v>
      </c>
      <c r="K852" s="80">
        <v>614063.67290000001</v>
      </c>
      <c r="L852" s="83">
        <f t="shared" si="524"/>
        <v>185.68399436022375</v>
      </c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IH852"/>
      <c r="II852"/>
      <c r="IJ852"/>
      <c r="IK852"/>
      <c r="IL852"/>
      <c r="IM852"/>
    </row>
    <row r="853" spans="1:247" s="3" customFormat="1" ht="20.25" customHeight="1" x14ac:dyDescent="0.25">
      <c r="A853" s="75">
        <v>38673</v>
      </c>
      <c r="B853" s="76">
        <v>302.90729099999999</v>
      </c>
      <c r="C853" s="76">
        <f t="shared" si="511"/>
        <v>302.15002277249999</v>
      </c>
      <c r="D853" s="76">
        <f t="shared" si="531"/>
        <v>303.66455922749998</v>
      </c>
      <c r="E853" s="78">
        <f>3587.545/1800.553*100</f>
        <v>199.2468424978326</v>
      </c>
      <c r="F853" s="76">
        <v>3587.5450000000001</v>
      </c>
      <c r="G853" s="84"/>
      <c r="H853" s="78">
        <v>128.73849999999999</v>
      </c>
      <c r="I853" s="78">
        <v>134.87287722026625</v>
      </c>
      <c r="J853" s="79">
        <f t="shared" si="523"/>
        <v>165.43096988975546</v>
      </c>
      <c r="K853" s="80">
        <v>612754.89919999999</v>
      </c>
      <c r="L853" s="83">
        <f t="shared" si="524"/>
        <v>185.60792656365004</v>
      </c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IH853"/>
      <c r="II853"/>
      <c r="IJ853"/>
      <c r="IK853"/>
      <c r="IL853"/>
      <c r="IM853"/>
    </row>
    <row r="854" spans="1:247" s="3" customFormat="1" ht="20.25" customHeight="1" x14ac:dyDescent="0.25">
      <c r="A854" s="75">
        <v>38666</v>
      </c>
      <c r="B854" s="76">
        <v>303.40412900000001</v>
      </c>
      <c r="C854" s="76">
        <f t="shared" si="511"/>
        <v>302.64561867750001</v>
      </c>
      <c r="D854" s="76">
        <f t="shared" si="531"/>
        <v>304.16263932250001</v>
      </c>
      <c r="E854" s="78">
        <f>3554.351/1800.553*100</f>
        <v>197.40329776463119</v>
      </c>
      <c r="F854" s="76">
        <v>3554.3510000000001</v>
      </c>
      <c r="G854" s="84"/>
      <c r="H854" s="78">
        <v>128.4135</v>
      </c>
      <c r="I854" s="78">
        <v>134.78530079788101</v>
      </c>
      <c r="J854" s="79">
        <f t="shared" si="523"/>
        <v>164.45494108613622</v>
      </c>
      <c r="K854" s="80">
        <v>611931.36510000005</v>
      </c>
      <c r="L854" s="83">
        <f t="shared" si="524"/>
        <v>185.66250283594653</v>
      </c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IH854"/>
      <c r="II854"/>
      <c r="IJ854"/>
      <c r="IK854"/>
      <c r="IL854"/>
      <c r="IM854"/>
    </row>
    <row r="855" spans="1:247" s="3" customFormat="1" ht="20.25" customHeight="1" x14ac:dyDescent="0.25">
      <c r="A855" s="75">
        <v>38659</v>
      </c>
      <c r="B855" s="76">
        <v>304.20364999999998</v>
      </c>
      <c r="C855" s="76">
        <f t="shared" si="511"/>
        <v>303.44314087499998</v>
      </c>
      <c r="D855" s="76">
        <f t="shared" si="531"/>
        <v>304.96415912499998</v>
      </c>
      <c r="E855" s="78">
        <f>3559.077/1800.553*100</f>
        <v>197.66577268205933</v>
      </c>
      <c r="F855" s="76">
        <v>3559.0770000000002</v>
      </c>
      <c r="G855" s="84"/>
      <c r="H855" s="78">
        <v>128.97190000000001</v>
      </c>
      <c r="I855" s="78">
        <v>134.69804182506866</v>
      </c>
      <c r="J855" s="79">
        <f t="shared" si="523"/>
        <v>164.92146247995214</v>
      </c>
      <c r="K855" s="80">
        <v>612695.97439999995</v>
      </c>
      <c r="L855" s="83">
        <f t="shared" si="524"/>
        <v>186.38435175278656</v>
      </c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IH855"/>
      <c r="II855"/>
      <c r="IJ855"/>
      <c r="IK855"/>
      <c r="IL855"/>
      <c r="IM855"/>
    </row>
    <row r="856" spans="1:247" s="3" customFormat="1" ht="20.25" customHeight="1" x14ac:dyDescent="0.25">
      <c r="A856" s="75">
        <v>38652</v>
      </c>
      <c r="B856" s="76">
        <v>304.64372300000002</v>
      </c>
      <c r="C856" s="76">
        <f t="shared" si="511"/>
        <v>303.88211369250001</v>
      </c>
      <c r="D856" s="76">
        <f t="shared" si="531"/>
        <v>305.40533230750003</v>
      </c>
      <c r="E856" s="78">
        <f>3447.623/1800.553*100</f>
        <v>191.47578549478965</v>
      </c>
      <c r="F856" s="76">
        <v>3447.623</v>
      </c>
      <c r="G856" s="84"/>
      <c r="H856" s="78">
        <v>129.6181</v>
      </c>
      <c r="I856" s="78">
        <v>134.61197291188842</v>
      </c>
      <c r="J856" s="79">
        <f t="shared" si="523"/>
        <v>162.69719931301501</v>
      </c>
      <c r="K856" s="80">
        <v>614229.34580000001</v>
      </c>
      <c r="L856" s="83">
        <f t="shared" si="524"/>
        <v>187.12111468036642</v>
      </c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IH856"/>
      <c r="II856"/>
      <c r="IJ856"/>
      <c r="IK856"/>
      <c r="IL856"/>
      <c r="IM856"/>
    </row>
    <row r="857" spans="1:247" s="3" customFormat="1" ht="20.25" customHeight="1" x14ac:dyDescent="0.25">
      <c r="A857" s="75">
        <v>38645</v>
      </c>
      <c r="B857" s="76">
        <v>304.44650000000001</v>
      </c>
      <c r="C857" s="76">
        <f t="shared" si="511"/>
        <v>303.68538375000003</v>
      </c>
      <c r="D857" s="76">
        <f t="shared" ref="D857:D862" si="532">1.0025*B857</f>
        <v>305.20761625</v>
      </c>
      <c r="E857" s="78">
        <f>3423.37/1800.553*100</f>
        <v>190.12881042657449</v>
      </c>
      <c r="F857" s="76">
        <v>3423.37</v>
      </c>
      <c r="G857" s="84"/>
      <c r="H857" s="78">
        <v>129.30860000000001</v>
      </c>
      <c r="I857" s="78">
        <v>134.52747859827565</v>
      </c>
      <c r="J857" s="79">
        <f t="shared" si="523"/>
        <v>161.92981082508504</v>
      </c>
      <c r="K857" s="80">
        <v>629795.44519999996</v>
      </c>
      <c r="L857" s="83">
        <f t="shared" si="524"/>
        <v>191.73901900708179</v>
      </c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IH857"/>
      <c r="II857"/>
      <c r="IJ857"/>
      <c r="IK857"/>
      <c r="IL857"/>
      <c r="IM857"/>
    </row>
    <row r="858" spans="1:247" s="3" customFormat="1" ht="20.25" customHeight="1" x14ac:dyDescent="0.25">
      <c r="A858" s="75">
        <v>38638</v>
      </c>
      <c r="B858" s="76">
        <v>306.52800000000002</v>
      </c>
      <c r="C858" s="76">
        <f t="shared" si="511"/>
        <v>305.76168000000001</v>
      </c>
      <c r="D858" s="76">
        <f t="shared" si="532"/>
        <v>307.29432000000003</v>
      </c>
      <c r="E858" s="78">
        <f>3442.076/1800.553*100</f>
        <v>191.16771347469358</v>
      </c>
      <c r="F858" s="76">
        <v>3442.076</v>
      </c>
      <c r="G858" s="84"/>
      <c r="H858" s="78">
        <v>129.495</v>
      </c>
      <c r="I858" s="78">
        <v>134.44432085931334</v>
      </c>
      <c r="J858" s="79">
        <f t="shared" si="523"/>
        <v>162.48827888393805</v>
      </c>
      <c r="K858" s="80">
        <v>643795.03830000001</v>
      </c>
      <c r="L858" s="83">
        <f t="shared" si="524"/>
        <v>197.3412055000224</v>
      </c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  <c r="BN858" s="28"/>
      <c r="BO858" s="28"/>
      <c r="BP858" s="28"/>
      <c r="BQ858" s="28"/>
      <c r="BR858" s="28"/>
      <c r="BS858" s="28"/>
      <c r="BT858" s="28"/>
      <c r="BU858" s="28"/>
      <c r="BV858" s="28"/>
      <c r="BW858" s="28"/>
      <c r="BX858" s="28"/>
      <c r="BY858" s="28"/>
      <c r="BZ858" s="28"/>
      <c r="CA858" s="28"/>
      <c r="CB858" s="28"/>
      <c r="CC858" s="28"/>
      <c r="CD858" s="28"/>
      <c r="CE858" s="28"/>
      <c r="CF858" s="28"/>
      <c r="CG858" s="28"/>
      <c r="CH858" s="28"/>
      <c r="CI858" s="28"/>
      <c r="CJ858" s="28"/>
      <c r="CK858" s="28"/>
      <c r="CL858" s="28"/>
      <c r="CM858" s="28"/>
      <c r="CN858" s="28"/>
      <c r="CO858" s="28"/>
      <c r="CP858" s="28"/>
      <c r="CQ858" s="28"/>
      <c r="CR858" s="28"/>
      <c r="CS858" s="28"/>
      <c r="CT858" s="28"/>
      <c r="CU858" s="28"/>
      <c r="CV858" s="28"/>
      <c r="CW858" s="28"/>
      <c r="CX858" s="28"/>
      <c r="CY858" s="28"/>
      <c r="CZ858" s="28"/>
      <c r="DA858" s="28"/>
      <c r="DB858" s="28"/>
      <c r="DC858" s="28"/>
      <c r="DD858" s="28"/>
      <c r="DE858" s="28"/>
      <c r="DF858" s="28"/>
      <c r="DG858" s="28"/>
      <c r="DH858" s="28"/>
      <c r="DI858" s="28"/>
      <c r="DJ858" s="28"/>
      <c r="DK858" s="28"/>
      <c r="DL858" s="28"/>
      <c r="DM858" s="28"/>
      <c r="IH858"/>
      <c r="II858"/>
      <c r="IJ858"/>
      <c r="IK858"/>
      <c r="IL858"/>
      <c r="IM858"/>
    </row>
    <row r="859" spans="1:247" s="3" customFormat="1" ht="20.25" customHeight="1" x14ac:dyDescent="0.25">
      <c r="A859" s="75">
        <v>38631</v>
      </c>
      <c r="B859" s="76">
        <v>306.28109999999998</v>
      </c>
      <c r="C859" s="76">
        <f t="shared" si="511"/>
        <v>305.51539724999998</v>
      </c>
      <c r="D859" s="76">
        <f t="shared" si="532"/>
        <v>307.04680274999998</v>
      </c>
      <c r="E859" s="78">
        <f>3499.59/1800.553*100</f>
        <v>194.3619543551342</v>
      </c>
      <c r="F859" s="76">
        <v>3499.59</v>
      </c>
      <c r="G859" s="84"/>
      <c r="H859" s="78">
        <v>129.87020000000001</v>
      </c>
      <c r="I859" s="78">
        <v>134.36185021457686</v>
      </c>
      <c r="J859" s="79">
        <f t="shared" si="523"/>
        <v>164.07351908251718</v>
      </c>
      <c r="K859" s="80">
        <v>649287.98369999998</v>
      </c>
      <c r="L859" s="83">
        <f t="shared" si="524"/>
        <v>198.86463786441806</v>
      </c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  <c r="BN859" s="28"/>
      <c r="BO859" s="28"/>
      <c r="BP859" s="28"/>
      <c r="BQ859" s="28"/>
      <c r="BR859" s="28"/>
      <c r="BS859" s="28"/>
      <c r="BT859" s="28"/>
      <c r="BU859" s="28"/>
      <c r="BV859" s="28"/>
      <c r="BW859" s="28"/>
      <c r="BX859" s="28"/>
      <c r="BY859" s="28"/>
      <c r="BZ859" s="28"/>
      <c r="CA859" s="28"/>
      <c r="CB859" s="28"/>
      <c r="CC859" s="28"/>
      <c r="CD859" s="28"/>
      <c r="CE859" s="28"/>
      <c r="CF859" s="28"/>
      <c r="CG859" s="28"/>
      <c r="CH859" s="28"/>
      <c r="CI859" s="28"/>
      <c r="CJ859" s="28"/>
      <c r="CK859" s="28"/>
      <c r="CL859" s="28"/>
      <c r="CM859" s="28"/>
      <c r="CN859" s="28"/>
      <c r="CO859" s="28"/>
      <c r="CP859" s="28"/>
      <c r="CQ859" s="28"/>
      <c r="CR859" s="28"/>
      <c r="CS859" s="28"/>
      <c r="CT859" s="28"/>
      <c r="CU859" s="28"/>
      <c r="CV859" s="28"/>
      <c r="CW859" s="28"/>
      <c r="CX859" s="28"/>
      <c r="CY859" s="28"/>
      <c r="CZ859" s="28"/>
      <c r="DA859" s="28"/>
      <c r="DB859" s="28"/>
      <c r="DC859" s="28"/>
      <c r="DD859" s="28"/>
      <c r="DE859" s="28"/>
      <c r="DF859" s="28"/>
      <c r="DG859" s="28"/>
      <c r="DH859" s="28"/>
      <c r="DI859" s="28"/>
      <c r="DJ859" s="28"/>
      <c r="DK859" s="28"/>
      <c r="DL859" s="28"/>
      <c r="DM859" s="28"/>
      <c r="IH859"/>
      <c r="II859"/>
      <c r="IJ859"/>
      <c r="IK859"/>
      <c r="IL859"/>
      <c r="IM859"/>
    </row>
    <row r="860" spans="1:247" s="3" customFormat="1" ht="20.25" customHeight="1" x14ac:dyDescent="0.25">
      <c r="A860" s="75">
        <v>38625</v>
      </c>
      <c r="B860" s="76">
        <v>305.66127999999998</v>
      </c>
      <c r="C860" s="76">
        <f t="shared" si="511"/>
        <v>304.89712679999997</v>
      </c>
      <c r="D860" s="76">
        <f t="shared" si="532"/>
        <v>306.42543319999999</v>
      </c>
      <c r="E860" s="78">
        <f>3588.41/1800.553*100</f>
        <v>199.29488329418794</v>
      </c>
      <c r="F860" s="76">
        <v>3588.41</v>
      </c>
      <c r="G860" s="84"/>
      <c r="H860" s="78">
        <v>129.52789999999999</v>
      </c>
      <c r="I860" s="78">
        <v>134.29216775636587</v>
      </c>
      <c r="J860" s="79">
        <f t="shared" si="523"/>
        <v>165.90756380084804</v>
      </c>
      <c r="K860" s="80">
        <v>649287.98369999998</v>
      </c>
      <c r="L860" s="83">
        <f t="shared" si="524"/>
        <v>198.4621961863611</v>
      </c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  <c r="BN860" s="28"/>
      <c r="BO860" s="28"/>
      <c r="BP860" s="28"/>
      <c r="BQ860" s="28"/>
      <c r="BR860" s="28"/>
      <c r="BS860" s="28"/>
      <c r="BT860" s="28"/>
      <c r="BU860" s="28"/>
      <c r="BV860" s="28"/>
      <c r="BW860" s="28"/>
      <c r="BX860" s="28"/>
      <c r="BY860" s="28"/>
      <c r="BZ860" s="28"/>
      <c r="CA860" s="28"/>
      <c r="CB860" s="28"/>
      <c r="CC860" s="28"/>
      <c r="CD860" s="28"/>
      <c r="CE860" s="28"/>
      <c r="CF860" s="28"/>
      <c r="CG860" s="28"/>
      <c r="CH860" s="28"/>
      <c r="CI860" s="28"/>
      <c r="CJ860" s="28"/>
      <c r="CK860" s="28"/>
      <c r="CL860" s="28"/>
      <c r="CM860" s="28"/>
      <c r="CN860" s="28"/>
      <c r="CO860" s="28"/>
      <c r="CP860" s="28"/>
      <c r="CQ860" s="28"/>
      <c r="CR860" s="28"/>
      <c r="CS860" s="28"/>
      <c r="CT860" s="28"/>
      <c r="CU860" s="28"/>
      <c r="CV860" s="28"/>
      <c r="CW860" s="28"/>
      <c r="CX860" s="28"/>
      <c r="CY860" s="28"/>
      <c r="CZ860" s="28"/>
      <c r="DA860" s="28"/>
      <c r="DB860" s="28"/>
      <c r="DC860" s="28"/>
      <c r="DD860" s="28"/>
      <c r="DE860" s="28"/>
      <c r="DF860" s="28"/>
      <c r="DG860" s="28"/>
      <c r="DH860" s="28"/>
      <c r="DI860" s="28"/>
      <c r="DJ860" s="28"/>
      <c r="DK860" s="28"/>
      <c r="DL860" s="28"/>
      <c r="DM860" s="28"/>
      <c r="IH860"/>
      <c r="II860"/>
      <c r="IJ860"/>
      <c r="IK860"/>
      <c r="IL860"/>
      <c r="IM860"/>
    </row>
    <row r="861" spans="1:247" s="28" customFormat="1" ht="20.25" customHeight="1" x14ac:dyDescent="0.25">
      <c r="A861" s="75">
        <v>38624</v>
      </c>
      <c r="B861" s="76">
        <v>305.69639999999998</v>
      </c>
      <c r="C861" s="76">
        <f t="shared" si="511"/>
        <v>304.93215900000001</v>
      </c>
      <c r="D861" s="76">
        <f t="shared" si="532"/>
        <v>306.46064099999995</v>
      </c>
      <c r="E861" s="78">
        <f>3581.079/1800.553*100</f>
        <v>198.8877306027648</v>
      </c>
      <c r="F861" s="76">
        <v>3581.0790000000002</v>
      </c>
      <c r="G861" s="84"/>
      <c r="H861" s="78">
        <v>129.57740000000001</v>
      </c>
      <c r="I861" s="78">
        <v>134.28063156750892</v>
      </c>
      <c r="J861" s="79">
        <f t="shared" si="523"/>
        <v>165.76954927109114</v>
      </c>
      <c r="K861" s="80">
        <v>652885.66839999997</v>
      </c>
      <c r="L861" s="83">
        <f t="shared" si="524"/>
        <v>199.58479844147377</v>
      </c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IH861" s="32"/>
      <c r="II861" s="32"/>
      <c r="IJ861" s="32"/>
      <c r="IK861" s="32"/>
      <c r="IL861" s="32"/>
      <c r="IM861" s="32"/>
    </row>
    <row r="862" spans="1:247" s="28" customFormat="1" ht="20.25" customHeight="1" x14ac:dyDescent="0.25">
      <c r="A862" s="75">
        <v>38617</v>
      </c>
      <c r="B862" s="76">
        <v>305.81099999999998</v>
      </c>
      <c r="C862" s="76">
        <f t="shared" si="511"/>
        <v>305.04647249999999</v>
      </c>
      <c r="D862" s="76">
        <f t="shared" si="532"/>
        <v>306.57552749999996</v>
      </c>
      <c r="E862" s="78">
        <f>3531.489/1800.553*100</f>
        <v>196.13357674003487</v>
      </c>
      <c r="F862" s="76">
        <v>3531.489</v>
      </c>
      <c r="G862" s="84"/>
      <c r="H862" s="78">
        <v>129.83799999999999</v>
      </c>
      <c r="I862" s="78">
        <v>134.20019932514572</v>
      </c>
      <c r="J862" s="79">
        <f t="shared" si="523"/>
        <v>164.77798793415425</v>
      </c>
      <c r="K862" s="80">
        <v>654123.61</v>
      </c>
      <c r="L862" s="83">
        <f t="shared" si="524"/>
        <v>200.03819529770996</v>
      </c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IH862" s="32"/>
      <c r="II862" s="32"/>
      <c r="IJ862" s="32"/>
      <c r="IK862" s="32"/>
      <c r="IL862" s="32"/>
      <c r="IM862" s="32"/>
    </row>
    <row r="863" spans="1:247" s="28" customFormat="1" ht="20.25" customHeight="1" x14ac:dyDescent="0.25">
      <c r="A863" s="75">
        <v>38610</v>
      </c>
      <c r="B863" s="76">
        <v>306.86357500000003</v>
      </c>
      <c r="C863" s="76">
        <f t="shared" si="511"/>
        <v>306.09641606250005</v>
      </c>
      <c r="D863" s="76">
        <f t="shared" ref="D863:D869" si="533">1.0025*B863</f>
        <v>307.6307339375</v>
      </c>
      <c r="E863" s="78">
        <f>3555.704/1800.553*100</f>
        <v>197.47844134551994</v>
      </c>
      <c r="F863" s="76">
        <v>3555.7040000000002</v>
      </c>
      <c r="G863" s="84"/>
      <c r="H863" s="78">
        <v>130.01920000000001</v>
      </c>
      <c r="I863" s="78">
        <v>134.12168379328546</v>
      </c>
      <c r="J863" s="79">
        <f t="shared" si="523"/>
        <v>165.45667672382581</v>
      </c>
      <c r="K863" s="80">
        <v>654455.31000000006</v>
      </c>
      <c r="L863" s="83">
        <f t="shared" si="524"/>
        <v>200.82849610433328</v>
      </c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IH863" s="32"/>
      <c r="II863" s="32"/>
      <c r="IJ863" s="32"/>
      <c r="IK863" s="32"/>
      <c r="IL863" s="32"/>
      <c r="IM863" s="32"/>
    </row>
    <row r="864" spans="1:247" s="28" customFormat="1" ht="20.25" customHeight="1" x14ac:dyDescent="0.25">
      <c r="A864" s="75">
        <v>38603</v>
      </c>
      <c r="B864" s="76">
        <v>306.71170000000001</v>
      </c>
      <c r="C864" s="76">
        <f t="shared" si="511"/>
        <v>305.94492075000005</v>
      </c>
      <c r="D864" s="76">
        <f>1.0025*B864</f>
        <v>307.47847924999996</v>
      </c>
      <c r="E864" s="78">
        <f>3558.596/1800.553*100</f>
        <v>197.63905866697621</v>
      </c>
      <c r="F864" s="76">
        <v>3558.596</v>
      </c>
      <c r="G864" s="84"/>
      <c r="H864" s="78">
        <v>130.21250000000001</v>
      </c>
      <c r="I864" s="78">
        <v>134.04414553496989</v>
      </c>
      <c r="J864" s="79">
        <f t="shared" si="523"/>
        <v>165.64693685354044</v>
      </c>
      <c r="K864" s="80">
        <v>681578.96380000003</v>
      </c>
      <c r="L864" s="83">
        <f t="shared" si="524"/>
        <v>209.04824267133648</v>
      </c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IH864" s="32"/>
      <c r="II864" s="32"/>
      <c r="IJ864" s="32"/>
      <c r="IK864" s="32"/>
      <c r="IL864" s="32"/>
      <c r="IM864" s="32"/>
    </row>
    <row r="865" spans="1:247" s="28" customFormat="1" ht="20.25" customHeight="1" x14ac:dyDescent="0.25">
      <c r="A865" s="75">
        <v>38596</v>
      </c>
      <c r="B865" s="76">
        <v>307.69009999999997</v>
      </c>
      <c r="C865" s="76">
        <f t="shared" si="511"/>
        <v>306.92087475</v>
      </c>
      <c r="D865" s="76">
        <f t="shared" si="533"/>
        <v>308.45932524999995</v>
      </c>
      <c r="E865" s="78">
        <f>3530.328/1800.553*100</f>
        <v>196.06909654978219</v>
      </c>
      <c r="F865" s="76">
        <v>3530.328</v>
      </c>
      <c r="G865" s="84"/>
      <c r="H865" s="78">
        <v>130.536</v>
      </c>
      <c r="I865" s="78">
        <v>133.96737107351441</v>
      </c>
      <c r="J865" s="79">
        <f t="shared" si="523"/>
        <v>165.19027293209774</v>
      </c>
      <c r="K865" s="80">
        <v>681465.49670000002</v>
      </c>
      <c r="L865" s="83">
        <f t="shared" si="524"/>
        <v>209.68018682617264</v>
      </c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IH865" s="32"/>
      <c r="II865" s="32"/>
      <c r="IJ865" s="32"/>
      <c r="IK865" s="32"/>
      <c r="IL865" s="32"/>
      <c r="IM865" s="32"/>
    </row>
    <row r="866" spans="1:247" s="28" customFormat="1" ht="20.25" customHeight="1" x14ac:dyDescent="0.25">
      <c r="A866" s="75">
        <v>38589</v>
      </c>
      <c r="B866" s="76">
        <v>306.65249999999997</v>
      </c>
      <c r="C866" s="76">
        <f t="shared" si="511"/>
        <v>305.88586874999999</v>
      </c>
      <c r="D866" s="76">
        <f t="shared" si="533"/>
        <v>307.41913124999996</v>
      </c>
      <c r="E866" s="78">
        <f>3478.226/1800.553*100</f>
        <v>193.17542999289662</v>
      </c>
      <c r="F866" s="76">
        <v>3478.2260000000001</v>
      </c>
      <c r="G866" s="84"/>
      <c r="H866" s="78">
        <v>130.114</v>
      </c>
      <c r="I866" s="78">
        <v>133.89029495729994</v>
      </c>
      <c r="J866" s="79">
        <f t="shared" si="523"/>
        <v>163.69874938433492</v>
      </c>
      <c r="K866" s="80">
        <v>681670.75219999999</v>
      </c>
      <c r="L866" s="83">
        <f t="shared" si="524"/>
        <v>209.03604033901047</v>
      </c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IH866" s="32"/>
      <c r="II866" s="32"/>
      <c r="IJ866" s="32"/>
      <c r="IK866" s="32"/>
      <c r="IL866" s="32"/>
      <c r="IM866" s="32"/>
    </row>
    <row r="867" spans="1:247" s="28" customFormat="1" ht="20.25" customHeight="1" x14ac:dyDescent="0.25">
      <c r="A867" s="75">
        <v>38582</v>
      </c>
      <c r="B867" s="76">
        <v>305.02260000000001</v>
      </c>
      <c r="C867" s="76">
        <f t="shared" si="511"/>
        <v>304.26004350000005</v>
      </c>
      <c r="D867" s="76">
        <f t="shared" si="533"/>
        <v>305.78515649999997</v>
      </c>
      <c r="E867" s="78">
        <f>3474.457/1800.553*100</f>
        <v>192.96610541317028</v>
      </c>
      <c r="F867" s="76">
        <v>3474.4569999999999</v>
      </c>
      <c r="G867" s="84"/>
      <c r="H867" s="78">
        <v>129.67250000000001</v>
      </c>
      <c r="I867" s="78">
        <v>133.81235911074026</v>
      </c>
      <c r="J867" s="79">
        <f t="shared" si="523"/>
        <v>163.33210922611914</v>
      </c>
      <c r="K867" s="80">
        <v>681251.81610000005</v>
      </c>
      <c r="L867" s="83">
        <f t="shared" si="524"/>
        <v>207.79720020154389</v>
      </c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IH867" s="32"/>
      <c r="II867" s="32"/>
      <c r="IJ867" s="32"/>
      <c r="IK867" s="32"/>
      <c r="IL867" s="32"/>
      <c r="IM867" s="32"/>
    </row>
    <row r="868" spans="1:247" s="28" customFormat="1" ht="20.25" customHeight="1" x14ac:dyDescent="0.25">
      <c r="A868" s="75">
        <v>38575</v>
      </c>
      <c r="B868" s="76">
        <v>307.56695999999999</v>
      </c>
      <c r="C868" s="76">
        <f t="shared" si="511"/>
        <v>306.79804260000003</v>
      </c>
      <c r="D868" s="76">
        <f t="shared" si="533"/>
        <v>308.33587739999996</v>
      </c>
      <c r="E868" s="78">
        <f>3542.609/1800.553*100</f>
        <v>196.75116478104223</v>
      </c>
      <c r="F868" s="76">
        <v>3542.6089999999999</v>
      </c>
      <c r="G868" s="84"/>
      <c r="H868" s="78">
        <v>130.4024</v>
      </c>
      <c r="I868" s="78">
        <v>133.73472816202258</v>
      </c>
      <c r="J868" s="79">
        <f t="shared" si="523"/>
        <v>165.38579466247842</v>
      </c>
      <c r="K868" s="80">
        <v>680928.71070000005</v>
      </c>
      <c r="L868" s="83">
        <f t="shared" si="524"/>
        <v>209.43117352671851</v>
      </c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IH868" s="32"/>
      <c r="II868" s="32"/>
      <c r="IJ868" s="32"/>
      <c r="IK868" s="32"/>
      <c r="IL868" s="32"/>
      <c r="IM868" s="32"/>
    </row>
    <row r="869" spans="1:247" s="28" customFormat="1" ht="20.25" customHeight="1" x14ac:dyDescent="0.25">
      <c r="A869" s="75">
        <v>38568</v>
      </c>
      <c r="B869" s="76">
        <v>306.37768999999997</v>
      </c>
      <c r="C869" s="76">
        <f t="shared" si="511"/>
        <v>305.61174577499997</v>
      </c>
      <c r="D869" s="76">
        <f t="shared" si="533"/>
        <v>307.14363422499997</v>
      </c>
      <c r="E869" s="78">
        <f>3499.774/1800.553*100</f>
        <v>194.37217343782714</v>
      </c>
      <c r="F869" s="76">
        <v>3499.7739999999999</v>
      </c>
      <c r="G869" s="84"/>
      <c r="H869" s="78">
        <v>130.04679999999999</v>
      </c>
      <c r="I869" s="78">
        <v>133.65717265931048</v>
      </c>
      <c r="J869" s="79">
        <f t="shared" si="523"/>
        <v>164.15677244406621</v>
      </c>
      <c r="K869" s="80">
        <v>689284.95810000005</v>
      </c>
      <c r="L869" s="83">
        <f t="shared" si="524"/>
        <v>211.18153321442477</v>
      </c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IH869" s="32"/>
      <c r="II869" s="32"/>
      <c r="IJ869" s="32"/>
      <c r="IK869" s="32"/>
      <c r="IL869" s="32"/>
      <c r="IM869" s="32"/>
    </row>
    <row r="870" spans="1:247" s="28" customFormat="1" ht="20.25" customHeight="1" x14ac:dyDescent="0.25">
      <c r="A870" s="75">
        <v>38561</v>
      </c>
      <c r="B870" s="76">
        <v>303.53919999999999</v>
      </c>
      <c r="C870" s="76">
        <f t="shared" si="511"/>
        <v>302.78035199999999</v>
      </c>
      <c r="D870" s="76">
        <f t="shared" ref="D870:D875" si="534">1.0025*B870</f>
        <v>304.29804799999999</v>
      </c>
      <c r="E870" s="78">
        <f>3474.251/1800.553*100</f>
        <v>192.95466448363362</v>
      </c>
      <c r="F870" s="76">
        <v>3474.2510000000002</v>
      </c>
      <c r="G870" s="84"/>
      <c r="H870" s="78">
        <v>129.3458</v>
      </c>
      <c r="I870" s="78">
        <v>133.58053183925611</v>
      </c>
      <c r="J870" s="79">
        <f t="shared" si="523"/>
        <v>163.11561263986079</v>
      </c>
      <c r="K870" s="80">
        <v>688266.66229999997</v>
      </c>
      <c r="L870" s="83">
        <f t="shared" si="524"/>
        <v>208.91591206121214</v>
      </c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IH870" s="32"/>
      <c r="II870" s="32"/>
      <c r="IJ870" s="32"/>
      <c r="IK870" s="32"/>
      <c r="IL870" s="32"/>
      <c r="IM870" s="32"/>
    </row>
    <row r="871" spans="1:247" s="28" customFormat="1" ht="20.25" customHeight="1" x14ac:dyDescent="0.25">
      <c r="A871" s="75">
        <v>38554</v>
      </c>
      <c r="B871" s="76">
        <v>303.16890999999998</v>
      </c>
      <c r="C871" s="76">
        <f t="shared" si="511"/>
        <v>302.41098772499998</v>
      </c>
      <c r="D871" s="76">
        <f t="shared" si="534"/>
        <v>303.92683227499998</v>
      </c>
      <c r="E871" s="78">
        <f>3441.479/1800.553*100</f>
        <v>191.13455699443446</v>
      </c>
      <c r="F871" s="76">
        <v>3441.4789999999998</v>
      </c>
      <c r="G871" s="84"/>
      <c r="H871" s="78">
        <v>129.71170000000001</v>
      </c>
      <c r="I871" s="78">
        <v>133.50473454450679</v>
      </c>
      <c r="J871" s="79">
        <f t="shared" si="523"/>
        <v>162.57085568351789</v>
      </c>
      <c r="K871" s="80">
        <v>688003.46299999999</v>
      </c>
      <c r="L871" s="83">
        <f t="shared" si="524"/>
        <v>208.58125995393533</v>
      </c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IH871" s="32"/>
      <c r="II871" s="32"/>
      <c r="IJ871" s="32"/>
      <c r="IK871" s="32"/>
      <c r="IL871" s="32"/>
      <c r="IM871" s="32"/>
    </row>
    <row r="872" spans="1:247" s="28" customFormat="1" ht="20.25" customHeight="1" x14ac:dyDescent="0.25">
      <c r="A872" s="75">
        <v>38547</v>
      </c>
      <c r="B872" s="76">
        <v>300.98488500000002</v>
      </c>
      <c r="C872" s="76">
        <f t="shared" si="511"/>
        <v>300.23242278750001</v>
      </c>
      <c r="D872" s="76">
        <f t="shared" si="534"/>
        <v>301.73734721250003</v>
      </c>
      <c r="E872" s="78">
        <f>3430.628/1800.553*100</f>
        <v>190.5319088080162</v>
      </c>
      <c r="F872" s="76">
        <v>3430.6280000000002</v>
      </c>
      <c r="G872" s="84"/>
      <c r="H872" s="78">
        <v>128.9999</v>
      </c>
      <c r="I872" s="78">
        <v>133.42958649509148</v>
      </c>
      <c r="J872" s="79">
        <f t="shared" si="523"/>
        <v>161.86828166503756</v>
      </c>
      <c r="K872" s="80">
        <v>688424.46440000006</v>
      </c>
      <c r="L872" s="83">
        <f t="shared" si="524"/>
        <v>207.20535824862063</v>
      </c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IH872" s="32"/>
      <c r="II872" s="32"/>
      <c r="IJ872" s="32"/>
      <c r="IK872" s="32"/>
      <c r="IL872" s="32"/>
      <c r="IM872" s="32"/>
    </row>
    <row r="873" spans="1:247" s="28" customFormat="1" ht="20.25" customHeight="1" x14ac:dyDescent="0.25">
      <c r="A873" s="75">
        <v>38540</v>
      </c>
      <c r="B873" s="76">
        <v>299.11739999999998</v>
      </c>
      <c r="C873" s="76">
        <f t="shared" si="511"/>
        <v>298.36960649999997</v>
      </c>
      <c r="D873" s="76">
        <f t="shared" si="534"/>
        <v>299.86519349999998</v>
      </c>
      <c r="E873" s="78">
        <f>3341.606/1800.553*100</f>
        <v>185.5877610933974</v>
      </c>
      <c r="F873" s="76">
        <v>3341.6060000000002</v>
      </c>
      <c r="G873" s="84"/>
      <c r="H873" s="78">
        <v>128.7141</v>
      </c>
      <c r="I873" s="78">
        <v>133.35500390579938</v>
      </c>
      <c r="J873" s="79">
        <f t="shared" si="523"/>
        <v>159.56567646259566</v>
      </c>
      <c r="K873" s="80">
        <v>692022.38749999995</v>
      </c>
      <c r="L873" s="83">
        <f t="shared" si="524"/>
        <v>206.99593729079245</v>
      </c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IH873" s="32"/>
      <c r="II873" s="32"/>
      <c r="IJ873" s="32"/>
      <c r="IK873" s="32"/>
      <c r="IL873" s="32"/>
      <c r="IM873" s="32"/>
    </row>
    <row r="874" spans="1:247" s="28" customFormat="1" ht="20.25" customHeight="1" x14ac:dyDescent="0.25">
      <c r="A874" s="75">
        <v>38533</v>
      </c>
      <c r="B874" s="76">
        <v>301.45699999999999</v>
      </c>
      <c r="C874" s="76">
        <f t="shared" si="511"/>
        <v>300.70335749999998</v>
      </c>
      <c r="D874" s="76">
        <f t="shared" si="534"/>
        <v>302.21064250000001</v>
      </c>
      <c r="E874" s="78">
        <f>3351.019/1800.553*100</f>
        <v>186.11054492703073</v>
      </c>
      <c r="F874" s="76">
        <v>3351.0189999999998</v>
      </c>
      <c r="G874" s="84"/>
      <c r="H874" s="78">
        <v>128.90969999999999</v>
      </c>
      <c r="I874" s="78">
        <v>133.28210228393013</v>
      </c>
      <c r="J874" s="79">
        <f t="shared" si="523"/>
        <v>159.91159222300649</v>
      </c>
      <c r="K874" s="80">
        <v>692455.86750000005</v>
      </c>
      <c r="L874" s="83">
        <f t="shared" si="524"/>
        <v>208.74566844894753</v>
      </c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IH874" s="32"/>
      <c r="II874" s="32"/>
      <c r="IJ874" s="32"/>
      <c r="IK874" s="32"/>
      <c r="IL874" s="32"/>
      <c r="IM874" s="32"/>
    </row>
    <row r="875" spans="1:247" s="28" customFormat="1" ht="20.25" customHeight="1" x14ac:dyDescent="0.25">
      <c r="A875" s="75">
        <v>38526</v>
      </c>
      <c r="B875" s="76">
        <v>303.37549999999999</v>
      </c>
      <c r="C875" s="76">
        <f t="shared" si="511"/>
        <v>302.61706125000001</v>
      </c>
      <c r="D875" s="76">
        <f t="shared" si="534"/>
        <v>304.13393874999997</v>
      </c>
      <c r="E875" s="78">
        <f>3374.239/1800.553*100</f>
        <v>187.40014873208398</v>
      </c>
      <c r="F875" s="76">
        <v>3374.239</v>
      </c>
      <c r="G875" s="84"/>
      <c r="H875" s="78">
        <v>128.93549999999999</v>
      </c>
      <c r="I875" s="78">
        <v>133.21567852865994</v>
      </c>
      <c r="J875" s="79">
        <f t="shared" ref="J875:J938" si="535">(E875/E876)*0.5*J876+(H875/H876)*0.5*J876</f>
        <v>160.47982333086196</v>
      </c>
      <c r="K875" s="80">
        <v>693463.45</v>
      </c>
      <c r="L875" s="83">
        <f t="shared" ref="L875:L938" si="536">K875*B875/1000000</f>
        <v>210.37982087547499</v>
      </c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IH875" s="32"/>
      <c r="II875" s="32"/>
      <c r="IJ875" s="32"/>
      <c r="IK875" s="32"/>
      <c r="IL875" s="32"/>
      <c r="IM875" s="32"/>
    </row>
    <row r="876" spans="1:247" s="28" customFormat="1" ht="20.25" customHeight="1" x14ac:dyDescent="0.25">
      <c r="A876" s="75">
        <v>38519</v>
      </c>
      <c r="B876" s="76">
        <v>303.55399999999997</v>
      </c>
      <c r="C876" s="76">
        <f t="shared" si="511"/>
        <v>302.79511500000001</v>
      </c>
      <c r="D876" s="76">
        <f t="shared" ref="D876:D881" si="537">1.0025*B876</f>
        <v>304.31288499999994</v>
      </c>
      <c r="E876" s="78">
        <f>3373.11/1800.553*100</f>
        <v>187.33744577360397</v>
      </c>
      <c r="F876" s="76">
        <v>3373.11</v>
      </c>
      <c r="G876" s="84"/>
      <c r="H876" s="78">
        <v>129.13290000000001</v>
      </c>
      <c r="I876" s="78">
        <v>133.15019579132257</v>
      </c>
      <c r="J876" s="79">
        <f t="shared" si="535"/>
        <v>160.57568313831138</v>
      </c>
      <c r="K876" s="80">
        <v>692441.37540000002</v>
      </c>
      <c r="L876" s="83">
        <f t="shared" si="536"/>
        <v>210.19334926817157</v>
      </c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IH876" s="32"/>
      <c r="II876" s="32"/>
      <c r="IJ876" s="32"/>
      <c r="IK876" s="32"/>
      <c r="IL876" s="32"/>
      <c r="IM876" s="32"/>
    </row>
    <row r="877" spans="1:247" s="28" customFormat="1" ht="20.25" customHeight="1" x14ac:dyDescent="0.25">
      <c r="A877" s="75">
        <v>38512</v>
      </c>
      <c r="B877" s="76">
        <v>303.7989</v>
      </c>
      <c r="C877" s="76">
        <f t="shared" si="511"/>
        <v>303.03940275000002</v>
      </c>
      <c r="D877" s="76">
        <f t="shared" si="537"/>
        <v>304.55839724999998</v>
      </c>
      <c r="E877" s="78">
        <f>3346.472/1800.553*100</f>
        <v>185.85801139983104</v>
      </c>
      <c r="F877" s="76">
        <v>3346.4720000000002</v>
      </c>
      <c r="G877" s="84"/>
      <c r="H877" s="78">
        <v>129.78579999999999</v>
      </c>
      <c r="I877" s="78">
        <v>133.08452890038816</v>
      </c>
      <c r="J877" s="79">
        <f t="shared" si="535"/>
        <v>160.340829664392</v>
      </c>
      <c r="K877" s="80">
        <v>691830</v>
      </c>
      <c r="L877" s="83">
        <f t="shared" si="536"/>
        <v>210.17719298699998</v>
      </c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IH877" s="32"/>
      <c r="II877" s="32"/>
      <c r="IJ877" s="32"/>
      <c r="IK877" s="32"/>
      <c r="IL877" s="32"/>
      <c r="IM877" s="32"/>
    </row>
    <row r="878" spans="1:247" s="28" customFormat="1" ht="20.25" customHeight="1" x14ac:dyDescent="0.25">
      <c r="A878" s="75">
        <v>38505</v>
      </c>
      <c r="B878" s="76">
        <v>303.18770000000001</v>
      </c>
      <c r="C878" s="76">
        <f t="shared" si="511"/>
        <v>302.42973075000003</v>
      </c>
      <c r="D878" s="76">
        <f t="shared" si="537"/>
        <v>303.94566924999998</v>
      </c>
      <c r="E878" s="78">
        <f>3351.817/1800.553*100</f>
        <v>186.15486464436202</v>
      </c>
      <c r="F878" s="76">
        <v>3351.817</v>
      </c>
      <c r="G878" s="84"/>
      <c r="H878" s="78">
        <v>129.70699999999999</v>
      </c>
      <c r="I878" s="78">
        <v>133.01990252552267</v>
      </c>
      <c r="J878" s="79">
        <f t="shared" si="535"/>
        <v>160.42000771482341</v>
      </c>
      <c r="K878" s="80">
        <v>691391.82510000002</v>
      </c>
      <c r="L878" s="83">
        <f t="shared" si="536"/>
        <v>209.62149725087127</v>
      </c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IH878" s="32"/>
      <c r="II878" s="32"/>
      <c r="IJ878" s="32"/>
      <c r="IK878" s="32"/>
      <c r="IL878" s="32"/>
      <c r="IM878" s="32"/>
    </row>
    <row r="879" spans="1:247" s="28" customFormat="1" ht="20.25" customHeight="1" x14ac:dyDescent="0.25">
      <c r="A879" s="75">
        <v>38498</v>
      </c>
      <c r="B879" s="76">
        <v>305.03739999999999</v>
      </c>
      <c r="C879" s="76">
        <f t="shared" si="511"/>
        <v>304.27480650000001</v>
      </c>
      <c r="D879" s="76">
        <f t="shared" si="537"/>
        <v>305.79999349999997</v>
      </c>
      <c r="E879" s="78">
        <f>3332.967/1800.553*100</f>
        <v>185.10796405326587</v>
      </c>
      <c r="F879" s="76">
        <v>3332.9670000000001</v>
      </c>
      <c r="G879" s="84"/>
      <c r="H879" s="78">
        <v>130.5943</v>
      </c>
      <c r="I879" s="78">
        <v>132.95587703101154</v>
      </c>
      <c r="J879" s="79">
        <f t="shared" si="535"/>
        <v>160.51139508215522</v>
      </c>
      <c r="K879" s="80">
        <v>691064.81400000001</v>
      </c>
      <c r="L879" s="83">
        <f t="shared" si="536"/>
        <v>210.80061409404362</v>
      </c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IH879" s="32"/>
      <c r="II879" s="32"/>
      <c r="IJ879" s="32"/>
      <c r="IK879" s="32"/>
      <c r="IL879" s="32"/>
      <c r="IM879" s="32"/>
    </row>
    <row r="880" spans="1:247" s="28" customFormat="1" ht="20.25" customHeight="1" x14ac:dyDescent="0.25">
      <c r="A880" s="75">
        <v>38491</v>
      </c>
      <c r="B880" s="76">
        <v>305.85514999999998</v>
      </c>
      <c r="C880" s="76">
        <f t="shared" si="511"/>
        <v>305.09051212499998</v>
      </c>
      <c r="D880" s="76">
        <f t="shared" si="537"/>
        <v>306.61978787499999</v>
      </c>
      <c r="E880" s="78">
        <f>3319.446/1800.553*100</f>
        <v>184.35702809081431</v>
      </c>
      <c r="F880" s="76">
        <v>3319.4459999999999</v>
      </c>
      <c r="G880" s="84"/>
      <c r="H880" s="78">
        <v>131.08099999999999</v>
      </c>
      <c r="I880" s="78">
        <v>132.89167442346837</v>
      </c>
      <c r="J880" s="79">
        <f t="shared" si="535"/>
        <v>160.48248426782135</v>
      </c>
      <c r="K880" s="80">
        <v>694150.97820000001</v>
      </c>
      <c r="L880" s="83">
        <f t="shared" si="536"/>
        <v>212.30965156000772</v>
      </c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IH880" s="32"/>
      <c r="II880" s="32"/>
      <c r="IJ880" s="32"/>
      <c r="IK880" s="32"/>
      <c r="IL880" s="32"/>
      <c r="IM880" s="32"/>
    </row>
    <row r="881" spans="1:247" s="28" customFormat="1" ht="20.25" customHeight="1" x14ac:dyDescent="0.25">
      <c r="A881" s="75">
        <v>38484</v>
      </c>
      <c r="B881" s="76">
        <v>306.34424000000001</v>
      </c>
      <c r="C881" s="76">
        <f t="shared" si="511"/>
        <v>305.57837940000002</v>
      </c>
      <c r="D881" s="76">
        <f t="shared" si="537"/>
        <v>307.11010060000001</v>
      </c>
      <c r="E881" s="78">
        <f>3268.101/1800.553*100</f>
        <v>181.50540417305129</v>
      </c>
      <c r="F881" s="76">
        <v>3268.1010000000001</v>
      </c>
      <c r="G881" s="84"/>
      <c r="H881" s="78">
        <v>131.35</v>
      </c>
      <c r="I881" s="78">
        <v>132.82781720470672</v>
      </c>
      <c r="J881" s="79">
        <f t="shared" si="535"/>
        <v>159.39358735096408</v>
      </c>
      <c r="K881" s="80">
        <v>694150.97820000001</v>
      </c>
      <c r="L881" s="83">
        <f t="shared" si="536"/>
        <v>212.64915386193559</v>
      </c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IH881" s="32"/>
      <c r="II881" s="32"/>
      <c r="IJ881" s="32"/>
      <c r="IK881" s="32"/>
      <c r="IL881" s="32"/>
      <c r="IM881" s="32"/>
    </row>
    <row r="882" spans="1:247" s="28" customFormat="1" ht="20.25" customHeight="1" x14ac:dyDescent="0.25">
      <c r="A882" s="75">
        <v>38477</v>
      </c>
      <c r="B882" s="76">
        <v>307.34199999999998</v>
      </c>
      <c r="C882" s="76">
        <f t="shared" si="511"/>
        <v>306.573645</v>
      </c>
      <c r="D882" s="76">
        <f t="shared" ref="D882:D887" si="538">1.0025*B882</f>
        <v>308.11035499999997</v>
      </c>
      <c r="E882" s="78">
        <f>3311.014/1800.553*100</f>
        <v>183.8887275187123</v>
      </c>
      <c r="F882" s="76">
        <v>3311.0140000000001</v>
      </c>
      <c r="G882" s="84"/>
      <c r="H882" s="78">
        <v>132.66290000000001</v>
      </c>
      <c r="I882" s="78">
        <v>132.76400954136687</v>
      </c>
      <c r="J882" s="79">
        <f t="shared" si="535"/>
        <v>161.23629197570494</v>
      </c>
      <c r="K882" s="80">
        <v>693391.93900000001</v>
      </c>
      <c r="L882" s="83">
        <f t="shared" si="536"/>
        <v>213.10846531613799</v>
      </c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IH882" s="32"/>
      <c r="II882" s="32"/>
      <c r="IJ882" s="32"/>
      <c r="IK882" s="32"/>
      <c r="IL882" s="32"/>
      <c r="IM882" s="32"/>
    </row>
    <row r="883" spans="1:247" s="28" customFormat="1" ht="20.25" customHeight="1" x14ac:dyDescent="0.25">
      <c r="A883" s="75">
        <v>38470</v>
      </c>
      <c r="B883" s="76">
        <v>306.77499999999998</v>
      </c>
      <c r="C883" s="76">
        <f t="shared" si="511"/>
        <v>306.00806249999999</v>
      </c>
      <c r="D883" s="76">
        <f t="shared" si="538"/>
        <v>307.54193749999996</v>
      </c>
      <c r="E883" s="78">
        <f>3234.648/1800.553*100</f>
        <v>179.64747497018971</v>
      </c>
      <c r="F883" s="76">
        <v>3234.6480000000001</v>
      </c>
      <c r="G883" s="84"/>
      <c r="H883" s="78">
        <v>132.05170000000001</v>
      </c>
      <c r="I883" s="78">
        <v>132.70101320011901</v>
      </c>
      <c r="J883" s="79">
        <f t="shared" si="535"/>
        <v>158.99155057459438</v>
      </c>
      <c r="K883" s="80">
        <v>680696.93649999995</v>
      </c>
      <c r="L883" s="83">
        <f t="shared" si="536"/>
        <v>208.82080269478746</v>
      </c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IH883" s="32"/>
      <c r="II883" s="32"/>
      <c r="IJ883" s="32"/>
      <c r="IK883" s="32"/>
      <c r="IL883" s="32"/>
      <c r="IM883" s="32"/>
    </row>
    <row r="884" spans="1:247" s="28" customFormat="1" ht="20.25" customHeight="1" x14ac:dyDescent="0.25">
      <c r="A884" s="75">
        <v>38463</v>
      </c>
      <c r="B884" s="76">
        <v>306.69989399999997</v>
      </c>
      <c r="C884" s="76">
        <f t="shared" si="511"/>
        <v>305.93314426500001</v>
      </c>
      <c r="D884" s="76">
        <f t="shared" si="538"/>
        <v>307.46664373499993</v>
      </c>
      <c r="E884" s="78">
        <f>3274.214/1800.553*100</f>
        <v>181.84491098012666</v>
      </c>
      <c r="F884" s="76">
        <v>3274.2139999999999</v>
      </c>
      <c r="G884" s="84"/>
      <c r="H884" s="78">
        <v>132.38409999999999</v>
      </c>
      <c r="I884" s="78">
        <v>132.63818183564348</v>
      </c>
      <c r="J884" s="79">
        <f t="shared" si="535"/>
        <v>160.1603202807305</v>
      </c>
      <c r="K884" s="80">
        <v>675621.78910000005</v>
      </c>
      <c r="L884" s="83">
        <f t="shared" si="536"/>
        <v>207.21313110106036</v>
      </c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IH884" s="32"/>
      <c r="II884" s="32"/>
      <c r="IJ884" s="32"/>
      <c r="IK884" s="32"/>
      <c r="IL884" s="32"/>
      <c r="IM884" s="32"/>
    </row>
    <row r="885" spans="1:247" s="28" customFormat="1" ht="20.25" customHeight="1" x14ac:dyDescent="0.25">
      <c r="A885" s="75">
        <v>38456</v>
      </c>
      <c r="B885" s="76">
        <v>304.178651</v>
      </c>
      <c r="C885" s="76">
        <f t="shared" si="511"/>
        <v>303.41820437250004</v>
      </c>
      <c r="D885" s="76">
        <f t="shared" si="538"/>
        <v>304.93909762749996</v>
      </c>
      <c r="E885" s="78">
        <f>3293.977/1800.553*100</f>
        <v>182.94251821523719</v>
      </c>
      <c r="F885" s="76">
        <v>3293.9769999999999</v>
      </c>
      <c r="G885" s="84"/>
      <c r="H885" s="78">
        <v>131.25120000000001</v>
      </c>
      <c r="I885" s="78">
        <v>132.57611448066427</v>
      </c>
      <c r="J885" s="79">
        <f t="shared" si="535"/>
        <v>159.94984213787293</v>
      </c>
      <c r="K885" s="80">
        <v>675621.78910000005</v>
      </c>
      <c r="L885" s="83">
        <f t="shared" si="536"/>
        <v>205.50972439464454</v>
      </c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IH885" s="32"/>
      <c r="II885" s="32"/>
      <c r="IJ885" s="32"/>
      <c r="IK885" s="32"/>
      <c r="IL885" s="32"/>
      <c r="IM885" s="32"/>
    </row>
    <row r="886" spans="1:247" s="28" customFormat="1" ht="20.25" customHeight="1" x14ac:dyDescent="0.25">
      <c r="A886" s="75">
        <v>38449</v>
      </c>
      <c r="B886" s="76">
        <v>304.654800977496</v>
      </c>
      <c r="C886" s="76">
        <f t="shared" si="511"/>
        <v>303.89316397505229</v>
      </c>
      <c r="D886" s="76">
        <f t="shared" si="538"/>
        <v>305.4164379799397</v>
      </c>
      <c r="E886" s="78">
        <f>3356.577/1800.553*100</f>
        <v>186.41922787054867</v>
      </c>
      <c r="F886" s="76">
        <v>3356.5770000000002</v>
      </c>
      <c r="G886" s="84"/>
      <c r="H886" s="78">
        <v>131.2697</v>
      </c>
      <c r="I886" s="78">
        <v>132.51348516222598</v>
      </c>
      <c r="J886" s="79">
        <f t="shared" si="535"/>
        <v>161.46689492328628</v>
      </c>
      <c r="K886" s="80">
        <v>676766.90480000002</v>
      </c>
      <c r="L886" s="83">
        <f t="shared" si="536"/>
        <v>206.18028669</v>
      </c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IH886" s="32"/>
      <c r="II886" s="32"/>
      <c r="IJ886" s="32"/>
      <c r="IK886" s="32"/>
      <c r="IL886" s="32"/>
      <c r="IM886" s="32"/>
    </row>
    <row r="887" spans="1:247" s="28" customFormat="1" ht="20.25" customHeight="1" x14ac:dyDescent="0.25">
      <c r="A887" s="75">
        <v>38442</v>
      </c>
      <c r="B887" s="76">
        <v>304.65839999999997</v>
      </c>
      <c r="C887" s="76">
        <f t="shared" si="511"/>
        <v>303.89675399999999</v>
      </c>
      <c r="D887" s="76">
        <f t="shared" si="538"/>
        <v>305.42004599999996</v>
      </c>
      <c r="E887" s="78">
        <f>3330.635/1800.553*100</f>
        <v>184.97844828783155</v>
      </c>
      <c r="F887" s="76">
        <v>3330.6350000000002</v>
      </c>
      <c r="G887" s="84"/>
      <c r="H887" s="78">
        <v>131.85640000000001</v>
      </c>
      <c r="I887" s="78">
        <v>132.45076663249802</v>
      </c>
      <c r="J887" s="79">
        <f t="shared" si="535"/>
        <v>161.19774565944687</v>
      </c>
      <c r="K887" s="80">
        <v>671900.13509999996</v>
      </c>
      <c r="L887" s="83">
        <f t="shared" si="536"/>
        <v>204.7000201193498</v>
      </c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IH887" s="32"/>
      <c r="II887" s="32"/>
      <c r="IJ887" s="32"/>
      <c r="IK887" s="32"/>
      <c r="IL887" s="32"/>
      <c r="IM887" s="32"/>
    </row>
    <row r="888" spans="1:247" s="28" customFormat="1" ht="20.25" customHeight="1" x14ac:dyDescent="0.25">
      <c r="A888" s="75">
        <v>38435</v>
      </c>
      <c r="B888" s="76">
        <v>305.09800000000001</v>
      </c>
      <c r="C888" s="76">
        <f t="shared" si="511"/>
        <v>304.33525500000002</v>
      </c>
      <c r="D888" s="76">
        <f t="shared" ref="D888:D893" si="539">1.0025*B888</f>
        <v>305.86074500000001</v>
      </c>
      <c r="E888" s="78">
        <f>3314.15/1800.553*100</f>
        <v>184.06289623243526</v>
      </c>
      <c r="F888" s="76">
        <v>3314.15</v>
      </c>
      <c r="G888" s="84"/>
      <c r="H888" s="78">
        <v>131.85400000000001</v>
      </c>
      <c r="I888" s="78">
        <v>132.38773271805007</v>
      </c>
      <c r="J888" s="79">
        <f t="shared" si="535"/>
        <v>160.79637154174947</v>
      </c>
      <c r="K888" s="80">
        <v>683827.94620000001</v>
      </c>
      <c r="L888" s="83">
        <f t="shared" si="536"/>
        <v>208.63453872972761</v>
      </c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IH888" s="32"/>
      <c r="II888" s="32"/>
      <c r="IJ888" s="32"/>
      <c r="IK888" s="32"/>
      <c r="IL888" s="32"/>
      <c r="IM888" s="32"/>
    </row>
    <row r="889" spans="1:247" s="28" customFormat="1" ht="20.25" customHeight="1" x14ac:dyDescent="0.25">
      <c r="A889" s="75">
        <v>38428</v>
      </c>
      <c r="B889" s="76">
        <v>311.53266000000002</v>
      </c>
      <c r="C889" s="76">
        <f t="shared" si="511"/>
        <v>310.75382835000005</v>
      </c>
      <c r="D889" s="76">
        <f t="shared" si="539"/>
        <v>312.31149164999999</v>
      </c>
      <c r="E889" s="78">
        <f>3383.844/1800.553*100</f>
        <v>187.9335959563534</v>
      </c>
      <c r="F889" s="76">
        <v>3383.8440000000001</v>
      </c>
      <c r="G889" s="84"/>
      <c r="H889" s="78">
        <v>133.66</v>
      </c>
      <c r="I889" s="78">
        <v>132.32505220968312</v>
      </c>
      <c r="J889" s="79">
        <f t="shared" si="535"/>
        <v>163.58617000195963</v>
      </c>
      <c r="K889" s="80">
        <v>682262</v>
      </c>
      <c r="L889" s="83">
        <f t="shared" si="536"/>
        <v>212.54689567692003</v>
      </c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IH889" s="32"/>
      <c r="II889" s="32"/>
      <c r="IJ889" s="32"/>
      <c r="IK889" s="32"/>
      <c r="IL889" s="32"/>
      <c r="IM889" s="32"/>
    </row>
    <row r="890" spans="1:247" s="28" customFormat="1" ht="20.25" customHeight="1" x14ac:dyDescent="0.25">
      <c r="A890" s="75">
        <v>38421</v>
      </c>
      <c r="B890" s="76">
        <v>311.5</v>
      </c>
      <c r="C890" s="76">
        <f t="shared" si="511"/>
        <v>310.72125</v>
      </c>
      <c r="D890" s="76">
        <f t="shared" si="539"/>
        <v>312.27875</v>
      </c>
      <c r="E890" s="78">
        <f>3417.438/1800.553*100</f>
        <v>189.79935608671335</v>
      </c>
      <c r="F890" s="76">
        <v>3417.4380000000001</v>
      </c>
      <c r="G890" s="84"/>
      <c r="H890" s="78">
        <v>133.82</v>
      </c>
      <c r="I890" s="78">
        <v>132.26359974196546</v>
      </c>
      <c r="J890" s="79">
        <f t="shared" si="535"/>
        <v>164.49300405577281</v>
      </c>
      <c r="K890" s="80">
        <v>678744.29410000006</v>
      </c>
      <c r="L890" s="83">
        <f t="shared" si="536"/>
        <v>211.42884761215001</v>
      </c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IH890" s="32"/>
      <c r="II890" s="32"/>
      <c r="IJ890" s="32"/>
      <c r="IK890" s="32"/>
      <c r="IL890" s="32"/>
      <c r="IM890" s="32"/>
    </row>
    <row r="891" spans="1:247" s="28" customFormat="1" ht="20.25" customHeight="1" x14ac:dyDescent="0.25">
      <c r="A891" s="75">
        <v>38414</v>
      </c>
      <c r="B891" s="76">
        <v>307.17</v>
      </c>
      <c r="C891" s="76">
        <f t="shared" si="511"/>
        <v>306.40207500000002</v>
      </c>
      <c r="D891" s="76">
        <f t="shared" si="539"/>
        <v>307.93792500000001</v>
      </c>
      <c r="E891" s="78">
        <f>3402.523/1800.553*100</f>
        <v>188.97099946516431</v>
      </c>
      <c r="F891" s="76">
        <v>3402.5230000000001</v>
      </c>
      <c r="G891" s="84"/>
      <c r="H891" s="78">
        <v>132.45099999999999</v>
      </c>
      <c r="I891" s="78">
        <v>132.20284241420921</v>
      </c>
      <c r="J891" s="79">
        <f t="shared" si="535"/>
        <v>163.29122880829885</v>
      </c>
      <c r="K891" s="80">
        <v>678638</v>
      </c>
      <c r="L891" s="83">
        <f t="shared" si="536"/>
        <v>208.45723446</v>
      </c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IH891" s="32"/>
      <c r="II891" s="32"/>
      <c r="IJ891" s="32"/>
      <c r="IK891" s="32"/>
      <c r="IL891" s="32"/>
      <c r="IM891" s="32"/>
    </row>
    <row r="892" spans="1:247" s="28" customFormat="1" ht="20.25" customHeight="1" x14ac:dyDescent="0.25">
      <c r="A892" s="75">
        <v>38407</v>
      </c>
      <c r="B892" s="76">
        <v>307.25860899999998</v>
      </c>
      <c r="C892" s="76">
        <f t="shared" ref="C892:C923" si="540">0.9975*B892</f>
        <v>306.49046247749999</v>
      </c>
      <c r="D892" s="76">
        <f t="shared" si="539"/>
        <v>308.02675552249997</v>
      </c>
      <c r="E892" s="78">
        <f>3362.184/1800.553*100</f>
        <v>186.73063220021848</v>
      </c>
      <c r="F892" s="76">
        <v>3362.1840000000002</v>
      </c>
      <c r="G892" s="84"/>
      <c r="H892" s="78">
        <v>132.684</v>
      </c>
      <c r="I892" s="78">
        <v>132.14257164784931</v>
      </c>
      <c r="J892" s="79">
        <f t="shared" si="535"/>
        <v>162.45929068689401</v>
      </c>
      <c r="K892" s="80">
        <v>682254.83730000001</v>
      </c>
      <c r="L892" s="83">
        <f t="shared" si="536"/>
        <v>209.62867229231929</v>
      </c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IH892" s="32"/>
      <c r="II892" s="32"/>
      <c r="IJ892" s="32"/>
      <c r="IK892" s="32"/>
      <c r="IL892" s="32"/>
      <c r="IM892" s="32"/>
    </row>
    <row r="893" spans="1:247" s="28" customFormat="1" ht="20.25" customHeight="1" x14ac:dyDescent="0.25">
      <c r="A893" s="75">
        <v>38400</v>
      </c>
      <c r="B893" s="76">
        <v>305.18900000000002</v>
      </c>
      <c r="C893" s="76">
        <f t="shared" si="540"/>
        <v>304.42602750000003</v>
      </c>
      <c r="D893" s="76">
        <f t="shared" si="539"/>
        <v>305.95197250000001</v>
      </c>
      <c r="E893" s="78">
        <f>3366.84/1800.553*100</f>
        <v>186.98921942314388</v>
      </c>
      <c r="F893" s="76">
        <v>3366.84</v>
      </c>
      <c r="G893" s="84"/>
      <c r="H893" s="78">
        <v>132.15</v>
      </c>
      <c r="I893" s="78">
        <v>132.08322622548803</v>
      </c>
      <c r="J893" s="79">
        <f t="shared" si="535"/>
        <v>162.24367180332487</v>
      </c>
      <c r="K893" s="80">
        <v>683301.11</v>
      </c>
      <c r="L893" s="83">
        <f t="shared" si="536"/>
        <v>208.53598245979003</v>
      </c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IH893" s="32"/>
      <c r="II893" s="32"/>
      <c r="IJ893" s="32"/>
      <c r="IK893" s="32"/>
      <c r="IL893" s="32"/>
      <c r="IM893" s="32"/>
    </row>
    <row r="894" spans="1:247" s="28" customFormat="1" ht="20.25" customHeight="1" x14ac:dyDescent="0.25">
      <c r="A894" s="75">
        <v>38393</v>
      </c>
      <c r="B894" s="76">
        <v>302.79289999999997</v>
      </c>
      <c r="C894" s="76">
        <f t="shared" si="540"/>
        <v>302.03591775000001</v>
      </c>
      <c r="D894" s="76">
        <f t="shared" ref="D894:D899" si="541">1.0025*B894</f>
        <v>303.54988224999994</v>
      </c>
      <c r="E894" s="78">
        <f>3332.008/1800.553*100</f>
        <v>185.05470263857825</v>
      </c>
      <c r="F894" s="76">
        <v>3332.0079999999998</v>
      </c>
      <c r="G894" s="84"/>
      <c r="H894" s="78">
        <v>131.32589999999999</v>
      </c>
      <c r="I894" s="78">
        <v>132.02468318396433</v>
      </c>
      <c r="J894" s="79">
        <f t="shared" si="535"/>
        <v>160.89784302767299</v>
      </c>
      <c r="K894" s="80">
        <v>683059.89839999995</v>
      </c>
      <c r="L894" s="83">
        <f t="shared" si="536"/>
        <v>206.82568751024132</v>
      </c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IH894" s="32"/>
      <c r="II894" s="32"/>
      <c r="IJ894" s="32"/>
      <c r="IK894" s="32"/>
      <c r="IL894" s="32"/>
      <c r="IM894" s="32"/>
    </row>
    <row r="895" spans="1:247" s="28" customFormat="1" ht="20.25" customHeight="1" x14ac:dyDescent="0.25">
      <c r="A895" s="75">
        <v>38386</v>
      </c>
      <c r="B895" s="76">
        <v>303.96039999999999</v>
      </c>
      <c r="C895" s="76">
        <f t="shared" si="540"/>
        <v>303.20049900000004</v>
      </c>
      <c r="D895" s="76">
        <f t="shared" si="541"/>
        <v>304.72030099999995</v>
      </c>
      <c r="E895" s="78">
        <f>3303.897/1800.553*100</f>
        <v>183.49346006476895</v>
      </c>
      <c r="F895" s="76">
        <v>3303.8969999999999</v>
      </c>
      <c r="G895" s="84"/>
      <c r="H895" s="78">
        <v>131.8845</v>
      </c>
      <c r="I895" s="78">
        <v>131.96729211088311</v>
      </c>
      <c r="J895" s="79">
        <f t="shared" si="535"/>
        <v>160.55482463762786</v>
      </c>
      <c r="K895" s="80">
        <v>676817</v>
      </c>
      <c r="L895" s="83">
        <f t="shared" si="536"/>
        <v>205.7255660468</v>
      </c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IH895" s="32"/>
      <c r="II895" s="32"/>
      <c r="IJ895" s="32"/>
      <c r="IK895" s="32"/>
      <c r="IL895" s="32"/>
      <c r="IM895" s="32"/>
    </row>
    <row r="896" spans="1:247" s="28" customFormat="1" ht="20.25" customHeight="1" x14ac:dyDescent="0.25">
      <c r="A896" s="75">
        <v>38379</v>
      </c>
      <c r="B896" s="76">
        <v>303.39440000000002</v>
      </c>
      <c r="C896" s="76">
        <f t="shared" si="540"/>
        <v>302.63591400000001</v>
      </c>
      <c r="D896" s="76">
        <f t="shared" si="541"/>
        <v>304.15288600000002</v>
      </c>
      <c r="E896" s="78">
        <f>3276.371/1800.553*100</f>
        <v>181.96470750930411</v>
      </c>
      <c r="F896" s="76">
        <v>3276.3710000000001</v>
      </c>
      <c r="G896" s="84"/>
      <c r="H896" s="78">
        <v>132.40100000000001</v>
      </c>
      <c r="I896" s="78">
        <v>131.90982421904036</v>
      </c>
      <c r="J896" s="79">
        <f t="shared" si="535"/>
        <v>160.19436005222292</v>
      </c>
      <c r="K896" s="80">
        <v>676126.77</v>
      </c>
      <c r="L896" s="83">
        <f t="shared" si="536"/>
        <v>205.133075708088</v>
      </c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IH896" s="32"/>
      <c r="II896" s="32"/>
      <c r="IJ896" s="32"/>
      <c r="IK896" s="32"/>
      <c r="IL896" s="32"/>
      <c r="IM896" s="32"/>
    </row>
    <row r="897" spans="1:247" s="28" customFormat="1" ht="20.25" customHeight="1" x14ac:dyDescent="0.25">
      <c r="A897" s="75">
        <v>38372</v>
      </c>
      <c r="B897" s="76">
        <v>301.14999999999998</v>
      </c>
      <c r="C897" s="76">
        <f t="shared" si="540"/>
        <v>300.39712500000002</v>
      </c>
      <c r="D897" s="76">
        <f t="shared" si="541"/>
        <v>301.90287499999994</v>
      </c>
      <c r="E897" s="78">
        <f>3256.013/1800.553*100</f>
        <v>180.8340548709202</v>
      </c>
      <c r="F897" s="76">
        <v>3256.0129999999999</v>
      </c>
      <c r="G897" s="84"/>
      <c r="H897" s="78">
        <v>131.928</v>
      </c>
      <c r="I897" s="78">
        <v>131.85304687918239</v>
      </c>
      <c r="J897" s="79">
        <f t="shared" si="535"/>
        <v>159.41024330438884</v>
      </c>
      <c r="K897" s="80">
        <v>674826.61</v>
      </c>
      <c r="L897" s="83">
        <f t="shared" si="536"/>
        <v>203.22403360149997</v>
      </c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IH897" s="32"/>
      <c r="II897" s="32"/>
      <c r="IJ897" s="32"/>
      <c r="IK897" s="32"/>
      <c r="IL897" s="32"/>
      <c r="IM897" s="32"/>
    </row>
    <row r="898" spans="1:247" s="28" customFormat="1" ht="20.25" customHeight="1" x14ac:dyDescent="0.25">
      <c r="A898" s="75">
        <v>38365</v>
      </c>
      <c r="B898" s="76">
        <v>304.02999999999997</v>
      </c>
      <c r="C898" s="76">
        <f t="shared" si="540"/>
        <v>303.269925</v>
      </c>
      <c r="D898" s="76">
        <f t="shared" si="541"/>
        <v>304.79007499999994</v>
      </c>
      <c r="E898" s="78">
        <f>3278.232/1800.553*100</f>
        <v>182.06806464458418</v>
      </c>
      <c r="F898" s="76">
        <v>3278.232</v>
      </c>
      <c r="G898" s="84"/>
      <c r="H898" s="78">
        <v>132.9889</v>
      </c>
      <c r="I898" s="78">
        <v>131.79654746319213</v>
      </c>
      <c r="J898" s="79">
        <f t="shared" si="535"/>
        <v>160.59504094689834</v>
      </c>
      <c r="K898" s="80">
        <v>673519.15454066289</v>
      </c>
      <c r="L898" s="83">
        <f t="shared" si="536"/>
        <v>204.77002855499771</v>
      </c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IH898" s="32"/>
      <c r="II898" s="32"/>
      <c r="IJ898" s="32"/>
      <c r="IK898" s="32"/>
      <c r="IL898" s="32"/>
      <c r="IM898" s="32"/>
    </row>
    <row r="899" spans="1:247" s="28" customFormat="1" ht="20.25" customHeight="1" x14ac:dyDescent="0.25">
      <c r="A899" s="75">
        <v>38358</v>
      </c>
      <c r="B899" s="76">
        <v>300.63400000000001</v>
      </c>
      <c r="C899" s="76">
        <f t="shared" si="540"/>
        <v>299.88241500000004</v>
      </c>
      <c r="D899" s="76">
        <f t="shared" si="541"/>
        <v>301.38558499999999</v>
      </c>
      <c r="E899" s="78">
        <f>3287.114/1800.553*100</f>
        <v>182.56135753848955</v>
      </c>
      <c r="F899" s="76">
        <v>3287.114</v>
      </c>
      <c r="G899" s="84"/>
      <c r="H899" s="78">
        <v>132.2483</v>
      </c>
      <c r="I899" s="78">
        <v>131.74032838791973</v>
      </c>
      <c r="J899" s="79">
        <f t="shared" si="535"/>
        <v>160.36267497584953</v>
      </c>
      <c r="K899" s="80">
        <v>673104</v>
      </c>
      <c r="L899" s="83">
        <f t="shared" si="536"/>
        <v>202.35794793600002</v>
      </c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IH899" s="32"/>
      <c r="II899" s="32"/>
      <c r="IJ899" s="32"/>
      <c r="IK899" s="32"/>
      <c r="IL899" s="32"/>
      <c r="IM899" s="32"/>
    </row>
    <row r="900" spans="1:247" s="28" customFormat="1" ht="20.25" customHeight="1" x14ac:dyDescent="0.25">
      <c r="A900" s="75">
        <v>38352</v>
      </c>
      <c r="B900" s="76">
        <v>306.923</v>
      </c>
      <c r="C900" s="76" t="s">
        <v>32</v>
      </c>
      <c r="D900" s="76" t="s">
        <v>32</v>
      </c>
      <c r="E900" s="78">
        <f>3364.558/1800.553*100</f>
        <v>186.86248058235441</v>
      </c>
      <c r="F900" s="76">
        <v>3364.558</v>
      </c>
      <c r="G900" s="84"/>
      <c r="H900" s="78">
        <v>134.1798</v>
      </c>
      <c r="I900" s="78">
        <v>131.69258557674971</v>
      </c>
      <c r="J900" s="79">
        <f t="shared" si="535"/>
        <v>163.41963946206596</v>
      </c>
      <c r="K900" s="80">
        <v>673104.40370000002</v>
      </c>
      <c r="L900" s="83">
        <f t="shared" si="536"/>
        <v>206.59122289681511</v>
      </c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IH900" s="32"/>
      <c r="II900" s="32"/>
      <c r="IJ900" s="32"/>
      <c r="IK900" s="32"/>
      <c r="IL900" s="32"/>
      <c r="IM900" s="32"/>
    </row>
    <row r="901" spans="1:247" s="28" customFormat="1" ht="20.25" customHeight="1" x14ac:dyDescent="0.25">
      <c r="A901" s="75">
        <v>38351</v>
      </c>
      <c r="B901" s="76">
        <v>306.4461</v>
      </c>
      <c r="C901" s="76">
        <f t="shared" si="540"/>
        <v>305.67998475000002</v>
      </c>
      <c r="D901" s="76">
        <f>1.0025*B901</f>
        <v>307.21221524999999</v>
      </c>
      <c r="E901" s="78">
        <f>3366.39/1800.553*100</f>
        <v>186.9642271013405</v>
      </c>
      <c r="F901" s="76">
        <v>3366.39</v>
      </c>
      <c r="G901" s="84"/>
      <c r="H901" s="78">
        <v>134.1429</v>
      </c>
      <c r="I901" s="78">
        <v>131.68473995327483</v>
      </c>
      <c r="J901" s="79">
        <f t="shared" si="535"/>
        <v>163.44163244215085</v>
      </c>
      <c r="K901" s="80">
        <v>669970.69039999996</v>
      </c>
      <c r="L901" s="83">
        <f t="shared" si="536"/>
        <v>205.30990518738744</v>
      </c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IH901" s="32"/>
      <c r="II901" s="32"/>
      <c r="IJ901" s="32"/>
      <c r="IK901" s="32"/>
      <c r="IL901" s="32"/>
      <c r="IM901" s="32"/>
    </row>
    <row r="902" spans="1:247" s="28" customFormat="1" ht="20.25" customHeight="1" x14ac:dyDescent="0.25">
      <c r="A902" s="75">
        <v>38344</v>
      </c>
      <c r="B902" s="76">
        <v>304.0829</v>
      </c>
      <c r="C902" s="76">
        <f t="shared" si="540"/>
        <v>303.32269274999999</v>
      </c>
      <c r="D902" s="76">
        <f>1.0025*B902</f>
        <v>304.84310725</v>
      </c>
      <c r="E902" s="78">
        <f>3336.122/1800.553*100</f>
        <v>185.28318799835381</v>
      </c>
      <c r="F902" s="76">
        <v>3336.1219999999998</v>
      </c>
      <c r="G902" s="84"/>
      <c r="H902" s="78">
        <v>133.53</v>
      </c>
      <c r="I902" s="78">
        <v>131.62965902658999</v>
      </c>
      <c r="J902" s="79">
        <f t="shared" si="535"/>
        <v>162.33267386878913</v>
      </c>
      <c r="K902" s="80">
        <v>666546.41119999997</v>
      </c>
      <c r="L902" s="83">
        <f t="shared" si="536"/>
        <v>202.68536570228846</v>
      </c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IH902" s="32"/>
      <c r="II902" s="32"/>
      <c r="IJ902" s="32"/>
      <c r="IK902" s="32"/>
      <c r="IL902" s="32"/>
      <c r="IM902" s="32"/>
    </row>
    <row r="903" spans="1:247" s="28" customFormat="1" ht="20.25" customHeight="1" x14ac:dyDescent="0.25">
      <c r="A903" s="75">
        <v>38337</v>
      </c>
      <c r="B903" s="76">
        <v>300.84879999999998</v>
      </c>
      <c r="C903" s="76">
        <f t="shared" si="540"/>
        <v>300.096678</v>
      </c>
      <c r="D903" s="76">
        <f>1.0025*B903</f>
        <v>301.60092199999997</v>
      </c>
      <c r="E903" s="78">
        <f>3295.822/1800.553*100</f>
        <v>183.04498673463095</v>
      </c>
      <c r="F903" s="76">
        <v>3295.8220000000001</v>
      </c>
      <c r="G903" s="84"/>
      <c r="H903" s="78">
        <v>132.59</v>
      </c>
      <c r="I903" s="78">
        <v>131.5748448561032</v>
      </c>
      <c r="J903" s="79">
        <f t="shared" si="535"/>
        <v>160.77977229334977</v>
      </c>
      <c r="K903" s="80">
        <v>666446.54909999995</v>
      </c>
      <c r="L903" s="83">
        <f t="shared" si="536"/>
        <v>200.49964456087605</v>
      </c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IH903" s="32"/>
      <c r="II903" s="32"/>
      <c r="IJ903" s="32"/>
      <c r="IK903" s="32"/>
      <c r="IL903" s="32"/>
      <c r="IM903" s="32"/>
    </row>
    <row r="904" spans="1:247" s="28" customFormat="1" ht="20.25" customHeight="1" x14ac:dyDescent="0.25">
      <c r="A904" s="75">
        <v>38330</v>
      </c>
      <c r="B904" s="76">
        <v>299.5831</v>
      </c>
      <c r="C904" s="76">
        <f t="shared" si="540"/>
        <v>298.83414225000001</v>
      </c>
      <c r="D904" s="76">
        <f>1.0025*B904</f>
        <v>300.33205774999999</v>
      </c>
      <c r="E904" s="78">
        <f>3247.652/1800.553*100</f>
        <v>180.36969753181381</v>
      </c>
      <c r="F904" s="76">
        <v>3247.652</v>
      </c>
      <c r="G904" s="84"/>
      <c r="H904" s="78">
        <v>132.31880000000001</v>
      </c>
      <c r="I904" s="78">
        <v>131.52090244798234</v>
      </c>
      <c r="J904" s="79">
        <f t="shared" si="535"/>
        <v>159.43400187567232</v>
      </c>
      <c r="K904" s="80">
        <v>658670.45239999995</v>
      </c>
      <c r="L904" s="83">
        <f t="shared" si="536"/>
        <v>197.32653600839441</v>
      </c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IH904" s="32"/>
      <c r="II904" s="32"/>
      <c r="IJ904" s="32"/>
      <c r="IK904" s="32"/>
      <c r="IL904" s="32"/>
      <c r="IM904" s="32"/>
    </row>
    <row r="905" spans="1:247" s="28" customFormat="1" ht="20.25" customHeight="1" x14ac:dyDescent="0.25">
      <c r="A905" s="75">
        <v>38323</v>
      </c>
      <c r="B905" s="76">
        <v>302.65699999999998</v>
      </c>
      <c r="C905" s="76">
        <f t="shared" si="540"/>
        <v>301.90035749999998</v>
      </c>
      <c r="D905" s="76">
        <f>1.0025*B905</f>
        <v>303.41364249999998</v>
      </c>
      <c r="E905" s="78">
        <f>3280.143/1800.553*100</f>
        <v>182.17419870450911</v>
      </c>
      <c r="F905" s="76">
        <v>3280.143</v>
      </c>
      <c r="G905" s="84"/>
      <c r="H905" s="78">
        <v>132.642</v>
      </c>
      <c r="I905" s="78">
        <v>131.46780536222045</v>
      </c>
      <c r="J905" s="79">
        <f t="shared" si="535"/>
        <v>160.42397782414818</v>
      </c>
      <c r="K905" s="80">
        <v>648235.42790000001</v>
      </c>
      <c r="L905" s="83">
        <f t="shared" si="536"/>
        <v>196.1929899019303</v>
      </c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IH905" s="32"/>
      <c r="II905" s="32"/>
      <c r="IJ905" s="32"/>
      <c r="IK905" s="32"/>
      <c r="IL905" s="32"/>
      <c r="IM905" s="32"/>
    </row>
    <row r="906" spans="1:247" s="28" customFormat="1" ht="20.25" customHeight="1" x14ac:dyDescent="0.25">
      <c r="A906" s="75">
        <v>38316</v>
      </c>
      <c r="B906" s="76">
        <v>300.51455499999997</v>
      </c>
      <c r="C906" s="76">
        <f t="shared" si="540"/>
        <v>299.76326861249999</v>
      </c>
      <c r="D906" s="76">
        <f t="shared" ref="D906:D911" si="542">1.0025*B906</f>
        <v>301.26584138749996</v>
      </c>
      <c r="E906" s="78">
        <f>3255.371/1800.553*100</f>
        <v>180.79839915848075</v>
      </c>
      <c r="F906" s="76">
        <v>3255.3710000000001</v>
      </c>
      <c r="G906" s="84"/>
      <c r="H906" s="78">
        <v>132.6</v>
      </c>
      <c r="I906" s="78">
        <v>131.41482195555193</v>
      </c>
      <c r="J906" s="79">
        <f t="shared" si="535"/>
        <v>159.79070168912935</v>
      </c>
      <c r="K906" s="80">
        <v>648591.56810000003</v>
      </c>
      <c r="L906" s="83">
        <f t="shared" si="536"/>
        <v>194.9112064643237</v>
      </c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IH906" s="32"/>
      <c r="II906" s="32"/>
      <c r="IJ906" s="32"/>
      <c r="IK906" s="32"/>
      <c r="IL906" s="32"/>
      <c r="IM906" s="32"/>
    </row>
    <row r="907" spans="1:247" s="28" customFormat="1" ht="20.25" customHeight="1" x14ac:dyDescent="0.25">
      <c r="A907" s="75">
        <v>38309</v>
      </c>
      <c r="B907" s="76">
        <v>295.68</v>
      </c>
      <c r="C907" s="76">
        <f t="shared" si="540"/>
        <v>294.94080000000002</v>
      </c>
      <c r="D907" s="76">
        <f t="shared" si="542"/>
        <v>296.41919999999999</v>
      </c>
      <c r="E907" s="78">
        <f>3236.721/1800.553*100</f>
        <v>179.76260626596383</v>
      </c>
      <c r="F907" s="76">
        <v>3236.721</v>
      </c>
      <c r="G907" s="84"/>
      <c r="H907" s="78">
        <v>131.34</v>
      </c>
      <c r="I907" s="78">
        <v>131.36220136539072</v>
      </c>
      <c r="J907" s="79">
        <f t="shared" si="535"/>
        <v>158.5732220125372</v>
      </c>
      <c r="K907" s="80">
        <v>648355.51119999995</v>
      </c>
      <c r="L907" s="83">
        <f t="shared" si="536"/>
        <v>191.70575755161599</v>
      </c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IH907" s="32"/>
      <c r="II907" s="32"/>
      <c r="IJ907" s="32"/>
      <c r="IK907" s="32"/>
      <c r="IL907" s="32"/>
      <c r="IM907" s="32"/>
    </row>
    <row r="908" spans="1:247" s="28" customFormat="1" ht="20.25" customHeight="1" x14ac:dyDescent="0.25">
      <c r="A908" s="75">
        <v>38302</v>
      </c>
      <c r="B908" s="76">
        <v>292.23623500000002</v>
      </c>
      <c r="C908" s="76">
        <f t="shared" si="540"/>
        <v>291.50564441250003</v>
      </c>
      <c r="D908" s="76">
        <f t="shared" si="542"/>
        <v>292.96682558750001</v>
      </c>
      <c r="E908" s="78">
        <f>3192.886/1800.553*100</f>
        <v>177.32807642985239</v>
      </c>
      <c r="F908" s="76">
        <v>3192.886</v>
      </c>
      <c r="G908" s="84"/>
      <c r="H908" s="78">
        <v>130.48930508551899</v>
      </c>
      <c r="I908" s="78">
        <v>131.31041020479893</v>
      </c>
      <c r="J908" s="79">
        <f t="shared" si="535"/>
        <v>156.98389912599885</v>
      </c>
      <c r="K908" s="80">
        <v>645559.29440000001</v>
      </c>
      <c r="L908" s="83">
        <f t="shared" si="536"/>
        <v>188.6558176647126</v>
      </c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IH908" s="32"/>
      <c r="II908" s="32"/>
      <c r="IJ908" s="32"/>
      <c r="IK908" s="32"/>
      <c r="IL908" s="32"/>
      <c r="IM908" s="32"/>
    </row>
    <row r="909" spans="1:247" s="28" customFormat="1" ht="20.25" customHeight="1" x14ac:dyDescent="0.25">
      <c r="A909" s="75">
        <v>38295</v>
      </c>
      <c r="B909" s="76">
        <v>291.14</v>
      </c>
      <c r="C909" s="76">
        <f t="shared" si="540"/>
        <v>290.41215</v>
      </c>
      <c r="D909" s="76">
        <f t="shared" si="542"/>
        <v>291.86784999999998</v>
      </c>
      <c r="E909" s="78">
        <f>3161.9/1800.553*100</f>
        <v>175.6071606889661</v>
      </c>
      <c r="F909" s="76">
        <v>3161.9</v>
      </c>
      <c r="G909" s="84"/>
      <c r="H909" s="78">
        <v>130.51439999999999</v>
      </c>
      <c r="I909" s="78">
        <v>131.25917478260948</v>
      </c>
      <c r="J909" s="79">
        <f t="shared" si="535"/>
        <v>156.23339087038514</v>
      </c>
      <c r="K909" s="80">
        <v>641970.46660000004</v>
      </c>
      <c r="L909" s="83">
        <f t="shared" si="536"/>
        <v>186.90328164592401</v>
      </c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IH909" s="32"/>
      <c r="II909" s="32"/>
      <c r="IJ909" s="32"/>
      <c r="IK909" s="32"/>
      <c r="IL909" s="32"/>
      <c r="IM909" s="32"/>
    </row>
    <row r="910" spans="1:247" s="28" customFormat="1" ht="20.25" customHeight="1" x14ac:dyDescent="0.25">
      <c r="A910" s="75">
        <v>38288</v>
      </c>
      <c r="B910" s="76">
        <v>289.37213100000002</v>
      </c>
      <c r="C910" s="76">
        <f t="shared" si="540"/>
        <v>288.64870067250001</v>
      </c>
      <c r="D910" s="76">
        <f t="shared" si="542"/>
        <v>290.09556132750004</v>
      </c>
      <c r="E910" s="78">
        <f>3076.758/1800.553*100</f>
        <v>170.87850232678514</v>
      </c>
      <c r="F910" s="76">
        <v>3076.7579999999998</v>
      </c>
      <c r="G910" s="84"/>
      <c r="H910" s="78">
        <v>129.93100000000001</v>
      </c>
      <c r="I910" s="78">
        <v>131.20993485028816</v>
      </c>
      <c r="J910" s="79">
        <f t="shared" si="535"/>
        <v>153.76071029247481</v>
      </c>
      <c r="K910" s="80">
        <v>679801.17150000005</v>
      </c>
      <c r="L910" s="83">
        <f t="shared" si="536"/>
        <v>196.71551365325149</v>
      </c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IH910" s="32"/>
      <c r="II910" s="32"/>
      <c r="IJ910" s="32"/>
      <c r="IK910" s="32"/>
      <c r="IL910" s="32"/>
      <c r="IM910" s="32"/>
    </row>
    <row r="911" spans="1:247" s="28" customFormat="1" ht="20.25" customHeight="1" x14ac:dyDescent="0.25">
      <c r="A911" s="75">
        <v>38281</v>
      </c>
      <c r="B911" s="76">
        <v>287.375</v>
      </c>
      <c r="C911" s="76">
        <f t="shared" si="540"/>
        <v>286.65656250000001</v>
      </c>
      <c r="D911" s="76">
        <f t="shared" si="542"/>
        <v>288.09343749999999</v>
      </c>
      <c r="E911" s="78">
        <f>3024.237/1800.553*100</f>
        <v>167.96156514137601</v>
      </c>
      <c r="F911" s="76">
        <v>3024.2370000000001</v>
      </c>
      <c r="G911" s="84"/>
      <c r="H911" s="78">
        <v>129.17959999999999</v>
      </c>
      <c r="I911" s="78">
        <v>131.1614055129522</v>
      </c>
      <c r="J911" s="79">
        <f t="shared" si="535"/>
        <v>151.99878578665295</v>
      </c>
      <c r="K911" s="80">
        <v>677226.29370000004</v>
      </c>
      <c r="L911" s="83">
        <f t="shared" si="536"/>
        <v>194.61790615203751</v>
      </c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IH911" s="32"/>
      <c r="II911" s="32"/>
      <c r="IJ911" s="32"/>
      <c r="IK911" s="32"/>
      <c r="IL911" s="32"/>
      <c r="IM911" s="32"/>
    </row>
    <row r="912" spans="1:247" s="28" customFormat="1" ht="20.25" customHeight="1" x14ac:dyDescent="0.25">
      <c r="A912" s="75">
        <v>38274</v>
      </c>
      <c r="B912" s="76">
        <v>285.16415899999998</v>
      </c>
      <c r="C912" s="76">
        <f t="shared" si="540"/>
        <v>284.45124860250002</v>
      </c>
      <c r="D912" s="76">
        <f t="shared" ref="D912:D917" si="543">1.0025*B912</f>
        <v>285.87706939749995</v>
      </c>
      <c r="E912" s="78">
        <f>3001.884/1800.553*100</f>
        <v>166.72011320966391</v>
      </c>
      <c r="F912" s="76">
        <v>3001.884</v>
      </c>
      <c r="G912" s="84"/>
      <c r="H912" s="78">
        <v>127.99630000000001</v>
      </c>
      <c r="I912" s="78">
        <v>131.11408158070827</v>
      </c>
      <c r="J912" s="79">
        <f t="shared" si="535"/>
        <v>150.74076948531797</v>
      </c>
      <c r="K912" s="80">
        <v>674464.69149999996</v>
      </c>
      <c r="L912" s="83">
        <f t="shared" si="536"/>
        <v>192.33315652679192</v>
      </c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IH912" s="32"/>
      <c r="II912" s="32"/>
      <c r="IJ912" s="32"/>
      <c r="IK912" s="32"/>
      <c r="IL912" s="32"/>
      <c r="IM912" s="32"/>
    </row>
    <row r="913" spans="1:247" s="28" customFormat="1" ht="20.25" customHeight="1" x14ac:dyDescent="0.25">
      <c r="A913" s="75">
        <v>38267</v>
      </c>
      <c r="B913" s="76">
        <v>283.95516700000002</v>
      </c>
      <c r="C913" s="76">
        <f t="shared" si="540"/>
        <v>283.24527908250002</v>
      </c>
      <c r="D913" s="76">
        <f t="shared" si="543"/>
        <v>284.66505491750002</v>
      </c>
      <c r="E913" s="78">
        <f>3052.69/1800.553*100</f>
        <v>169.54180187975584</v>
      </c>
      <c r="F913" s="76">
        <v>3052.69</v>
      </c>
      <c r="G913" s="84"/>
      <c r="H913" s="78">
        <v>127.2654</v>
      </c>
      <c r="I913" s="78">
        <v>131.06696653068508</v>
      </c>
      <c r="J913" s="79">
        <f t="shared" si="535"/>
        <v>151.56680173127648</v>
      </c>
      <c r="K913" s="80">
        <v>663546.60800000001</v>
      </c>
      <c r="L913" s="83">
        <f t="shared" si="536"/>
        <v>188.41748788692354</v>
      </c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IH913" s="32"/>
      <c r="II913" s="32"/>
      <c r="IJ913" s="32"/>
      <c r="IK913" s="32"/>
      <c r="IL913" s="32"/>
      <c r="IM913" s="32"/>
    </row>
    <row r="914" spans="1:247" s="28" customFormat="1" ht="20.25" customHeight="1" x14ac:dyDescent="0.25">
      <c r="A914" s="75">
        <v>38260</v>
      </c>
      <c r="B914" s="76">
        <v>283.76586600000002</v>
      </c>
      <c r="C914" s="76">
        <f t="shared" si="540"/>
        <v>283.05645133500002</v>
      </c>
      <c r="D914" s="76">
        <f t="shared" si="543"/>
        <v>284.47528066500001</v>
      </c>
      <c r="E914" s="78">
        <f>3002.696/1800.553*100</f>
        <v>166.76521046589573</v>
      </c>
      <c r="F914" s="76">
        <v>3002.6959999999999</v>
      </c>
      <c r="G914" s="84"/>
      <c r="H914" s="78">
        <v>127.873</v>
      </c>
      <c r="I914" s="78">
        <v>131.01910157357671</v>
      </c>
      <c r="J914" s="79">
        <f t="shared" si="535"/>
        <v>150.67045455880151</v>
      </c>
      <c r="K914" s="80">
        <v>663546.60800000001</v>
      </c>
      <c r="L914" s="83">
        <f t="shared" si="536"/>
        <v>188.29187785048256</v>
      </c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IH914" s="32"/>
      <c r="II914" s="32"/>
      <c r="IJ914" s="32"/>
      <c r="IK914" s="32"/>
      <c r="IL914" s="32"/>
      <c r="IM914" s="32"/>
    </row>
    <row r="915" spans="1:247" s="28" customFormat="1" ht="20.25" customHeight="1" x14ac:dyDescent="0.25">
      <c r="A915" s="75">
        <v>38253</v>
      </c>
      <c r="B915" s="76">
        <v>281.77962200000002</v>
      </c>
      <c r="C915" s="76">
        <f t="shared" si="540"/>
        <v>281.07517294500002</v>
      </c>
      <c r="D915" s="76">
        <f t="shared" si="543"/>
        <v>282.48407105500002</v>
      </c>
      <c r="E915" s="78">
        <f>2984.834/1800.553*100</f>
        <v>165.77318190578114</v>
      </c>
      <c r="F915" s="76">
        <v>2984.8339999999998</v>
      </c>
      <c r="G915" s="84"/>
      <c r="H915" s="78">
        <v>127.35509999999999</v>
      </c>
      <c r="I915" s="78">
        <v>130.97287689809633</v>
      </c>
      <c r="J915" s="79">
        <f t="shared" si="535"/>
        <v>149.9170587686468</v>
      </c>
      <c r="K915" s="80">
        <v>665337.0368</v>
      </c>
      <c r="L915" s="83">
        <f t="shared" si="536"/>
        <v>187.4784187321041</v>
      </c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IH915" s="32"/>
      <c r="II915" s="32"/>
      <c r="IJ915" s="32"/>
      <c r="IK915" s="32"/>
      <c r="IL915" s="32"/>
      <c r="IM915" s="32"/>
    </row>
    <row r="916" spans="1:247" s="28" customFormat="1" ht="20.25" customHeight="1" x14ac:dyDescent="0.25">
      <c r="A916" s="75">
        <v>38246</v>
      </c>
      <c r="B916" s="76">
        <v>279.56112999999999</v>
      </c>
      <c r="C916" s="76">
        <f t="shared" si="540"/>
        <v>278.86222717499999</v>
      </c>
      <c r="D916" s="76">
        <f t="shared" si="543"/>
        <v>280.260032825</v>
      </c>
      <c r="E916" s="78">
        <f>3000.231/1800.553*100</f>
        <v>166.62830808090627</v>
      </c>
      <c r="F916" s="76">
        <v>3000.2310000000002</v>
      </c>
      <c r="G916" s="84"/>
      <c r="H916" s="78">
        <v>126.851809525321</v>
      </c>
      <c r="I916" s="78">
        <v>130.92666853108244</v>
      </c>
      <c r="J916" s="79">
        <f t="shared" si="535"/>
        <v>150.00439068756737</v>
      </c>
      <c r="K916" s="80">
        <v>664172.33979999996</v>
      </c>
      <c r="L916" s="83">
        <f t="shared" si="536"/>
        <v>185.67676982923194</v>
      </c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IH916" s="32"/>
      <c r="II916" s="32"/>
      <c r="IJ916" s="32"/>
      <c r="IK916" s="32"/>
      <c r="IL916" s="32"/>
      <c r="IM916" s="32"/>
    </row>
    <row r="917" spans="1:247" s="28" customFormat="1" ht="20.25" customHeight="1" x14ac:dyDescent="0.25">
      <c r="A917" s="75">
        <v>38239</v>
      </c>
      <c r="B917" s="76">
        <v>279.54843399999999</v>
      </c>
      <c r="C917" s="76">
        <f t="shared" si="540"/>
        <v>278.84956291499998</v>
      </c>
      <c r="D917" s="76">
        <f t="shared" si="543"/>
        <v>280.24730508499999</v>
      </c>
      <c r="E917" s="78">
        <f>2983.547/1800.553*100</f>
        <v>165.70170386542355</v>
      </c>
      <c r="F917" s="76">
        <v>2983.547</v>
      </c>
      <c r="G917" s="84"/>
      <c r="H917" s="78">
        <v>126.886852464724</v>
      </c>
      <c r="I917" s="78">
        <v>130.88094428710644</v>
      </c>
      <c r="J917" s="79">
        <f t="shared" si="535"/>
        <v>149.60674888798354</v>
      </c>
      <c r="K917" s="80">
        <v>665229.43169999996</v>
      </c>
      <c r="L917" s="83">
        <f t="shared" si="536"/>
        <v>185.96384588244496</v>
      </c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IH917" s="32"/>
      <c r="II917" s="32"/>
      <c r="IJ917" s="32"/>
      <c r="IK917" s="32"/>
      <c r="IL917" s="32"/>
      <c r="IM917" s="32"/>
    </row>
    <row r="918" spans="1:247" s="28" customFormat="1" ht="20.25" customHeight="1" x14ac:dyDescent="0.25">
      <c r="A918" s="75">
        <v>38232</v>
      </c>
      <c r="B918" s="76">
        <v>279.18147299999998</v>
      </c>
      <c r="C918" s="76">
        <f t="shared" si="540"/>
        <v>278.4835193175</v>
      </c>
      <c r="D918" s="76">
        <f t="shared" ref="D918:D923" si="544">1.0025*B918</f>
        <v>279.87942668249997</v>
      </c>
      <c r="E918" s="78">
        <f>2980.698/1800.553*100</f>
        <v>165.54347469916183</v>
      </c>
      <c r="F918" s="76">
        <v>2980.6979999999999</v>
      </c>
      <c r="G918" s="84"/>
      <c r="H918" s="78">
        <v>126.882996877228</v>
      </c>
      <c r="I918" s="78">
        <v>130.83539571484684</v>
      </c>
      <c r="J918" s="79">
        <f t="shared" si="535"/>
        <v>149.5330139090299</v>
      </c>
      <c r="K918" s="80">
        <v>662787.85629999998</v>
      </c>
      <c r="L918" s="83">
        <f t="shared" si="536"/>
        <v>185.03809000834633</v>
      </c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IH918" s="32"/>
      <c r="II918" s="32"/>
      <c r="IJ918" s="32"/>
      <c r="IK918" s="32"/>
      <c r="IL918" s="32"/>
      <c r="IM918" s="32"/>
    </row>
    <row r="919" spans="1:247" s="28" customFormat="1" ht="20.25" customHeight="1" x14ac:dyDescent="0.25">
      <c r="A919" s="75">
        <v>38225</v>
      </c>
      <c r="B919" s="76">
        <v>278.23839299999997</v>
      </c>
      <c r="C919" s="76">
        <f t="shared" si="540"/>
        <v>277.54279701749999</v>
      </c>
      <c r="D919" s="76">
        <f t="shared" si="544"/>
        <v>278.93398898249995</v>
      </c>
      <c r="E919" s="78">
        <f>2944.334/1800.553*100</f>
        <v>163.52387294347901</v>
      </c>
      <c r="F919" s="76">
        <v>2944.3339999999998</v>
      </c>
      <c r="G919" s="84"/>
      <c r="H919" s="78">
        <v>126.56643460958099</v>
      </c>
      <c r="I919" s="78">
        <v>130.79132566724635</v>
      </c>
      <c r="J919" s="79">
        <f t="shared" si="535"/>
        <v>148.43079237704296</v>
      </c>
      <c r="K919" s="80">
        <v>670574.69140000001</v>
      </c>
      <c r="L919" s="83">
        <f t="shared" si="536"/>
        <v>186.57962452160689</v>
      </c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IH919" s="32"/>
      <c r="II919" s="32"/>
      <c r="IJ919" s="32"/>
      <c r="IK919" s="32"/>
      <c r="IL919" s="32"/>
      <c r="IM919" s="32"/>
    </row>
    <row r="920" spans="1:247" s="28" customFormat="1" ht="20.25" customHeight="1" x14ac:dyDescent="0.25">
      <c r="A920" s="75">
        <v>38218</v>
      </c>
      <c r="B920" s="76">
        <v>279.88844899999998</v>
      </c>
      <c r="C920" s="76">
        <f t="shared" si="540"/>
        <v>279.18872787750001</v>
      </c>
      <c r="D920" s="76">
        <f t="shared" si="544"/>
        <v>280.58817012249995</v>
      </c>
      <c r="E920" s="78">
        <f>2918.714/1800.553*100</f>
        <v>162.10097675547453</v>
      </c>
      <c r="F920" s="76">
        <v>2918.7139999999999</v>
      </c>
      <c r="G920" s="84"/>
      <c r="H920" s="78">
        <v>127.5257</v>
      </c>
      <c r="I920" s="78">
        <v>130.74710200567446</v>
      </c>
      <c r="J920" s="79">
        <f t="shared" si="535"/>
        <v>148.33765823979098</v>
      </c>
      <c r="K920" s="80">
        <v>669539.65520000004</v>
      </c>
      <c r="L920" s="83">
        <f t="shared" si="536"/>
        <v>187.39641563792279</v>
      </c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IH920" s="32"/>
      <c r="II920" s="32"/>
      <c r="IJ920" s="32"/>
      <c r="IK920" s="32"/>
      <c r="IL920" s="32"/>
      <c r="IM920" s="32"/>
    </row>
    <row r="921" spans="1:247" s="28" customFormat="1" ht="20.25" customHeight="1" x14ac:dyDescent="0.25">
      <c r="A921" s="75">
        <v>38211</v>
      </c>
      <c r="B921" s="76">
        <v>277.293273</v>
      </c>
      <c r="C921" s="76">
        <f t="shared" si="540"/>
        <v>276.60003981750003</v>
      </c>
      <c r="D921" s="76">
        <f t="shared" si="544"/>
        <v>277.98650618249997</v>
      </c>
      <c r="E921" s="78">
        <f>2852.094/1800.553*100</f>
        <v>158.40100235871978</v>
      </c>
      <c r="F921" s="76">
        <v>2852.0940000000001</v>
      </c>
      <c r="G921" s="84"/>
      <c r="H921" s="78">
        <v>126.70480000000001</v>
      </c>
      <c r="I921" s="78">
        <v>130.70363615337951</v>
      </c>
      <c r="J921" s="79">
        <f t="shared" si="535"/>
        <v>146.1572035642412</v>
      </c>
      <c r="K921" s="80">
        <v>670107.61580000003</v>
      </c>
      <c r="L921" s="83">
        <f t="shared" si="536"/>
        <v>185.81633404740853</v>
      </c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IH921" s="32"/>
      <c r="II921" s="32"/>
      <c r="IJ921" s="32"/>
      <c r="IK921" s="32"/>
      <c r="IL921" s="32"/>
      <c r="IM921" s="32"/>
    </row>
    <row r="922" spans="1:247" s="28" customFormat="1" ht="20.25" customHeight="1" x14ac:dyDescent="0.25">
      <c r="A922" s="75">
        <v>38204</v>
      </c>
      <c r="B922" s="76">
        <v>275.49881199999999</v>
      </c>
      <c r="C922" s="76">
        <f t="shared" si="540"/>
        <v>274.81006496999998</v>
      </c>
      <c r="D922" s="76">
        <f t="shared" si="544"/>
        <v>276.18755902999999</v>
      </c>
      <c r="E922" s="78">
        <f>2894.192/1800.553*100</f>
        <v>160.73906183267027</v>
      </c>
      <c r="F922" s="76">
        <v>2894.192</v>
      </c>
      <c r="G922" s="84"/>
      <c r="H922" s="78">
        <v>125.92829999999999</v>
      </c>
      <c r="I922" s="78">
        <v>130.6603731882638</v>
      </c>
      <c r="J922" s="79">
        <f t="shared" si="535"/>
        <v>146.77214037357965</v>
      </c>
      <c r="K922" s="80">
        <v>670107.61580000003</v>
      </c>
      <c r="L922" s="83">
        <f t="shared" si="536"/>
        <v>184.61385206505241</v>
      </c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IH922" s="32"/>
      <c r="II922" s="32"/>
      <c r="IJ922" s="32"/>
      <c r="IK922" s="32"/>
      <c r="IL922" s="32"/>
      <c r="IM922" s="32"/>
    </row>
    <row r="923" spans="1:247" s="28" customFormat="1" ht="20.25" customHeight="1" x14ac:dyDescent="0.25">
      <c r="A923" s="75">
        <v>38197</v>
      </c>
      <c r="B923" s="76">
        <v>274.01748099999998</v>
      </c>
      <c r="C923" s="76">
        <f t="shared" si="540"/>
        <v>273.33243729750001</v>
      </c>
      <c r="D923" s="76">
        <f t="shared" si="544"/>
        <v>274.70252470249994</v>
      </c>
      <c r="E923" s="78">
        <f>2923.998/1800.553*100</f>
        <v>162.39444215193888</v>
      </c>
      <c r="F923" s="76">
        <v>2923.998</v>
      </c>
      <c r="G923" s="84"/>
      <c r="H923" s="78">
        <v>125.88867898124001</v>
      </c>
      <c r="I923" s="78">
        <v>130.61656350180982</v>
      </c>
      <c r="J923" s="79">
        <f t="shared" si="535"/>
        <v>147.50070882845318</v>
      </c>
      <c r="K923" s="80">
        <v>667053.20010000002</v>
      </c>
      <c r="L923" s="83">
        <f t="shared" si="536"/>
        <v>182.78423758439095</v>
      </c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IH923" s="32"/>
      <c r="II923" s="32"/>
      <c r="IJ923" s="32"/>
      <c r="IK923" s="32"/>
      <c r="IL923" s="32"/>
      <c r="IM923" s="32"/>
    </row>
    <row r="924" spans="1:247" s="28" customFormat="1" ht="20.25" customHeight="1" x14ac:dyDescent="0.25">
      <c r="A924" s="75">
        <v>38190</v>
      </c>
      <c r="B924" s="76">
        <v>278.20908200000002</v>
      </c>
      <c r="C924" s="76">
        <f t="shared" ref="C924:C977" si="545">0.9975*B924</f>
        <v>277.51355929500005</v>
      </c>
      <c r="D924" s="76">
        <f t="shared" ref="D924:D930" si="546">1.0025*B924</f>
        <v>278.904604705</v>
      </c>
      <c r="E924" s="78">
        <f>2932.886/1800.553*100</f>
        <v>162.88806827680162</v>
      </c>
      <c r="F924" s="76">
        <v>2932.886</v>
      </c>
      <c r="G924" s="84"/>
      <c r="H924" s="78">
        <v>127.0017</v>
      </c>
      <c r="I924" s="78">
        <v>130.5721004408845</v>
      </c>
      <c r="J924" s="79">
        <f t="shared" si="535"/>
        <v>148.37570184663028</v>
      </c>
      <c r="K924" s="80">
        <v>666515.3922</v>
      </c>
      <c r="L924" s="83">
        <f t="shared" si="536"/>
        <v>185.43063540283197</v>
      </c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IH924" s="32"/>
      <c r="II924" s="32"/>
      <c r="IJ924" s="32"/>
      <c r="IK924" s="32"/>
      <c r="IL924" s="32"/>
      <c r="IM924" s="32"/>
    </row>
    <row r="925" spans="1:247" s="28" customFormat="1" ht="20.25" customHeight="1" x14ac:dyDescent="0.25">
      <c r="A925" s="75">
        <v>38183</v>
      </c>
      <c r="B925" s="76">
        <v>279.43510900000001</v>
      </c>
      <c r="C925" s="76">
        <f t="shared" si="545"/>
        <v>278.73652122750002</v>
      </c>
      <c r="D925" s="76">
        <f>1.0025*B925</f>
        <v>280.1336967725</v>
      </c>
      <c r="E925" s="78">
        <f>2962.159/1800.553*100</f>
        <v>164.51384657935645</v>
      </c>
      <c r="F925" s="76">
        <v>2962.1590000000001</v>
      </c>
      <c r="G925" s="84"/>
      <c r="H925" s="78">
        <v>127.31789999999999</v>
      </c>
      <c r="I925" s="78">
        <v>130.52843151042083</v>
      </c>
      <c r="J925" s="79">
        <f t="shared" si="535"/>
        <v>149.29880636585801</v>
      </c>
      <c r="K925" s="80">
        <v>666515.3922</v>
      </c>
      <c r="L925" s="83">
        <f t="shared" si="536"/>
        <v>186.24780126958476</v>
      </c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IH925" s="32"/>
      <c r="II925" s="32"/>
      <c r="IJ925" s="32"/>
      <c r="IK925" s="32"/>
      <c r="IL925" s="32"/>
      <c r="IM925" s="32"/>
    </row>
    <row r="926" spans="1:247" s="28" customFormat="1" ht="20.25" customHeight="1" x14ac:dyDescent="0.25">
      <c r="A926" s="75">
        <v>38176</v>
      </c>
      <c r="B926" s="76">
        <v>280.58045199999998</v>
      </c>
      <c r="C926" s="76">
        <f t="shared" si="545"/>
        <v>279.87900086999997</v>
      </c>
      <c r="D926" s="76">
        <f t="shared" si="546"/>
        <v>281.28190312999999</v>
      </c>
      <c r="E926" s="78">
        <f>2980.468/1800.553*100</f>
        <v>165.53070084579568</v>
      </c>
      <c r="F926" s="76">
        <v>2980.4679999999998</v>
      </c>
      <c r="G926" s="84"/>
      <c r="H926" s="78">
        <v>127.524469259369</v>
      </c>
      <c r="I926" s="78">
        <v>130.48553506464569</v>
      </c>
      <c r="J926" s="79">
        <f t="shared" si="535"/>
        <v>149.88055538947719</v>
      </c>
      <c r="K926" s="80">
        <v>665868.35010000004</v>
      </c>
      <c r="L926" s="83">
        <f t="shared" si="536"/>
        <v>186.82964264355223</v>
      </c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IH926" s="32"/>
      <c r="II926" s="32"/>
      <c r="IJ926" s="32"/>
      <c r="IK926" s="32"/>
      <c r="IL926" s="32"/>
      <c r="IM926" s="32"/>
    </row>
    <row r="927" spans="1:247" s="28" customFormat="1" ht="20.25" customHeight="1" x14ac:dyDescent="0.25">
      <c r="A927" s="75">
        <v>38169</v>
      </c>
      <c r="B927" s="76">
        <v>278.02356900000001</v>
      </c>
      <c r="C927" s="76">
        <f t="shared" si="545"/>
        <v>277.32851007750003</v>
      </c>
      <c r="D927" s="76">
        <f t="shared" si="546"/>
        <v>278.71862792249999</v>
      </c>
      <c r="E927" s="78">
        <f>3013.238/1800.553*100</f>
        <v>167.35069725800903</v>
      </c>
      <c r="F927" s="76">
        <v>3013.2379999999998</v>
      </c>
      <c r="G927" s="84"/>
      <c r="H927" s="78">
        <v>126.6889</v>
      </c>
      <c r="I927" s="78">
        <v>130.44326448164068</v>
      </c>
      <c r="J927" s="79">
        <f t="shared" si="535"/>
        <v>150.2019802916324</v>
      </c>
      <c r="K927" s="80">
        <v>664596.46440000006</v>
      </c>
      <c r="L927" s="83">
        <f t="shared" si="536"/>
        <v>184.77348097726946</v>
      </c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IH927" s="32"/>
      <c r="II927" s="32"/>
      <c r="IJ927" s="32"/>
      <c r="IK927" s="32"/>
      <c r="IL927" s="32"/>
      <c r="IM927" s="32"/>
    </row>
    <row r="928" spans="1:247" s="28" customFormat="1" ht="20.25" customHeight="1" x14ac:dyDescent="0.25">
      <c r="A928" s="75">
        <v>38168</v>
      </c>
      <c r="B928" s="76">
        <v>277.02766600000001</v>
      </c>
      <c r="C928" s="76">
        <f t="shared" si="545"/>
        <v>276.335096835</v>
      </c>
      <c r="D928" s="76">
        <f t="shared" si="546"/>
        <v>277.72023516500002</v>
      </c>
      <c r="E928" s="78">
        <f>3030.093/1800.553*100</f>
        <v>168.28679855577701</v>
      </c>
      <c r="F928" s="76">
        <v>3030.0929999999998</v>
      </c>
      <c r="G928" s="84"/>
      <c r="H928" s="78">
        <v>126.69199999999999</v>
      </c>
      <c r="I928" s="78">
        <v>130.44</v>
      </c>
      <c r="J928" s="79">
        <f t="shared" si="535"/>
        <v>150.62274525658916</v>
      </c>
      <c r="K928" s="80">
        <v>664835.72560000001</v>
      </c>
      <c r="L928" s="83">
        <f t="shared" si="536"/>
        <v>184.17788933638445</v>
      </c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IH928"/>
      <c r="II928"/>
      <c r="IJ928"/>
      <c r="IK928"/>
      <c r="IL928"/>
      <c r="IM928"/>
    </row>
    <row r="929" spans="1:247" s="28" customFormat="1" ht="20.25" customHeight="1" x14ac:dyDescent="0.25">
      <c r="A929" s="75">
        <v>38162</v>
      </c>
      <c r="B929" s="76">
        <v>278.64367700000003</v>
      </c>
      <c r="C929" s="76">
        <f t="shared" si="545"/>
        <v>277.94706780750005</v>
      </c>
      <c r="D929" s="76">
        <f t="shared" si="546"/>
        <v>279.3402861925</v>
      </c>
      <c r="E929" s="78">
        <f>3035.462/1800.553*100</f>
        <v>168.58498472413751</v>
      </c>
      <c r="F929" s="76">
        <v>3035.462</v>
      </c>
      <c r="G929" s="84"/>
      <c r="H929" s="78">
        <v>126.915689422702</v>
      </c>
      <c r="I929" s="78">
        <v>130.40020164958025</v>
      </c>
      <c r="J929" s="79">
        <f t="shared" si="535"/>
        <v>150.88915989952139</v>
      </c>
      <c r="K929" s="80">
        <v>664835.72560000001</v>
      </c>
      <c r="L929" s="83">
        <f t="shared" si="536"/>
        <v>185.25227118214707</v>
      </c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IH929"/>
      <c r="II929"/>
      <c r="IJ929"/>
      <c r="IK929"/>
      <c r="IL929"/>
      <c r="IM929"/>
    </row>
    <row r="930" spans="1:247" s="28" customFormat="1" ht="20.25" customHeight="1" x14ac:dyDescent="0.25">
      <c r="A930" s="75">
        <v>38155</v>
      </c>
      <c r="B930" s="76">
        <v>276.26018800000003</v>
      </c>
      <c r="C930" s="76">
        <f t="shared" si="545"/>
        <v>275.56953753000005</v>
      </c>
      <c r="D930" s="76">
        <f t="shared" si="546"/>
        <v>276.95083847000001</v>
      </c>
      <c r="E930" s="78">
        <f>3001.417/1800.553*100</f>
        <v>166.6941767334813</v>
      </c>
      <c r="F930" s="76">
        <v>3001.4169999999999</v>
      </c>
      <c r="G930" s="84"/>
      <c r="H930" s="78">
        <v>125.93472906237599</v>
      </c>
      <c r="I930" s="78">
        <v>130.35726372226887</v>
      </c>
      <c r="J930" s="79">
        <f t="shared" si="535"/>
        <v>149.45940059969863</v>
      </c>
      <c r="K930" s="80">
        <v>663760.29680000001</v>
      </c>
      <c r="L930" s="83">
        <f t="shared" si="536"/>
        <v>183.37054438090382</v>
      </c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IH930"/>
      <c r="II930"/>
      <c r="IJ930"/>
      <c r="IK930"/>
      <c r="IL930"/>
      <c r="IM930"/>
    </row>
    <row r="931" spans="1:247" s="28" customFormat="1" ht="20.25" customHeight="1" x14ac:dyDescent="0.25">
      <c r="A931" s="75">
        <v>38148</v>
      </c>
      <c r="B931" s="76">
        <v>276.26539400000001</v>
      </c>
      <c r="C931" s="76">
        <f t="shared" si="545"/>
        <v>275.57473051500006</v>
      </c>
      <c r="D931" s="76">
        <f t="shared" ref="D931:D936" si="547">1.0025*B931</f>
        <v>276.95605748499997</v>
      </c>
      <c r="E931" s="78">
        <f>3007.678/1800.553*100</f>
        <v>167.04190323750535</v>
      </c>
      <c r="F931" s="76">
        <v>3007.6779999999999</v>
      </c>
      <c r="G931" s="84"/>
      <c r="H931" s="78">
        <v>126.10599999999999</v>
      </c>
      <c r="I931" s="78">
        <v>130.31433193873622</v>
      </c>
      <c r="J931" s="79">
        <f t="shared" si="535"/>
        <v>149.71690041032127</v>
      </c>
      <c r="K931" s="80">
        <v>664090.57779999997</v>
      </c>
      <c r="L931" s="83">
        <f t="shared" si="536"/>
        <v>183.46524512760467</v>
      </c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IH931"/>
      <c r="II931"/>
      <c r="IJ931"/>
      <c r="IK931"/>
      <c r="IL931"/>
      <c r="IM931"/>
    </row>
    <row r="932" spans="1:247" s="28" customFormat="1" ht="20.25" customHeight="1" x14ac:dyDescent="0.25">
      <c r="A932" s="75">
        <v>38141</v>
      </c>
      <c r="B932" s="76">
        <v>275.67570799999999</v>
      </c>
      <c r="C932" s="76">
        <f t="shared" si="545"/>
        <v>274.98651873</v>
      </c>
      <c r="D932" s="76">
        <f t="shared" si="547"/>
        <v>276.36489726999997</v>
      </c>
      <c r="E932" s="78">
        <f>2955.671/1800.553*100</f>
        <v>164.15351283744494</v>
      </c>
      <c r="F932" s="76">
        <v>2955.6709999999998</v>
      </c>
      <c r="G932" s="84"/>
      <c r="H932" s="78">
        <v>126.3137</v>
      </c>
      <c r="I932" s="78">
        <v>130.27259184187378</v>
      </c>
      <c r="J932" s="79">
        <f t="shared" si="535"/>
        <v>148.53225561838354</v>
      </c>
      <c r="K932" s="80">
        <v>663954.40769999998</v>
      </c>
      <c r="L932" s="83">
        <f t="shared" si="536"/>
        <v>183.03610142241814</v>
      </c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IH932"/>
      <c r="II932"/>
      <c r="IJ932"/>
      <c r="IK932"/>
      <c r="IL932"/>
      <c r="IM932"/>
    </row>
    <row r="933" spans="1:247" s="28" customFormat="1" ht="20.25" customHeight="1" x14ac:dyDescent="0.25">
      <c r="A933" s="75">
        <v>38134</v>
      </c>
      <c r="B933" s="76">
        <v>276.59647899999999</v>
      </c>
      <c r="C933" s="76">
        <f t="shared" si="545"/>
        <v>275.90498780249999</v>
      </c>
      <c r="D933" s="76">
        <f t="shared" si="547"/>
        <v>277.28797019749999</v>
      </c>
      <c r="E933" s="78">
        <f>2971.104/1800.553*100</f>
        <v>165.01063839831426</v>
      </c>
      <c r="F933" s="76">
        <v>2971.1039999999998</v>
      </c>
      <c r="G933" s="84"/>
      <c r="H933" s="78">
        <v>126.4147</v>
      </c>
      <c r="I933" s="78">
        <v>130.2534487565855</v>
      </c>
      <c r="J933" s="79">
        <f t="shared" si="535"/>
        <v>148.97869434929038</v>
      </c>
      <c r="K933" s="80">
        <v>662872.50789999997</v>
      </c>
      <c r="L933" s="83">
        <f t="shared" si="536"/>
        <v>183.34820171103965</v>
      </c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IH933"/>
      <c r="II933"/>
      <c r="IJ933"/>
      <c r="IK933"/>
      <c r="IL933"/>
      <c r="IM933"/>
    </row>
    <row r="934" spans="1:247" s="28" customFormat="1" ht="20.25" customHeight="1" x14ac:dyDescent="0.25">
      <c r="A934" s="75">
        <v>38128</v>
      </c>
      <c r="B934" s="76">
        <v>273.89190000000002</v>
      </c>
      <c r="C934" s="76">
        <f t="shared" si="545"/>
        <v>273.20717025000005</v>
      </c>
      <c r="D934" s="76">
        <f t="shared" si="547"/>
        <v>274.57662975</v>
      </c>
      <c r="E934" s="78">
        <f>2890.072/1800.553*100</f>
        <v>160.51024324193733</v>
      </c>
      <c r="F934" s="76">
        <v>2890.0720000000001</v>
      </c>
      <c r="G934" s="84"/>
      <c r="H934" s="78">
        <v>125.26257885997008</v>
      </c>
      <c r="I934" s="78">
        <v>130.22034033138362</v>
      </c>
      <c r="J934" s="79">
        <f t="shared" si="535"/>
        <v>146.25572686823969</v>
      </c>
      <c r="K934" s="80">
        <v>662144.17729999998</v>
      </c>
      <c r="L934" s="83">
        <f t="shared" si="536"/>
        <v>181.35592679463386</v>
      </c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IH934"/>
      <c r="II934"/>
      <c r="IJ934"/>
      <c r="IK934"/>
      <c r="IL934"/>
      <c r="IM934"/>
    </row>
    <row r="935" spans="1:247" s="28" customFormat="1" ht="20.25" customHeight="1" x14ac:dyDescent="0.25">
      <c r="A935" s="75">
        <v>38120</v>
      </c>
      <c r="B935" s="76">
        <v>268.23</v>
      </c>
      <c r="C935" s="76">
        <f t="shared" si="545"/>
        <v>267.55942500000003</v>
      </c>
      <c r="D935" s="76">
        <f t="shared" si="547"/>
        <v>268.900575</v>
      </c>
      <c r="E935" s="78">
        <f>2868.05/1800.553*100</f>
        <v>159.28717455137394</v>
      </c>
      <c r="F935" s="76">
        <v>2868.05</v>
      </c>
      <c r="G935" s="84"/>
      <c r="H935" s="78">
        <v>124.18</v>
      </c>
      <c r="I935" s="78">
        <v>130.17646693889881</v>
      </c>
      <c r="J935" s="79">
        <f t="shared" si="535"/>
        <v>145.06645700076353</v>
      </c>
      <c r="K935" s="80">
        <v>645465.19999999995</v>
      </c>
      <c r="L935" s="83">
        <f t="shared" si="536"/>
        <v>173.13313059599997</v>
      </c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IH935"/>
      <c r="II935"/>
      <c r="IJ935"/>
      <c r="IK935"/>
      <c r="IL935"/>
      <c r="IM935"/>
    </row>
    <row r="936" spans="1:247" s="28" customFormat="1" ht="20.25" customHeight="1" x14ac:dyDescent="0.25">
      <c r="A936" s="75">
        <v>38113</v>
      </c>
      <c r="B936" s="76">
        <v>277.70999999999998</v>
      </c>
      <c r="C936" s="76">
        <f t="shared" si="545"/>
        <v>277.01572499999997</v>
      </c>
      <c r="D936" s="76">
        <f t="shared" si="547"/>
        <v>278.40427499999998</v>
      </c>
      <c r="E936" s="78">
        <f>2957.572/1800.553*100</f>
        <v>164.2590915124409</v>
      </c>
      <c r="F936" s="76">
        <v>2957.5720000000001</v>
      </c>
      <c r="G936" s="84"/>
      <c r="H936" s="78">
        <v>125.8</v>
      </c>
      <c r="I936" s="78">
        <v>130.13822699035904</v>
      </c>
      <c r="J936" s="79">
        <f t="shared" si="535"/>
        <v>148.26500243151042</v>
      </c>
      <c r="K936" s="80">
        <v>645135.81779999996</v>
      </c>
      <c r="L936" s="83">
        <f t="shared" si="536"/>
        <v>179.16066796123798</v>
      </c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IH936"/>
      <c r="II936"/>
      <c r="IJ936"/>
      <c r="IK936"/>
      <c r="IL936"/>
      <c r="IM936"/>
    </row>
    <row r="937" spans="1:247" s="28" customFormat="1" ht="20.25" customHeight="1" x14ac:dyDescent="0.25">
      <c r="A937" s="75">
        <v>38106</v>
      </c>
      <c r="B937" s="76">
        <v>278.71769499999999</v>
      </c>
      <c r="C937" s="76">
        <f t="shared" si="545"/>
        <v>278.02090076249999</v>
      </c>
      <c r="D937" s="76">
        <f t="shared" ref="D937:D944" si="548">1.0025*B937</f>
        <v>279.41448923749999</v>
      </c>
      <c r="E937" s="78">
        <f>2959.146/1800.553*100</f>
        <v>164.34650910025977</v>
      </c>
      <c r="F937" s="76">
        <v>2959.1460000000002</v>
      </c>
      <c r="G937" s="84"/>
      <c r="H937" s="78">
        <v>125.21</v>
      </c>
      <c r="I937" s="78">
        <v>130.10233521002428</v>
      </c>
      <c r="J937" s="79">
        <f t="shared" si="535"/>
        <v>147.955762055181</v>
      </c>
      <c r="K937" s="80">
        <v>635114.90590000001</v>
      </c>
      <c r="L937" s="83">
        <f t="shared" si="536"/>
        <v>177.01776263258989</v>
      </c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IH937"/>
      <c r="II937"/>
      <c r="IJ937"/>
      <c r="IK937"/>
      <c r="IL937"/>
      <c r="IM937"/>
    </row>
    <row r="938" spans="1:247" s="28" customFormat="1" ht="20.25" customHeight="1" x14ac:dyDescent="0.25">
      <c r="A938" s="75">
        <v>38099</v>
      </c>
      <c r="B938" s="76">
        <v>278.19359100000003</v>
      </c>
      <c r="C938" s="76">
        <f t="shared" si="545"/>
        <v>277.49810702250005</v>
      </c>
      <c r="D938" s="76">
        <f>1.0025*B938</f>
        <v>278.8890749775</v>
      </c>
      <c r="E938" s="78">
        <f>3009.491/1800.553*100</f>
        <v>167.14259452512644</v>
      </c>
      <c r="F938" s="76">
        <v>3009.491</v>
      </c>
      <c r="G938" s="84"/>
      <c r="H938" s="78">
        <v>124.9263</v>
      </c>
      <c r="I938" s="78">
        <v>130.0666237258325</v>
      </c>
      <c r="J938" s="79">
        <f t="shared" si="535"/>
        <v>149.0331077527988</v>
      </c>
      <c r="K938" s="80">
        <v>632425.78469999996</v>
      </c>
      <c r="L938" s="83">
        <f t="shared" si="536"/>
        <v>175.93680008668588</v>
      </c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IH938"/>
      <c r="II938"/>
      <c r="IJ938"/>
      <c r="IK938"/>
      <c r="IL938"/>
      <c r="IM938"/>
    </row>
    <row r="939" spans="1:247" s="28" customFormat="1" ht="20.25" customHeight="1" x14ac:dyDescent="0.25">
      <c r="A939" s="75">
        <v>38092</v>
      </c>
      <c r="B939" s="76">
        <v>282.65922399999999</v>
      </c>
      <c r="C939" s="76">
        <f t="shared" si="545"/>
        <v>281.95257594000003</v>
      </c>
      <c r="D939" s="76">
        <f>1.0025*B939</f>
        <v>283.36587205999996</v>
      </c>
      <c r="E939" s="78">
        <f>2988.139/1800.553*100</f>
        <v>165.9567366248036</v>
      </c>
      <c r="F939" s="76">
        <v>2988.1390000000001</v>
      </c>
      <c r="G939" s="84"/>
      <c r="H939" s="78">
        <v>125.3428</v>
      </c>
      <c r="I939" s="78">
        <v>130.03176917857482</v>
      </c>
      <c r="J939" s="79">
        <f t="shared" ref="J939:J1002" si="549">(E939/E940)*0.5*J940+(H939/H940)*0.5*J940</f>
        <v>148.74879694212717</v>
      </c>
      <c r="K939" s="80">
        <v>632425.78469999996</v>
      </c>
      <c r="L939" s="83">
        <f t="shared" ref="L939:L1002" si="550">K939*B939/1000000</f>
        <v>178.76098154089306</v>
      </c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IH939"/>
      <c r="II939"/>
      <c r="IJ939"/>
      <c r="IK939"/>
      <c r="IL939"/>
      <c r="IM939"/>
    </row>
    <row r="940" spans="1:247" s="28" customFormat="1" ht="20.25" customHeight="1" x14ac:dyDescent="0.25">
      <c r="A940" s="75">
        <v>38085</v>
      </c>
      <c r="B940" s="76">
        <v>286.92216000000002</v>
      </c>
      <c r="C940" s="76">
        <f t="shared" si="545"/>
        <v>286.20485460000003</v>
      </c>
      <c r="D940" s="76">
        <f t="shared" si="548"/>
        <v>287.63946540000001</v>
      </c>
      <c r="E940" s="78">
        <f>3040.494/1800.553*100</f>
        <v>168.86445442039195</v>
      </c>
      <c r="F940" s="76">
        <v>3040.4940000000001</v>
      </c>
      <c r="G940" s="84"/>
      <c r="H940" s="78">
        <v>126.40940000000001</v>
      </c>
      <c r="I940" s="78">
        <v>129.99748901879931</v>
      </c>
      <c r="J940" s="79">
        <f t="shared" si="549"/>
        <v>150.68181140244741</v>
      </c>
      <c r="K940" s="80">
        <v>627492.72600000002</v>
      </c>
      <c r="L940" s="83">
        <f t="shared" si="550"/>
        <v>180.04156832820817</v>
      </c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IH940"/>
      <c r="II940"/>
      <c r="IJ940"/>
      <c r="IK940"/>
      <c r="IL940"/>
      <c r="IM940"/>
    </row>
    <row r="941" spans="1:247" s="28" customFormat="1" ht="20.25" customHeight="1" x14ac:dyDescent="0.25">
      <c r="A941" s="75">
        <v>38078</v>
      </c>
      <c r="B941" s="76">
        <v>288.45006000000001</v>
      </c>
      <c r="C941" s="76">
        <f t="shared" si="545"/>
        <v>287.72893485000003</v>
      </c>
      <c r="D941" s="76">
        <f t="shared" si="548"/>
        <v>289.17118514999999</v>
      </c>
      <c r="E941" s="78">
        <f>3025.352/1800.553*100</f>
        <v>168.02349056095542</v>
      </c>
      <c r="F941" s="76">
        <v>3025.3519999999999</v>
      </c>
      <c r="G941" s="84"/>
      <c r="H941" s="78">
        <v>127.72517000000001</v>
      </c>
      <c r="I941" s="78">
        <v>129.96422189532692</v>
      </c>
      <c r="J941" s="79">
        <f t="shared" si="549"/>
        <v>151.08191667903594</v>
      </c>
      <c r="K941" s="80">
        <v>620552.66330000001</v>
      </c>
      <c r="L941" s="83">
        <f t="shared" si="550"/>
        <v>178.99845296204481</v>
      </c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IH941"/>
      <c r="II941"/>
      <c r="IJ941"/>
      <c r="IK941"/>
      <c r="IL941"/>
      <c r="IM941"/>
    </row>
    <row r="942" spans="1:247" s="28" customFormat="1" ht="20.25" customHeight="1" x14ac:dyDescent="0.25">
      <c r="A942" s="75">
        <v>38077</v>
      </c>
      <c r="B942" s="76">
        <v>287.58643799999999</v>
      </c>
      <c r="C942" s="76">
        <f t="shared" si="545"/>
        <v>286.867471905</v>
      </c>
      <c r="D942" s="76">
        <f t="shared" si="548"/>
        <v>288.30540409499997</v>
      </c>
      <c r="E942" s="78">
        <f>2998.83/1800.553*100</f>
        <v>166.55049865235844</v>
      </c>
      <c r="F942" s="76">
        <v>2998.83</v>
      </c>
      <c r="G942" s="84"/>
      <c r="H942" s="78">
        <v>127.4272</v>
      </c>
      <c r="I942" s="78">
        <v>129.91999999999999</v>
      </c>
      <c r="J942" s="79">
        <f t="shared" si="549"/>
        <v>150.24187897916369</v>
      </c>
      <c r="K942" s="80">
        <v>620552.66330000001</v>
      </c>
      <c r="L942" s="83">
        <f t="shared" si="550"/>
        <v>178.46253002986032</v>
      </c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IH942"/>
      <c r="II942"/>
      <c r="IJ942"/>
      <c r="IK942"/>
      <c r="IL942"/>
      <c r="IM942"/>
    </row>
    <row r="943" spans="1:247" s="28" customFormat="1" ht="20.25" customHeight="1" x14ac:dyDescent="0.25">
      <c r="A943" s="75">
        <v>38071</v>
      </c>
      <c r="B943" s="76">
        <v>283.69605300000001</v>
      </c>
      <c r="C943" s="76">
        <f t="shared" si="545"/>
        <v>282.98681286750002</v>
      </c>
      <c r="D943" s="76">
        <f t="shared" si="548"/>
        <v>284.40529313249999</v>
      </c>
      <c r="E943" s="78">
        <f>2941.424/1800.553*100</f>
        <v>163.36225592915065</v>
      </c>
      <c r="F943" s="76">
        <v>2941.424</v>
      </c>
      <c r="G943" s="84"/>
      <c r="H943" s="78">
        <v>126.5646</v>
      </c>
      <c r="I943" s="78">
        <v>129.93264299101861</v>
      </c>
      <c r="J943" s="79">
        <f t="shared" si="549"/>
        <v>148.28950752706237</v>
      </c>
      <c r="K943" s="80">
        <v>618657.51190000004</v>
      </c>
      <c r="L943" s="83">
        <f t="shared" si="550"/>
        <v>175.51069428483055</v>
      </c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IH943"/>
      <c r="II943"/>
      <c r="IJ943"/>
      <c r="IK943"/>
      <c r="IL943"/>
      <c r="IM943"/>
    </row>
    <row r="944" spans="1:247" s="28" customFormat="1" ht="20.25" customHeight="1" x14ac:dyDescent="0.25">
      <c r="A944" s="75">
        <v>38064</v>
      </c>
      <c r="B944" s="76">
        <v>283.456255</v>
      </c>
      <c r="C944" s="76">
        <f t="shared" si="545"/>
        <v>282.74761436250003</v>
      </c>
      <c r="D944" s="76">
        <f t="shared" si="548"/>
        <v>284.16489563749997</v>
      </c>
      <c r="E944" s="78">
        <f>2971.532/1800.553*100</f>
        <v>165.03440887327395</v>
      </c>
      <c r="F944" s="76">
        <v>2971.5320000000002</v>
      </c>
      <c r="G944" s="84"/>
      <c r="H944" s="78">
        <v>127.172</v>
      </c>
      <c r="I944" s="78">
        <v>129.9011376499295</v>
      </c>
      <c r="J944" s="79">
        <f t="shared" si="549"/>
        <v>149.40318545947068</v>
      </c>
      <c r="K944" s="80">
        <v>620463.89390000002</v>
      </c>
      <c r="L944" s="83">
        <f t="shared" si="550"/>
        <v>175.87437172761136</v>
      </c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IH944"/>
      <c r="II944"/>
      <c r="IJ944"/>
      <c r="IK944"/>
      <c r="IL944"/>
      <c r="IM944"/>
    </row>
    <row r="945" spans="1:247" s="28" customFormat="1" ht="20.25" customHeight="1" x14ac:dyDescent="0.25">
      <c r="A945" s="75">
        <v>38057</v>
      </c>
      <c r="B945" s="76">
        <v>277.47133000000002</v>
      </c>
      <c r="C945" s="76">
        <f t="shared" si="545"/>
        <v>276.77765167500002</v>
      </c>
      <c r="D945" s="76">
        <f t="shared" ref="D945:D950" si="551">1.0025*B945</f>
        <v>278.16500832500003</v>
      </c>
      <c r="E945" s="78">
        <f>2931.334/1800.553*100</f>
        <v>162.80187253582648</v>
      </c>
      <c r="F945" s="76">
        <v>2931.3339999999998</v>
      </c>
      <c r="G945" s="84"/>
      <c r="H945" s="78">
        <v>125.923</v>
      </c>
      <c r="I945" s="78">
        <v>129.86898113486293</v>
      </c>
      <c r="J945" s="79">
        <f t="shared" si="549"/>
        <v>147.65845534290725</v>
      </c>
      <c r="K945" s="80">
        <v>621525.05350000004</v>
      </c>
      <c r="L945" s="83">
        <f t="shared" si="550"/>
        <v>172.45538322296619</v>
      </c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IH945"/>
      <c r="II945"/>
      <c r="IJ945"/>
      <c r="IK945"/>
      <c r="IL945"/>
      <c r="IM945"/>
    </row>
    <row r="946" spans="1:247" s="28" customFormat="1" ht="20.25" customHeight="1" x14ac:dyDescent="0.25">
      <c r="A946" s="75">
        <v>38050</v>
      </c>
      <c r="B946" s="76">
        <v>277.47740399999998</v>
      </c>
      <c r="C946" s="76">
        <f t="shared" si="545"/>
        <v>276.78371048999998</v>
      </c>
      <c r="D946" s="76">
        <f t="shared" si="551"/>
        <v>278.17109750999998</v>
      </c>
      <c r="E946" s="78">
        <f>3034.482/1800.553*100</f>
        <v>168.53055700109908</v>
      </c>
      <c r="F946" s="76">
        <v>3034.482</v>
      </c>
      <c r="G946" s="84"/>
      <c r="H946" s="78">
        <v>125.6772</v>
      </c>
      <c r="I946" s="78">
        <v>129.83646963822008</v>
      </c>
      <c r="J946" s="79">
        <f t="shared" si="549"/>
        <v>150.06216298517495</v>
      </c>
      <c r="K946" s="80">
        <v>616945.12040000001</v>
      </c>
      <c r="L946" s="83">
        <f t="shared" si="550"/>
        <v>171.18833041905941</v>
      </c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IH946"/>
      <c r="II946"/>
      <c r="IJ946"/>
      <c r="IK946"/>
      <c r="IL946"/>
      <c r="IM946"/>
    </row>
    <row r="947" spans="1:247" s="28" customFormat="1" ht="20.25" customHeight="1" x14ac:dyDescent="0.25">
      <c r="A947" s="75">
        <v>38043</v>
      </c>
      <c r="B947" s="76">
        <v>276.98099000000002</v>
      </c>
      <c r="C947" s="76">
        <f t="shared" si="545"/>
        <v>276.28853752500004</v>
      </c>
      <c r="D947" s="76">
        <f t="shared" si="551"/>
        <v>277.673442475</v>
      </c>
      <c r="E947" s="78">
        <f>3009.978/1800.553*100</f>
        <v>167.16964177116697</v>
      </c>
      <c r="F947" s="76">
        <v>3009.9780000000001</v>
      </c>
      <c r="G947" s="84"/>
      <c r="H947" s="78">
        <v>126.658</v>
      </c>
      <c r="I947" s="78">
        <v>129.80344606789589</v>
      </c>
      <c r="J947" s="79">
        <f t="shared" si="549"/>
        <v>150.03236388989558</v>
      </c>
      <c r="K947" s="80">
        <v>593390.99419999996</v>
      </c>
      <c r="L947" s="83">
        <f t="shared" si="550"/>
        <v>164.35802503060026</v>
      </c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IH947"/>
      <c r="II947"/>
      <c r="IJ947"/>
      <c r="IK947"/>
      <c r="IL947"/>
      <c r="IM947"/>
    </row>
    <row r="948" spans="1:247" s="28" customFormat="1" ht="20.25" customHeight="1" x14ac:dyDescent="0.25">
      <c r="A948" s="75">
        <v>38036</v>
      </c>
      <c r="B948" s="76">
        <v>280.13925499999999</v>
      </c>
      <c r="C948" s="76">
        <f t="shared" si="545"/>
        <v>279.4389068625</v>
      </c>
      <c r="D948" s="76">
        <f t="shared" si="551"/>
        <v>280.83960313749998</v>
      </c>
      <c r="E948" s="78">
        <f>3045.999/1800.553*100</f>
        <v>169.17019382378632</v>
      </c>
      <c r="F948" s="76">
        <v>3045.9989999999998</v>
      </c>
      <c r="G948" s="84"/>
      <c r="H948" s="78">
        <v>127.955</v>
      </c>
      <c r="I948" s="78">
        <v>129.77081371953207</v>
      </c>
      <c r="J948" s="79">
        <f t="shared" si="549"/>
        <v>151.69816546224865</v>
      </c>
      <c r="K948" s="80">
        <v>590791.13300000003</v>
      </c>
      <c r="L948" s="83">
        <f t="shared" si="550"/>
        <v>165.50378785922592</v>
      </c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IH948"/>
      <c r="II948"/>
      <c r="IJ948"/>
      <c r="IK948"/>
      <c r="IL948"/>
      <c r="IM948"/>
    </row>
    <row r="949" spans="1:247" s="28" customFormat="1" ht="20.25" customHeight="1" x14ac:dyDescent="0.25">
      <c r="A949" s="75">
        <v>38029</v>
      </c>
      <c r="B949" s="76">
        <v>281.52443099999999</v>
      </c>
      <c r="C949" s="76">
        <f t="shared" si="545"/>
        <v>280.82061992249999</v>
      </c>
      <c r="D949" s="76">
        <f t="shared" si="551"/>
        <v>282.2282420775</v>
      </c>
      <c r="E949" s="78">
        <f>3041.381/1800.553*100</f>
        <v>168.91371706359101</v>
      </c>
      <c r="F949" s="76">
        <v>3041.3809999999999</v>
      </c>
      <c r="G949" s="84"/>
      <c r="H949" s="78">
        <v>128.77600000000001</v>
      </c>
      <c r="I949" s="78">
        <v>129.73789066463308</v>
      </c>
      <c r="J949" s="79">
        <f t="shared" si="549"/>
        <v>152.06746299840222</v>
      </c>
      <c r="K949" s="80">
        <v>590791.13300000003</v>
      </c>
      <c r="L949" s="83">
        <f t="shared" si="550"/>
        <v>166.32213755767032</v>
      </c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IH949"/>
      <c r="II949"/>
      <c r="IJ949"/>
      <c r="IK949"/>
      <c r="IL949"/>
      <c r="IM949"/>
    </row>
    <row r="950" spans="1:247" s="28" customFormat="1" ht="20.25" customHeight="1" x14ac:dyDescent="0.25">
      <c r="A950" s="75">
        <v>38022</v>
      </c>
      <c r="B950" s="76">
        <v>275.936575</v>
      </c>
      <c r="C950" s="76">
        <f t="shared" si="545"/>
        <v>275.24673356250003</v>
      </c>
      <c r="D950" s="76">
        <f t="shared" si="551"/>
        <v>276.62641643749998</v>
      </c>
      <c r="E950" s="78">
        <f>2964.739/1800.553*100</f>
        <v>164.65713589102901</v>
      </c>
      <c r="F950" s="76">
        <v>2964.739</v>
      </c>
      <c r="G950" s="84"/>
      <c r="H950" s="78">
        <v>127.935</v>
      </c>
      <c r="I950" s="78">
        <v>129.70483576569205</v>
      </c>
      <c r="J950" s="79">
        <f t="shared" si="549"/>
        <v>149.641414276848</v>
      </c>
      <c r="K950" s="80">
        <v>581002.24529999995</v>
      </c>
      <c r="L950" s="83">
        <f t="shared" si="550"/>
        <v>160.31976963539182</v>
      </c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IH950"/>
      <c r="II950"/>
      <c r="IJ950"/>
      <c r="IK950"/>
      <c r="IL950"/>
      <c r="IM950"/>
    </row>
    <row r="951" spans="1:247" s="28" customFormat="1" ht="20.25" customHeight="1" x14ac:dyDescent="0.25">
      <c r="A951" s="75">
        <v>38015</v>
      </c>
      <c r="B951" s="76">
        <v>273.83240599999999</v>
      </c>
      <c r="C951" s="76">
        <f t="shared" si="545"/>
        <v>273.147824985</v>
      </c>
      <c r="D951" s="76">
        <f>1.0025*B951</f>
        <v>274.51698701499998</v>
      </c>
      <c r="E951" s="78">
        <f>2971.387/1800.553*100</f>
        <v>165.02635579180395</v>
      </c>
      <c r="F951" s="76">
        <v>2971.3870000000002</v>
      </c>
      <c r="G951" s="84"/>
      <c r="H951" s="78">
        <v>126.985</v>
      </c>
      <c r="I951" s="78">
        <v>129.6713652149428</v>
      </c>
      <c r="J951" s="79">
        <f t="shared" si="549"/>
        <v>149.25009101755489</v>
      </c>
      <c r="K951" s="80">
        <v>577092.93400000001</v>
      </c>
      <c r="L951" s="83">
        <f t="shared" si="550"/>
        <v>158.0267466028192</v>
      </c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IH951"/>
      <c r="II951"/>
      <c r="IJ951"/>
      <c r="IK951"/>
      <c r="IL951"/>
      <c r="IM951"/>
    </row>
    <row r="952" spans="1:247" s="28" customFormat="1" ht="20.25" customHeight="1" x14ac:dyDescent="0.25">
      <c r="A952" s="75">
        <v>38008</v>
      </c>
      <c r="B952" s="76">
        <v>277.81567699999999</v>
      </c>
      <c r="C952" s="76">
        <f t="shared" si="545"/>
        <v>277.12113780750002</v>
      </c>
      <c r="D952" s="76">
        <f>1.0025*B952</f>
        <v>278.51021619249997</v>
      </c>
      <c r="E952" s="78">
        <f>3026.299/1800.553*100</f>
        <v>168.07608551372829</v>
      </c>
      <c r="F952" s="76">
        <v>3026.299</v>
      </c>
      <c r="G952" s="84"/>
      <c r="H952" s="78">
        <v>128.07900000000001</v>
      </c>
      <c r="I952" s="78">
        <v>129.63764641871279</v>
      </c>
      <c r="J952" s="79">
        <f t="shared" si="549"/>
        <v>151.26850745494488</v>
      </c>
      <c r="K952" s="80">
        <v>576774.20220000006</v>
      </c>
      <c r="L952" s="83">
        <f t="shared" si="550"/>
        <v>160.23691546032791</v>
      </c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IH952"/>
      <c r="II952"/>
      <c r="IJ952"/>
      <c r="IK952"/>
      <c r="IL952"/>
      <c r="IM952"/>
    </row>
    <row r="953" spans="1:247" s="28" customFormat="1" ht="20.25" customHeight="1" x14ac:dyDescent="0.25">
      <c r="A953" s="75">
        <v>38001</v>
      </c>
      <c r="B953" s="76">
        <v>274.14790599999998</v>
      </c>
      <c r="C953" s="76">
        <f t="shared" si="545"/>
        <v>273.46253623500002</v>
      </c>
      <c r="D953" s="76">
        <f>1.0025*B953</f>
        <v>274.83327576499994</v>
      </c>
      <c r="E953" s="78">
        <f>2978.14/1800.553*100</f>
        <v>165.40140723433299</v>
      </c>
      <c r="F953" s="76">
        <v>2978.14</v>
      </c>
      <c r="G953" s="84"/>
      <c r="H953" s="78">
        <v>127.732</v>
      </c>
      <c r="I953" s="78">
        <v>129.60469242833031</v>
      </c>
      <c r="J953" s="79">
        <f t="shared" si="549"/>
        <v>149.85333326874709</v>
      </c>
      <c r="K953" s="80">
        <v>566596.92879999999</v>
      </c>
      <c r="L953" s="83">
        <f t="shared" si="550"/>
        <v>155.33136157655107</v>
      </c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IH953"/>
      <c r="II953"/>
      <c r="IJ953"/>
      <c r="IK953"/>
      <c r="IL953"/>
      <c r="IM953"/>
    </row>
    <row r="954" spans="1:247" s="28" customFormat="1" ht="20.25" customHeight="1" x14ac:dyDescent="0.25">
      <c r="A954" s="75">
        <v>37994</v>
      </c>
      <c r="B954" s="76">
        <v>275.39801499999999</v>
      </c>
      <c r="C954" s="76">
        <f t="shared" si="545"/>
        <v>274.7095199625</v>
      </c>
      <c r="D954" s="76">
        <f>1.0025*B954</f>
        <v>276.08651003749998</v>
      </c>
      <c r="E954" s="78">
        <f>2985.491/1800.553*100</f>
        <v>165.80967069561405</v>
      </c>
      <c r="F954" s="76">
        <v>2985.491</v>
      </c>
      <c r="G954" s="84"/>
      <c r="H954" s="78">
        <v>128.09899999999999</v>
      </c>
      <c r="I954" s="78">
        <v>129.57156650420379</v>
      </c>
      <c r="J954" s="79">
        <f t="shared" si="549"/>
        <v>150.25354961349922</v>
      </c>
      <c r="K954" s="80">
        <v>566558.89769999997</v>
      </c>
      <c r="L954" s="83">
        <f t="shared" si="550"/>
        <v>156.02919580716804</v>
      </c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IH954"/>
      <c r="II954"/>
      <c r="IJ954"/>
      <c r="IK954"/>
      <c r="IL954"/>
      <c r="IM954"/>
    </row>
    <row r="955" spans="1:247" s="28" customFormat="1" ht="20.25" customHeight="1" x14ac:dyDescent="0.25">
      <c r="A955" s="75">
        <v>37988</v>
      </c>
      <c r="B955" s="76">
        <v>272.56578999999999</v>
      </c>
      <c r="C955" s="76">
        <f t="shared" si="545"/>
        <v>271.884375525</v>
      </c>
      <c r="D955" s="76">
        <f>1.0025*B955</f>
        <v>273.24720447499999</v>
      </c>
      <c r="E955" s="78">
        <f>2924.623/1800.553*100</f>
        <v>162.4291537099991</v>
      </c>
      <c r="F955" s="76">
        <v>2924.623</v>
      </c>
      <c r="G955" s="84"/>
      <c r="H955" s="78">
        <v>127.44799999999999</v>
      </c>
      <c r="I955" s="78">
        <v>129.54259093918199</v>
      </c>
      <c r="J955" s="79">
        <f t="shared" si="549"/>
        <v>148.33116139205589</v>
      </c>
      <c r="K955" s="80">
        <v>560794.94530000002</v>
      </c>
      <c r="L955" s="83">
        <f t="shared" si="550"/>
        <v>152.85351729370129</v>
      </c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IH955"/>
      <c r="II955"/>
      <c r="IJ955"/>
      <c r="IK955"/>
      <c r="IL955"/>
      <c r="IM955"/>
    </row>
    <row r="956" spans="1:247" s="28" customFormat="1" ht="20.25" customHeight="1" x14ac:dyDescent="0.25">
      <c r="A956" s="75">
        <v>37986</v>
      </c>
      <c r="B956" s="76">
        <v>272.400981</v>
      </c>
      <c r="C956" s="76" t="s">
        <v>32</v>
      </c>
      <c r="D956" s="76" t="s">
        <v>32</v>
      </c>
      <c r="E956" s="78">
        <f>2919.442/1800.553*100</f>
        <v>162.14140877830309</v>
      </c>
      <c r="F956" s="76">
        <v>2919.442</v>
      </c>
      <c r="G956" s="84"/>
      <c r="H956" s="78">
        <v>127.29</v>
      </c>
      <c r="I956" s="78">
        <v>129.53</v>
      </c>
      <c r="J956" s="79">
        <f t="shared" si="549"/>
        <v>148.10782114327989</v>
      </c>
      <c r="K956" s="80">
        <v>560794.94530000002</v>
      </c>
      <c r="L956" s="83">
        <f t="shared" si="550"/>
        <v>152.76109323956135</v>
      </c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IH956"/>
      <c r="II956"/>
      <c r="IJ956"/>
      <c r="IK956"/>
      <c r="IL956"/>
      <c r="IM956"/>
    </row>
    <row r="957" spans="1:247" s="28" customFormat="1" ht="20.25" customHeight="1" x14ac:dyDescent="0.25">
      <c r="A957" s="75">
        <v>37984</v>
      </c>
      <c r="B957" s="76">
        <v>269.99451699999997</v>
      </c>
      <c r="C957" s="76">
        <f t="shared" si="545"/>
        <v>269.31953070750001</v>
      </c>
      <c r="D957" s="76">
        <f t="shared" ref="D957:D966" si="552">1.0025*B957</f>
        <v>270.66950329249994</v>
      </c>
      <c r="E957" s="78">
        <f>2896.273/1800.553*100</f>
        <v>160.85463743638761</v>
      </c>
      <c r="F957" s="76">
        <v>2896.2730000000001</v>
      </c>
      <c r="G957" s="84"/>
      <c r="H957" s="78">
        <v>127.045</v>
      </c>
      <c r="I957" s="78">
        <v>129.52310877577847</v>
      </c>
      <c r="J957" s="79">
        <f t="shared" si="549"/>
        <v>147.37624239969267</v>
      </c>
      <c r="K957" s="80">
        <v>560610.21849999996</v>
      </c>
      <c r="L957" s="83">
        <f t="shared" si="550"/>
        <v>151.36168516917192</v>
      </c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IH957"/>
      <c r="II957"/>
      <c r="IJ957"/>
      <c r="IK957"/>
      <c r="IL957"/>
      <c r="IM957"/>
    </row>
    <row r="958" spans="1:247" s="28" customFormat="1" ht="20.25" customHeight="1" x14ac:dyDescent="0.25">
      <c r="A958" s="75">
        <v>37973</v>
      </c>
      <c r="B958" s="76">
        <v>267.099062</v>
      </c>
      <c r="C958" s="76">
        <f t="shared" si="545"/>
        <v>266.43131434500003</v>
      </c>
      <c r="D958" s="76">
        <f t="shared" si="552"/>
        <v>267.76680965499997</v>
      </c>
      <c r="E958" s="78">
        <f>2836.075/1800.553*100</f>
        <v>157.51133124101315</v>
      </c>
      <c r="F958" s="76">
        <v>2836.0749999999998</v>
      </c>
      <c r="G958" s="84"/>
      <c r="H958" s="78">
        <v>126.425</v>
      </c>
      <c r="I958" s="78">
        <v>129.46936856819883</v>
      </c>
      <c r="J958" s="79">
        <f t="shared" si="549"/>
        <v>145.47561030255406</v>
      </c>
      <c r="K958" s="80">
        <v>548753.02760000003</v>
      </c>
      <c r="L958" s="83">
        <f t="shared" si="550"/>
        <v>146.57141894162012</v>
      </c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IH958"/>
      <c r="II958"/>
      <c r="IJ958"/>
      <c r="IK958"/>
      <c r="IL958"/>
      <c r="IM958"/>
    </row>
    <row r="959" spans="1:247" s="28" customFormat="1" ht="20.25" customHeight="1" x14ac:dyDescent="0.25">
      <c r="A959" s="75">
        <v>37966</v>
      </c>
      <c r="B959" s="76">
        <v>265.088641</v>
      </c>
      <c r="C959" s="76">
        <f t="shared" si="545"/>
        <v>264.42591939750002</v>
      </c>
      <c r="D959" s="76">
        <f t="shared" si="552"/>
        <v>265.75136260249997</v>
      </c>
      <c r="E959" s="78">
        <f>2785.666/1800.553*100</f>
        <v>154.71169135260112</v>
      </c>
      <c r="F959" s="76">
        <v>2785.6660000000002</v>
      </c>
      <c r="G959" s="84"/>
      <c r="H959" s="78">
        <v>125.518</v>
      </c>
      <c r="I959" s="78">
        <v>129.43504930814547</v>
      </c>
      <c r="J959" s="79">
        <f t="shared" si="549"/>
        <v>143.65677848504694</v>
      </c>
      <c r="K959" s="80">
        <v>541350.89390000002</v>
      </c>
      <c r="L959" s="83">
        <f t="shared" si="550"/>
        <v>143.5059727680862</v>
      </c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IH959"/>
      <c r="II959"/>
      <c r="IJ959"/>
      <c r="IK959"/>
      <c r="IL959"/>
      <c r="IM959"/>
    </row>
    <row r="960" spans="1:247" s="28" customFormat="1" ht="20.25" customHeight="1" x14ac:dyDescent="0.25">
      <c r="A960" s="75">
        <v>37959</v>
      </c>
      <c r="B960" s="76">
        <v>263.75284299999998</v>
      </c>
      <c r="C960" s="76">
        <f t="shared" si="545"/>
        <v>263.09346089249999</v>
      </c>
      <c r="D960" s="76">
        <f t="shared" si="552"/>
        <v>264.41222510749998</v>
      </c>
      <c r="E960" s="78">
        <f>2792.93/1800.553*100</f>
        <v>155.11512296500018</v>
      </c>
      <c r="F960" s="76">
        <v>2792.93</v>
      </c>
      <c r="G960" s="84"/>
      <c r="H960" s="78">
        <v>125.181</v>
      </c>
      <c r="I960" s="78">
        <v>129.40039067737212</v>
      </c>
      <c r="J960" s="79">
        <f t="shared" si="549"/>
        <v>143.65022451762198</v>
      </c>
      <c r="K960" s="80">
        <v>536906.76850000001</v>
      </c>
      <c r="L960" s="83">
        <f t="shared" si="550"/>
        <v>141.61068661781786</v>
      </c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IH960"/>
      <c r="II960"/>
      <c r="IJ960"/>
      <c r="IK960"/>
      <c r="IL960"/>
      <c r="IM960"/>
    </row>
    <row r="961" spans="1:247" s="28" customFormat="1" ht="20.25" customHeight="1" x14ac:dyDescent="0.25">
      <c r="A961" s="75">
        <v>37952</v>
      </c>
      <c r="B961" s="76">
        <v>261.35184600000002</v>
      </c>
      <c r="C961" s="76">
        <f t="shared" si="545"/>
        <v>260.69846638500002</v>
      </c>
      <c r="D961" s="76">
        <f t="shared" si="552"/>
        <v>262.00522561500003</v>
      </c>
      <c r="E961" s="78">
        <f>2745.362/1800.553*100</f>
        <v>152.47326793490666</v>
      </c>
      <c r="F961" s="76">
        <v>2745.3620000000001</v>
      </c>
      <c r="G961" s="84"/>
      <c r="H961" s="78">
        <v>124.38500000000001</v>
      </c>
      <c r="I961" s="78">
        <v>129.36487787058525</v>
      </c>
      <c r="J961" s="79">
        <f t="shared" si="549"/>
        <v>141.96606951850057</v>
      </c>
      <c r="K961" s="80">
        <v>535952.60640000005</v>
      </c>
      <c r="L961" s="83">
        <f t="shared" si="550"/>
        <v>140.07220305115143</v>
      </c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IH961"/>
      <c r="II961"/>
      <c r="IJ961"/>
      <c r="IK961"/>
      <c r="IL961"/>
      <c r="IM961"/>
    </row>
    <row r="962" spans="1:247" s="28" customFormat="1" ht="20.25" customHeight="1" x14ac:dyDescent="0.25">
      <c r="A962" s="75">
        <v>37945</v>
      </c>
      <c r="B962" s="76">
        <v>261.58852000000002</v>
      </c>
      <c r="C962" s="76">
        <f t="shared" si="545"/>
        <v>260.93454870000005</v>
      </c>
      <c r="D962" s="76">
        <f t="shared" si="552"/>
        <v>262.24249129999998</v>
      </c>
      <c r="E962" s="78">
        <f>2683.599/1800.553*100</f>
        <v>149.04304399814944</v>
      </c>
      <c r="F962" s="76">
        <v>2683.5990000000002</v>
      </c>
      <c r="G962" s="84"/>
      <c r="H962" s="78">
        <v>124.4785</v>
      </c>
      <c r="I962" s="78">
        <v>129.32967267365737</v>
      </c>
      <c r="J962" s="79">
        <f t="shared" si="549"/>
        <v>140.40311227129658</v>
      </c>
      <c r="K962" s="80">
        <v>530523.99140000006</v>
      </c>
      <c r="L962" s="83">
        <f t="shared" si="550"/>
        <v>138.77898573481875</v>
      </c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IH962"/>
      <c r="II962"/>
      <c r="IJ962"/>
      <c r="IK962"/>
      <c r="IL962"/>
      <c r="IM962"/>
    </row>
    <row r="963" spans="1:247" s="28" customFormat="1" ht="20.25" customHeight="1" x14ac:dyDescent="0.25">
      <c r="A963" s="75">
        <v>37938</v>
      </c>
      <c r="B963" s="76">
        <v>260.16726899999998</v>
      </c>
      <c r="C963" s="76">
        <f t="shared" si="545"/>
        <v>259.51685082749998</v>
      </c>
      <c r="D963" s="76">
        <f t="shared" si="552"/>
        <v>260.81768717249997</v>
      </c>
      <c r="E963" s="78">
        <f>2735.113/1800.553*100</f>
        <v>151.90405392121195</v>
      </c>
      <c r="F963" s="76">
        <v>2735.1129999999998</v>
      </c>
      <c r="G963" s="84"/>
      <c r="H963" s="78">
        <v>123.78</v>
      </c>
      <c r="I963" s="78">
        <v>129.29521013529072</v>
      </c>
      <c r="J963" s="79">
        <f t="shared" si="549"/>
        <v>141.33530666773856</v>
      </c>
      <c r="K963" s="80">
        <v>527648.44499999995</v>
      </c>
      <c r="L963" s="83">
        <f t="shared" si="550"/>
        <v>137.27685492774668</v>
      </c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IH963"/>
      <c r="II963"/>
      <c r="IJ963"/>
      <c r="IK963"/>
      <c r="IL963"/>
      <c r="IM963"/>
    </row>
    <row r="964" spans="1:247" s="28" customFormat="1" ht="20.25" customHeight="1" x14ac:dyDescent="0.25">
      <c r="A964" s="75">
        <v>37931</v>
      </c>
      <c r="B964" s="76">
        <v>255.868685</v>
      </c>
      <c r="C964" s="76">
        <f t="shared" si="545"/>
        <v>255.22901328750001</v>
      </c>
      <c r="D964" s="76">
        <f t="shared" si="552"/>
        <v>256.50835671249996</v>
      </c>
      <c r="E964" s="78">
        <f>2710.261/1800.553*100</f>
        <v>150.5238112957519</v>
      </c>
      <c r="F964" s="76">
        <v>2710.261</v>
      </c>
      <c r="G964" s="84"/>
      <c r="H964" s="78">
        <v>122.41500000000001</v>
      </c>
      <c r="I964" s="78">
        <v>129.25970915625788</v>
      </c>
      <c r="J964" s="79">
        <f t="shared" si="549"/>
        <v>139.91376941769991</v>
      </c>
      <c r="K964" s="80">
        <v>525515.81929999997</v>
      </c>
      <c r="L964" s="83">
        <f t="shared" si="550"/>
        <v>134.46304163098864</v>
      </c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IH964"/>
      <c r="II964"/>
      <c r="IJ964"/>
      <c r="IK964"/>
      <c r="IL964"/>
      <c r="IM964"/>
    </row>
    <row r="965" spans="1:247" s="28" customFormat="1" ht="20.25" customHeight="1" x14ac:dyDescent="0.25">
      <c r="A965" s="75">
        <v>37924</v>
      </c>
      <c r="B965" s="76">
        <v>259.02506499999998</v>
      </c>
      <c r="C965" s="76">
        <f t="shared" si="545"/>
        <v>258.3775023375</v>
      </c>
      <c r="D965" s="76">
        <f t="shared" si="552"/>
        <v>259.67262766249996</v>
      </c>
      <c r="E965" s="78">
        <f>2709.873/1800.553*100</f>
        <v>150.50226236050813</v>
      </c>
      <c r="F965" s="76">
        <v>2709.873</v>
      </c>
      <c r="G965" s="84"/>
      <c r="H965" s="78">
        <v>123.61499999999999</v>
      </c>
      <c r="I965" s="78">
        <v>129.22460040426566</v>
      </c>
      <c r="J965" s="79">
        <f t="shared" si="549"/>
        <v>140.58607873087055</v>
      </c>
      <c r="K965" s="80">
        <v>524938.16</v>
      </c>
      <c r="L965" s="83">
        <f t="shared" si="550"/>
        <v>135.97214101498039</v>
      </c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IH965"/>
      <c r="II965"/>
      <c r="IJ965"/>
      <c r="IK965"/>
      <c r="IL965"/>
      <c r="IM965"/>
    </row>
    <row r="966" spans="1:247" s="28" customFormat="1" ht="20.25" customHeight="1" x14ac:dyDescent="0.25">
      <c r="A966" s="75">
        <v>37917</v>
      </c>
      <c r="B966" s="76">
        <v>258.26</v>
      </c>
      <c r="C966" s="76">
        <f t="shared" si="545"/>
        <v>257.61435</v>
      </c>
      <c r="D966" s="76">
        <f t="shared" si="552"/>
        <v>258.90564999999998</v>
      </c>
      <c r="E966" s="78">
        <f>2659.733/1800.553*100</f>
        <v>147.71756232668517</v>
      </c>
      <c r="F966" s="76">
        <v>2659.7330000000002</v>
      </c>
      <c r="G966" s="84"/>
      <c r="H966" s="78">
        <v>123.74</v>
      </c>
      <c r="I966" s="78">
        <v>129.19003311205273</v>
      </c>
      <c r="J966" s="79">
        <f t="shared" si="549"/>
        <v>139.34304584397267</v>
      </c>
      <c r="K966" s="80">
        <v>524938.16</v>
      </c>
      <c r="L966" s="83">
        <f t="shared" si="550"/>
        <v>135.57052920160001</v>
      </c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IH966"/>
      <c r="II966"/>
      <c r="IJ966"/>
      <c r="IK966"/>
      <c r="IL966"/>
      <c r="IM966"/>
    </row>
    <row r="967" spans="1:247" s="28" customFormat="1" ht="20.25" customHeight="1" x14ac:dyDescent="0.25">
      <c r="A967" s="75">
        <v>37910</v>
      </c>
      <c r="B967" s="76">
        <v>260.29321299999998</v>
      </c>
      <c r="C967" s="76">
        <f t="shared" si="545"/>
        <v>259.64247996749998</v>
      </c>
      <c r="D967" s="76">
        <f t="shared" ref="D967:D977" si="553">1.0025*B967</f>
        <v>260.94394603249998</v>
      </c>
      <c r="E967" s="78">
        <f>2715.626/1800.553*100</f>
        <v>150.82177531014082</v>
      </c>
      <c r="F967" s="76">
        <v>2715.6260000000002</v>
      </c>
      <c r="G967" s="84"/>
      <c r="H967" s="78">
        <v>123.4046</v>
      </c>
      <c r="I967" s="78">
        <v>129.15582418744751</v>
      </c>
      <c r="J967" s="79">
        <f t="shared" si="549"/>
        <v>140.59888249745057</v>
      </c>
      <c r="K967" s="80">
        <v>523644.4817</v>
      </c>
      <c r="L967" s="83">
        <f t="shared" si="550"/>
        <v>136.30110461141271</v>
      </c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IH967"/>
      <c r="II967"/>
      <c r="IJ967"/>
      <c r="IK967"/>
      <c r="IL967"/>
      <c r="IM967"/>
    </row>
    <row r="968" spans="1:247" s="28" customFormat="1" ht="20.25" customHeight="1" x14ac:dyDescent="0.25">
      <c r="A968" s="75">
        <v>37903</v>
      </c>
      <c r="B968" s="76">
        <v>258.78938799999997</v>
      </c>
      <c r="C968" s="76">
        <f t="shared" si="545"/>
        <v>258.14241453</v>
      </c>
      <c r="D968" s="76">
        <f>1.0025*B968</f>
        <v>259.43636146999995</v>
      </c>
      <c r="E968" s="78">
        <f>2677.737/1800.553*100</f>
        <v>148.71747735279106</v>
      </c>
      <c r="F968" s="76">
        <v>2677.7370000000001</v>
      </c>
      <c r="G968" s="84"/>
      <c r="H968" s="78">
        <v>123.55800000000001</v>
      </c>
      <c r="I968" s="78">
        <v>129.12177475421933</v>
      </c>
      <c r="J968" s="79">
        <f t="shared" si="549"/>
        <v>139.69726847844751</v>
      </c>
      <c r="K968" s="80">
        <v>523247.93530000001</v>
      </c>
      <c r="L968" s="83">
        <f t="shared" si="550"/>
        <v>135.41101294855059</v>
      </c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IH968"/>
      <c r="II968"/>
      <c r="IJ968"/>
      <c r="IK968"/>
      <c r="IL968"/>
      <c r="IM968"/>
    </row>
    <row r="969" spans="1:247" s="28" customFormat="1" ht="20.25" customHeight="1" x14ac:dyDescent="0.25">
      <c r="A969" s="75">
        <v>37896</v>
      </c>
      <c r="B969" s="76">
        <v>258.2824</v>
      </c>
      <c r="C969" s="76">
        <f t="shared" si="545"/>
        <v>257.63669400000003</v>
      </c>
      <c r="D969" s="76">
        <f>1.0025*B969</f>
        <v>258.92810599999996</v>
      </c>
      <c r="E969" s="78">
        <f>2619.493/1800.553*100</f>
        <v>145.48269337253609</v>
      </c>
      <c r="F969" s="76">
        <v>2619.4929999999999</v>
      </c>
      <c r="G969" s="84"/>
      <c r="H969" s="78">
        <v>123.069</v>
      </c>
      <c r="I969" s="78">
        <v>129.08831921746105</v>
      </c>
      <c r="J969" s="79">
        <f t="shared" si="549"/>
        <v>137.89033846466663</v>
      </c>
      <c r="K969" s="80">
        <v>519489.1176</v>
      </c>
      <c r="L969" s="83">
        <f t="shared" si="550"/>
        <v>134.17489606761023</v>
      </c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IH969"/>
      <c r="II969"/>
      <c r="IJ969"/>
      <c r="IK969"/>
      <c r="IL969"/>
      <c r="IM969"/>
    </row>
    <row r="970" spans="1:247" s="28" customFormat="1" ht="20.25" customHeight="1" x14ac:dyDescent="0.25">
      <c r="A970" s="75">
        <v>37894</v>
      </c>
      <c r="B970" s="76">
        <v>254.43143800000001</v>
      </c>
      <c r="C970" s="76">
        <f t="shared" si="545"/>
        <v>253.79535940500003</v>
      </c>
      <c r="D970" s="76">
        <f>1.0025*B970</f>
        <v>255.067516595</v>
      </c>
      <c r="E970" s="78">
        <f>2552.643/1800.553*100</f>
        <v>141.76994512241515</v>
      </c>
      <c r="F970" s="76">
        <v>2552.643</v>
      </c>
      <c r="G970" s="84"/>
      <c r="H970" s="78">
        <v>122.56</v>
      </c>
      <c r="I970" s="78">
        <v>129.09</v>
      </c>
      <c r="J970" s="79">
        <f t="shared" si="549"/>
        <v>135.82969264993676</v>
      </c>
      <c r="K970" s="80">
        <v>519489.1176</v>
      </c>
      <c r="L970" s="83">
        <f t="shared" si="550"/>
        <v>132.17436321631911</v>
      </c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IH970"/>
      <c r="II970"/>
      <c r="IJ970"/>
      <c r="IK970"/>
      <c r="IL970"/>
      <c r="IM970"/>
    </row>
    <row r="971" spans="1:247" s="28" customFormat="1" ht="20.25" customHeight="1" x14ac:dyDescent="0.25">
      <c r="A971" s="75">
        <v>37889</v>
      </c>
      <c r="B971" s="76">
        <v>254.188061</v>
      </c>
      <c r="C971" s="76">
        <f t="shared" si="545"/>
        <v>253.55259084750003</v>
      </c>
      <c r="D971" s="76">
        <f>1.0025*B971</f>
        <v>254.82353115249998</v>
      </c>
      <c r="E971" s="78">
        <f>2578.177/1800.553*100</f>
        <v>143.18806500003055</v>
      </c>
      <c r="F971" s="76">
        <v>2578.1770000000001</v>
      </c>
      <c r="G971" s="84"/>
      <c r="H971" s="78">
        <v>122.26600000000001</v>
      </c>
      <c r="I971" s="78">
        <v>129.05544775717007</v>
      </c>
      <c r="J971" s="79">
        <f t="shared" si="549"/>
        <v>136.34092366343546</v>
      </c>
      <c r="K971" s="80">
        <v>519489.1176</v>
      </c>
      <c r="L971" s="83">
        <f t="shared" si="550"/>
        <v>132.04793151334496</v>
      </c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IH971"/>
      <c r="II971"/>
      <c r="IJ971"/>
      <c r="IK971"/>
      <c r="IL971"/>
      <c r="IM971"/>
    </row>
    <row r="972" spans="1:247" s="28" customFormat="1" ht="20.25" customHeight="1" x14ac:dyDescent="0.25">
      <c r="A972" s="75">
        <v>37882</v>
      </c>
      <c r="B972" s="76">
        <v>252.29767200000001</v>
      </c>
      <c r="C972" s="76">
        <f t="shared" si="545"/>
        <v>251.66692782000001</v>
      </c>
      <c r="D972" s="76">
        <f>1.0025*B972</f>
        <v>252.92841618</v>
      </c>
      <c r="E972" s="78">
        <f>2647.344/1800.553*100</f>
        <v>147.02949593819233</v>
      </c>
      <c r="F972" s="76">
        <v>2647.3440000000001</v>
      </c>
      <c r="G972" s="84"/>
      <c r="H972" s="78">
        <v>120.702</v>
      </c>
      <c r="I972" s="78">
        <v>129.02205033404636</v>
      </c>
      <c r="J972" s="79">
        <f t="shared" si="549"/>
        <v>137.24463905863644</v>
      </c>
      <c r="K972" s="80">
        <v>518184.40879999998</v>
      </c>
      <c r="L972" s="83">
        <f t="shared" si="550"/>
        <v>130.73672000693631</v>
      </c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IH972"/>
      <c r="II972"/>
      <c r="IJ972"/>
      <c r="IK972"/>
      <c r="IL972"/>
      <c r="IM972"/>
    </row>
    <row r="973" spans="1:247" s="28" customFormat="1" ht="20.25" customHeight="1" x14ac:dyDescent="0.25">
      <c r="A973" s="75">
        <v>37875</v>
      </c>
      <c r="B973" s="76">
        <v>248.977161</v>
      </c>
      <c r="C973" s="76">
        <f t="shared" si="545"/>
        <v>248.35471809750001</v>
      </c>
      <c r="D973" s="76">
        <f t="shared" si="553"/>
        <v>249.59960390249998</v>
      </c>
      <c r="E973" s="78">
        <f>2577.575/1800.553*100</f>
        <v>143.15463082730693</v>
      </c>
      <c r="F973" s="76">
        <v>2577.5749999999998</v>
      </c>
      <c r="G973" s="84"/>
      <c r="H973" s="78">
        <v>120.075</v>
      </c>
      <c r="I973" s="78">
        <v>128.98834839620056</v>
      </c>
      <c r="J973" s="79">
        <f t="shared" si="549"/>
        <v>135.06406843666156</v>
      </c>
      <c r="K973" s="80">
        <v>517880.19569999998</v>
      </c>
      <c r="L973" s="83">
        <f t="shared" si="550"/>
        <v>128.94034086351041</v>
      </c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IH973"/>
      <c r="II973"/>
      <c r="IJ973"/>
      <c r="IK973"/>
      <c r="IL973"/>
      <c r="IM973"/>
    </row>
    <row r="974" spans="1:247" s="28" customFormat="1" ht="20.25" customHeight="1" x14ac:dyDescent="0.25">
      <c r="A974" s="75">
        <v>37868</v>
      </c>
      <c r="B974" s="76">
        <v>246.08</v>
      </c>
      <c r="C974" s="76">
        <f t="shared" si="545"/>
        <v>245.46480000000003</v>
      </c>
      <c r="D974" s="76">
        <f t="shared" si="553"/>
        <v>246.6952</v>
      </c>
      <c r="E974" s="78">
        <f>2591.003/1800.553*100</f>
        <v>143.90040170991912</v>
      </c>
      <c r="F974" s="76">
        <v>2591.0030000000002</v>
      </c>
      <c r="G974" s="84"/>
      <c r="H974" s="78">
        <v>118.98</v>
      </c>
      <c r="I974" s="78">
        <v>128.95460038550169</v>
      </c>
      <c r="J974" s="79">
        <f t="shared" si="549"/>
        <v>134.7930886043419</v>
      </c>
      <c r="K974" s="80">
        <v>516400.66590000002</v>
      </c>
      <c r="L974" s="83">
        <f t="shared" si="550"/>
        <v>127.075875864672</v>
      </c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IH974"/>
      <c r="II974"/>
      <c r="IJ974"/>
      <c r="IK974"/>
      <c r="IL974"/>
      <c r="IM974"/>
    </row>
    <row r="975" spans="1:247" s="28" customFormat="1" ht="20.25" customHeight="1" x14ac:dyDescent="0.25">
      <c r="A975" s="75">
        <v>37861</v>
      </c>
      <c r="B975" s="76">
        <v>243.24017000000001</v>
      </c>
      <c r="C975" s="76">
        <f t="shared" si="545"/>
        <v>242.63206957500003</v>
      </c>
      <c r="D975" s="76">
        <f t="shared" si="553"/>
        <v>243.84827042499998</v>
      </c>
      <c r="E975" s="78">
        <f>2524.977/1800.553*100</f>
        <v>140.23341717794474</v>
      </c>
      <c r="F975" s="76">
        <v>2524.9769999999999</v>
      </c>
      <c r="G975" s="84"/>
      <c r="H975" s="78">
        <v>118.893</v>
      </c>
      <c r="I975" s="78">
        <v>128.92025495936582</v>
      </c>
      <c r="J975" s="79">
        <f t="shared" si="549"/>
        <v>133.00543573034292</v>
      </c>
      <c r="K975" s="80">
        <v>516400.66590000002</v>
      </c>
      <c r="L975" s="83">
        <f t="shared" si="550"/>
        <v>125.60938576162921</v>
      </c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IH975"/>
      <c r="II975"/>
      <c r="IJ975"/>
      <c r="IK975"/>
      <c r="IL975"/>
      <c r="IM975"/>
    </row>
    <row r="976" spans="1:247" s="28" customFormat="1" ht="20.25" customHeight="1" x14ac:dyDescent="0.25">
      <c r="A976" s="75">
        <v>37854</v>
      </c>
      <c r="B976" s="76">
        <v>242.17524499999999</v>
      </c>
      <c r="C976" s="76">
        <f t="shared" si="545"/>
        <v>241.56980688749999</v>
      </c>
      <c r="D976" s="76">
        <f t="shared" si="553"/>
        <v>242.78068311249999</v>
      </c>
      <c r="E976" s="78">
        <f>2533.635/1800.553*100</f>
        <v>140.71426944944136</v>
      </c>
      <c r="F976" s="76">
        <v>2533.6350000000002</v>
      </c>
      <c r="G976" s="84"/>
      <c r="H976" s="78">
        <v>119.024</v>
      </c>
      <c r="I976" s="78">
        <v>128.88607974892051</v>
      </c>
      <c r="J976" s="79">
        <f t="shared" si="549"/>
        <v>133.30656479712835</v>
      </c>
      <c r="K976" s="80">
        <v>513805.72399999999</v>
      </c>
      <c r="L976" s="83">
        <f t="shared" si="550"/>
        <v>124.43102709210238</v>
      </c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IH976"/>
      <c r="II976"/>
      <c r="IJ976"/>
      <c r="IK976"/>
      <c r="IL976"/>
      <c r="IM976"/>
    </row>
    <row r="977" spans="1:247" s="28" customFormat="1" ht="20.25" customHeight="1" x14ac:dyDescent="0.25">
      <c r="A977" s="75">
        <v>37847</v>
      </c>
      <c r="B977" s="76">
        <v>240.79669999999999</v>
      </c>
      <c r="C977" s="76">
        <f t="shared" si="545"/>
        <v>240.19470824999999</v>
      </c>
      <c r="D977" s="76">
        <f t="shared" si="553"/>
        <v>241.39869174999998</v>
      </c>
      <c r="E977" s="78">
        <f>2504.946/1800.553*100</f>
        <v>139.120925626738</v>
      </c>
      <c r="F977" s="76">
        <v>2504.9459999999999</v>
      </c>
      <c r="G977" s="84"/>
      <c r="H977" s="78">
        <v>119.895</v>
      </c>
      <c r="I977" s="78">
        <v>128.85231032076715</v>
      </c>
      <c r="J977" s="79">
        <f t="shared" si="549"/>
        <v>133.02798745889589</v>
      </c>
      <c r="K977" s="80">
        <v>513109.78370000003</v>
      </c>
      <c r="L977" s="83">
        <f t="shared" si="550"/>
        <v>123.55514265267379</v>
      </c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IH977"/>
      <c r="II977"/>
      <c r="IJ977"/>
      <c r="IK977"/>
      <c r="IL977"/>
      <c r="IM977"/>
    </row>
    <row r="978" spans="1:247" s="28" customFormat="1" ht="20.25" customHeight="1" x14ac:dyDescent="0.25">
      <c r="A978" s="75">
        <v>37840</v>
      </c>
      <c r="B978" s="76">
        <v>239.13735700000001</v>
      </c>
      <c r="C978" s="76">
        <v>238.54</v>
      </c>
      <c r="D978" s="76">
        <v>239.74</v>
      </c>
      <c r="E978" s="78">
        <f>2448.823/1800.553*100</f>
        <v>136.00393878991619</v>
      </c>
      <c r="F978" s="76">
        <v>2448.8229999999999</v>
      </c>
      <c r="G978" s="84"/>
      <c r="H978" s="78">
        <v>120.44</v>
      </c>
      <c r="I978" s="78">
        <v>128.8186786789484</v>
      </c>
      <c r="J978" s="79">
        <f t="shared" si="549"/>
        <v>131.81572552810582</v>
      </c>
      <c r="K978" s="80">
        <v>513109.78370000003</v>
      </c>
      <c r="L978" s="83">
        <f t="shared" si="550"/>
        <v>122.7037175248597</v>
      </c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IH978"/>
      <c r="II978"/>
      <c r="IJ978"/>
      <c r="IK978"/>
      <c r="IL978"/>
      <c r="IM978"/>
    </row>
    <row r="979" spans="1:247" s="28" customFormat="1" ht="20.25" customHeight="1" x14ac:dyDescent="0.25">
      <c r="A979" s="75">
        <v>37833</v>
      </c>
      <c r="B979" s="76">
        <v>238.88045299999999</v>
      </c>
      <c r="C979" s="76">
        <v>238.28</v>
      </c>
      <c r="D979" s="76">
        <v>239.48</v>
      </c>
      <c r="E979" s="78">
        <f>2482.328/1800.553*100</f>
        <v>137.86475599440837</v>
      </c>
      <c r="F979" s="76">
        <v>2482.328</v>
      </c>
      <c r="G979" s="84"/>
      <c r="H979" s="78">
        <v>119.598</v>
      </c>
      <c r="I979" s="78">
        <v>128.78494130598449</v>
      </c>
      <c r="J979" s="79">
        <f t="shared" si="549"/>
        <v>132.2426815378239</v>
      </c>
      <c r="K979" s="80">
        <v>496153.06910000002</v>
      </c>
      <c r="L979" s="83">
        <f t="shared" si="550"/>
        <v>118.52126990394831</v>
      </c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IH979"/>
      <c r="II979"/>
      <c r="IJ979"/>
      <c r="IK979"/>
      <c r="IL979"/>
      <c r="IM979"/>
    </row>
    <row r="980" spans="1:247" s="28" customFormat="1" ht="20.25" customHeight="1" x14ac:dyDescent="0.25">
      <c r="A980" s="75">
        <v>37826</v>
      </c>
      <c r="B980" s="76">
        <v>241.11102700000001</v>
      </c>
      <c r="C980" s="76">
        <v>240.51</v>
      </c>
      <c r="D980" s="76">
        <v>241.71</v>
      </c>
      <c r="E980" s="78">
        <f>2476.044/1800.553*100</f>
        <v>137.51575210504771</v>
      </c>
      <c r="F980" s="76">
        <v>2476.0439999999999</v>
      </c>
      <c r="G980" s="84"/>
      <c r="H980" s="78">
        <v>120.64400000000001</v>
      </c>
      <c r="I980" s="78">
        <v>128.75236065692752</v>
      </c>
      <c r="J980" s="79">
        <f t="shared" si="549"/>
        <v>132.64939902572308</v>
      </c>
      <c r="K980" s="80">
        <v>495675.22369999997</v>
      </c>
      <c r="L980" s="83">
        <f t="shared" si="550"/>
        <v>119.51276224476173</v>
      </c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IH980"/>
      <c r="II980"/>
      <c r="IJ980"/>
      <c r="IK980"/>
      <c r="IL980"/>
      <c r="IM980"/>
    </row>
    <row r="981" spans="1:247" s="28" customFormat="1" ht="20.25" customHeight="1" x14ac:dyDescent="0.25">
      <c r="A981" s="75">
        <v>37819</v>
      </c>
      <c r="B981" s="76">
        <v>237.15443300000001</v>
      </c>
      <c r="C981" s="76">
        <v>236.56</v>
      </c>
      <c r="D981" s="76">
        <v>237.75</v>
      </c>
      <c r="E981" s="78">
        <f>2444.747/1800.553*100</f>
        <v>135.77756389287069</v>
      </c>
      <c r="F981" s="76">
        <v>2444.7469999999998</v>
      </c>
      <c r="G981" s="84"/>
      <c r="H981" s="78">
        <v>119.52200000000001</v>
      </c>
      <c r="I981" s="78">
        <v>128.72017539021476</v>
      </c>
      <c r="J981" s="79">
        <f t="shared" si="549"/>
        <v>131.19386042406666</v>
      </c>
      <c r="K981" s="80">
        <v>494413.54550000001</v>
      </c>
      <c r="L981" s="83">
        <f t="shared" si="550"/>
        <v>117.2523640505722</v>
      </c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1"/>
      <c r="Y981" s="31"/>
      <c r="Z981" s="31"/>
      <c r="AA981" s="31"/>
      <c r="AB981" s="31"/>
      <c r="AC981" s="31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  <c r="BG981" s="31"/>
      <c r="BH981" s="31"/>
      <c r="BI981" s="31"/>
      <c r="BJ981" s="31"/>
      <c r="BK981" s="31"/>
      <c r="BL981" s="31"/>
      <c r="BM981" s="31"/>
      <c r="BN981" s="31"/>
      <c r="BO981" s="31"/>
      <c r="BP981" s="31"/>
      <c r="BQ981" s="31"/>
      <c r="BR981" s="31"/>
      <c r="BS981" s="31"/>
      <c r="BT981" s="31"/>
      <c r="BU981" s="31"/>
      <c r="BV981" s="31"/>
      <c r="BW981" s="31"/>
      <c r="BX981" s="31"/>
      <c r="BY981" s="31"/>
      <c r="BZ981" s="31"/>
      <c r="CA981" s="31"/>
      <c r="CB981" s="31"/>
      <c r="CC981" s="31"/>
      <c r="CD981" s="31"/>
      <c r="CE981" s="31"/>
      <c r="CF981" s="31"/>
      <c r="CG981" s="31"/>
      <c r="CH981" s="31"/>
      <c r="CI981" s="31"/>
      <c r="CJ981" s="31"/>
      <c r="CK981" s="31"/>
      <c r="CL981" s="31"/>
      <c r="CM981" s="31"/>
      <c r="CN981" s="31"/>
      <c r="CO981" s="31"/>
      <c r="CP981" s="31"/>
      <c r="CQ981" s="31"/>
      <c r="CR981" s="31"/>
      <c r="CS981" s="31"/>
      <c r="CT981" s="31"/>
      <c r="CU981" s="31"/>
      <c r="CV981" s="31"/>
      <c r="CW981" s="31"/>
      <c r="CX981" s="31"/>
      <c r="CY981" s="31"/>
      <c r="CZ981" s="31"/>
      <c r="DA981" s="31"/>
      <c r="DB981" s="31"/>
      <c r="DC981" s="31"/>
      <c r="DD981" s="31"/>
      <c r="DE981" s="31"/>
      <c r="DF981" s="31"/>
      <c r="DG981" s="31"/>
      <c r="DH981" s="31"/>
      <c r="DI981" s="31"/>
      <c r="DJ981" s="31"/>
      <c r="DK981" s="31"/>
      <c r="DL981" s="31"/>
      <c r="DM981" s="31"/>
      <c r="IH981"/>
      <c r="II981"/>
      <c r="IJ981"/>
      <c r="IK981"/>
      <c r="IL981"/>
      <c r="IM981"/>
    </row>
    <row r="982" spans="1:247" s="28" customFormat="1" ht="20.25" customHeight="1" x14ac:dyDescent="0.25">
      <c r="A982" s="75">
        <v>37812</v>
      </c>
      <c r="B982" s="76">
        <v>240.5</v>
      </c>
      <c r="C982" s="76">
        <v>239.9</v>
      </c>
      <c r="D982" s="76">
        <v>241.1</v>
      </c>
      <c r="E982" s="78">
        <f>2472.917/1800.553*100</f>
        <v>137.34208323776082</v>
      </c>
      <c r="F982" s="76">
        <v>2472.9169999999999</v>
      </c>
      <c r="G982" s="84"/>
      <c r="H982" s="78">
        <v>120.22</v>
      </c>
      <c r="I982" s="78">
        <v>128.68789895615873</v>
      </c>
      <c r="J982" s="79">
        <f t="shared" si="549"/>
        <v>132.33174321493752</v>
      </c>
      <c r="K982" s="80">
        <v>479689.45189999999</v>
      </c>
      <c r="L982" s="83">
        <f t="shared" si="550"/>
        <v>115.36531318195</v>
      </c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1"/>
      <c r="Y982" s="31"/>
      <c r="Z982" s="31"/>
      <c r="AA982" s="31"/>
      <c r="AB982" s="31"/>
      <c r="AC982" s="31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  <c r="BG982" s="31"/>
      <c r="BH982" s="31"/>
      <c r="BI982" s="31"/>
      <c r="BJ982" s="31"/>
      <c r="BK982" s="31"/>
      <c r="BL982" s="31"/>
      <c r="BM982" s="31"/>
      <c r="BN982" s="31"/>
      <c r="BO982" s="31"/>
      <c r="BP982" s="31"/>
      <c r="BQ982" s="31"/>
      <c r="BR982" s="31"/>
      <c r="BS982" s="31"/>
      <c r="BT982" s="31"/>
      <c r="BU982" s="31"/>
      <c r="BV982" s="31"/>
      <c r="BW982" s="31"/>
      <c r="BX982" s="31"/>
      <c r="BY982" s="31"/>
      <c r="BZ982" s="31"/>
      <c r="CA982" s="31"/>
      <c r="CB982" s="31"/>
      <c r="CC982" s="31"/>
      <c r="CD982" s="31"/>
      <c r="CE982" s="31"/>
      <c r="CF982" s="31"/>
      <c r="CG982" s="31"/>
      <c r="CH982" s="31"/>
      <c r="CI982" s="31"/>
      <c r="CJ982" s="31"/>
      <c r="CK982" s="31"/>
      <c r="CL982" s="31"/>
      <c r="CM982" s="31"/>
      <c r="CN982" s="31"/>
      <c r="CO982" s="31"/>
      <c r="CP982" s="31"/>
      <c r="CQ982" s="31"/>
      <c r="CR982" s="31"/>
      <c r="CS982" s="31"/>
      <c r="CT982" s="31"/>
      <c r="CU982" s="31"/>
      <c r="CV982" s="31"/>
      <c r="CW982" s="31"/>
      <c r="CX982" s="31"/>
      <c r="CY982" s="31"/>
      <c r="CZ982" s="31"/>
      <c r="DA982" s="31"/>
      <c r="DB982" s="31"/>
      <c r="DC982" s="31"/>
      <c r="DD982" s="31"/>
      <c r="DE982" s="31"/>
      <c r="DF982" s="31"/>
      <c r="DG982" s="31"/>
      <c r="DH982" s="31"/>
      <c r="DI982" s="31"/>
      <c r="DJ982" s="31"/>
      <c r="DK982" s="31"/>
      <c r="DL982" s="31"/>
      <c r="DM982" s="31"/>
      <c r="IH982"/>
      <c r="II982"/>
      <c r="IJ982"/>
      <c r="IK982"/>
      <c r="IL982"/>
      <c r="IM982"/>
    </row>
    <row r="983" spans="1:247" s="28" customFormat="1" ht="20.25" customHeight="1" x14ac:dyDescent="0.25">
      <c r="A983" s="75">
        <v>37805</v>
      </c>
      <c r="B983" s="76">
        <v>241.45071899999999</v>
      </c>
      <c r="C983" s="76">
        <v>240.85</v>
      </c>
      <c r="D983" s="76">
        <v>242.05</v>
      </c>
      <c r="E983" s="78">
        <f>2474.397/1800.553*100</f>
        <v>137.42428020724742</v>
      </c>
      <c r="F983" s="76">
        <v>2474.3969999999999</v>
      </c>
      <c r="G983" s="84"/>
      <c r="H983" s="78">
        <v>120.825</v>
      </c>
      <c r="I983" s="78">
        <v>128.6558798562402</v>
      </c>
      <c r="J983" s="79">
        <f t="shared" si="549"/>
        <v>132.70366962685415</v>
      </c>
      <c r="K983" s="80">
        <v>479689.45189999999</v>
      </c>
      <c r="L983" s="83">
        <f t="shared" si="550"/>
        <v>115.82136305797091</v>
      </c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1"/>
      <c r="Y983" s="31"/>
      <c r="Z983" s="31"/>
      <c r="AA983" s="31"/>
      <c r="AB983" s="31"/>
      <c r="AC983" s="31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  <c r="BG983" s="31"/>
      <c r="BH983" s="31"/>
      <c r="BI983" s="31"/>
      <c r="BJ983" s="31"/>
      <c r="BK983" s="31"/>
      <c r="BL983" s="31"/>
      <c r="BM983" s="31"/>
      <c r="BN983" s="31"/>
      <c r="BO983" s="31"/>
      <c r="BP983" s="31"/>
      <c r="BQ983" s="31"/>
      <c r="BR983" s="31"/>
      <c r="BS983" s="31"/>
      <c r="BT983" s="31"/>
      <c r="BU983" s="31"/>
      <c r="BV983" s="31"/>
      <c r="BW983" s="31"/>
      <c r="BX983" s="31"/>
      <c r="BY983" s="31"/>
      <c r="BZ983" s="31"/>
      <c r="CA983" s="31"/>
      <c r="CB983" s="31"/>
      <c r="CC983" s="31"/>
      <c r="CD983" s="31"/>
      <c r="CE983" s="31"/>
      <c r="CF983" s="31"/>
      <c r="CG983" s="31"/>
      <c r="CH983" s="31"/>
      <c r="CI983" s="31"/>
      <c r="CJ983" s="31"/>
      <c r="CK983" s="31"/>
      <c r="CL983" s="31"/>
      <c r="CM983" s="31"/>
      <c r="CN983" s="31"/>
      <c r="CO983" s="31"/>
      <c r="CP983" s="31"/>
      <c r="CQ983" s="31"/>
      <c r="CR983" s="31"/>
      <c r="CS983" s="31"/>
      <c r="CT983" s="31"/>
      <c r="CU983" s="31"/>
      <c r="CV983" s="31"/>
      <c r="CW983" s="31"/>
      <c r="CX983" s="31"/>
      <c r="CY983" s="31"/>
      <c r="CZ983" s="31"/>
      <c r="DA983" s="31"/>
      <c r="DB983" s="31"/>
      <c r="DC983" s="31"/>
      <c r="DD983" s="31"/>
      <c r="DE983" s="31"/>
      <c r="DF983" s="31"/>
      <c r="DG983" s="31"/>
      <c r="DH983" s="31"/>
      <c r="DI983" s="31"/>
      <c r="DJ983" s="31"/>
      <c r="DK983" s="31"/>
      <c r="DL983" s="31"/>
      <c r="DM983" s="31"/>
      <c r="IH983"/>
      <c r="II983"/>
      <c r="IJ983"/>
      <c r="IK983"/>
      <c r="IL983"/>
      <c r="IM983"/>
    </row>
    <row r="984" spans="1:247" s="31" customFormat="1" ht="20.25" customHeight="1" x14ac:dyDescent="0.25">
      <c r="A984" s="75">
        <v>37802</v>
      </c>
      <c r="B984" s="76">
        <v>239.398573</v>
      </c>
      <c r="C984" s="76">
        <v>238.80007656750001</v>
      </c>
      <c r="D984" s="76">
        <v>239.99706943249998</v>
      </c>
      <c r="E984" s="78">
        <f>2432.475/1800.553*100</f>
        <v>135.09599550804668</v>
      </c>
      <c r="F984" s="76">
        <v>2432.4749999999999</v>
      </c>
      <c r="G984" s="84"/>
      <c r="H984" s="78">
        <v>120.33</v>
      </c>
      <c r="I984" s="78">
        <v>128.62388259512875</v>
      </c>
      <c r="J984" s="79">
        <f t="shared" si="549"/>
        <v>131.30215139773634</v>
      </c>
      <c r="K984" s="80">
        <v>479689.45189999999</v>
      </c>
      <c r="L984" s="83">
        <f t="shared" si="550"/>
        <v>114.83697026801214</v>
      </c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IH984"/>
      <c r="II984"/>
      <c r="IJ984"/>
      <c r="IK984"/>
      <c r="IL984"/>
      <c r="IM984"/>
    </row>
    <row r="985" spans="1:247" s="31" customFormat="1" ht="20.25" customHeight="1" x14ac:dyDescent="0.25">
      <c r="A985" s="75">
        <v>37798</v>
      </c>
      <c r="B985" s="76">
        <v>238.764691</v>
      </c>
      <c r="C985" s="76">
        <v>238.17</v>
      </c>
      <c r="D985" s="76">
        <v>239.36</v>
      </c>
      <c r="E985" s="78">
        <f>2451.245/1800.553*100</f>
        <v>136.13845301971114</v>
      </c>
      <c r="F985" s="76">
        <v>2451.2449999999999</v>
      </c>
      <c r="G985" s="84"/>
      <c r="H985" s="78">
        <v>120.31100000000001</v>
      </c>
      <c r="I985" s="78">
        <v>128.58673201757614</v>
      </c>
      <c r="J985" s="79">
        <f t="shared" si="549"/>
        <v>131.79634877745519</v>
      </c>
      <c r="K985" s="80">
        <v>479754.45189999999</v>
      </c>
      <c r="L985" s="83">
        <f t="shared" si="550"/>
        <v>114.54842346377785</v>
      </c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IH985"/>
      <c r="II985"/>
      <c r="IJ985"/>
      <c r="IK985"/>
      <c r="IL985"/>
      <c r="IM985"/>
    </row>
    <row r="986" spans="1:247" s="31" customFormat="1" ht="20.25" customHeight="1" x14ac:dyDescent="0.25">
      <c r="A986" s="75">
        <v>37791</v>
      </c>
      <c r="B986" s="76">
        <v>241.20350099999999</v>
      </c>
      <c r="C986" s="76">
        <v>240.6</v>
      </c>
      <c r="D986" s="76">
        <v>241.81</v>
      </c>
      <c r="E986" s="78">
        <f>2492.49/1800.553*100</f>
        <v>138.42913815922105</v>
      </c>
      <c r="F986" s="76">
        <v>2492.4899999999998</v>
      </c>
      <c r="G986" s="84"/>
      <c r="H986" s="78">
        <v>121.246</v>
      </c>
      <c r="I986" s="78">
        <v>128.55507723700038</v>
      </c>
      <c r="J986" s="79">
        <f t="shared" si="549"/>
        <v>133.41462170566027</v>
      </c>
      <c r="K986" s="80">
        <v>477534.48869999999</v>
      </c>
      <c r="L986" s="83">
        <f t="shared" si="550"/>
        <v>115.18299052268493</v>
      </c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IH986"/>
      <c r="II986"/>
      <c r="IJ986"/>
      <c r="IK986"/>
      <c r="IL986"/>
      <c r="IM986"/>
    </row>
    <row r="987" spans="1:247" s="31" customFormat="1" ht="20.25" customHeight="1" x14ac:dyDescent="0.25">
      <c r="A987" s="75">
        <v>37784</v>
      </c>
      <c r="B987" s="76">
        <v>241.52563699999999</v>
      </c>
      <c r="C987" s="76">
        <v>240.92</v>
      </c>
      <c r="D987" s="76">
        <v>242.13</v>
      </c>
      <c r="E987" s="78">
        <f>2495.08/1800.553*100</f>
        <v>138.57298285582263</v>
      </c>
      <c r="F987" s="76">
        <v>2495.08</v>
      </c>
      <c r="G987" s="84"/>
      <c r="H987" s="78">
        <v>121.515</v>
      </c>
      <c r="I987" s="78">
        <v>128.52483261845452</v>
      </c>
      <c r="J987" s="79">
        <f t="shared" si="549"/>
        <v>133.63189121443699</v>
      </c>
      <c r="K987" s="80">
        <v>467478.01490000001</v>
      </c>
      <c r="L987" s="83">
        <f t="shared" si="550"/>
        <v>112.90792533221799</v>
      </c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IH987"/>
      <c r="II987"/>
      <c r="IJ987"/>
      <c r="IK987"/>
      <c r="IL987"/>
      <c r="IM987"/>
    </row>
    <row r="988" spans="1:247" s="31" customFormat="1" ht="20.25" customHeight="1" x14ac:dyDescent="0.25">
      <c r="A988" s="75">
        <v>37777</v>
      </c>
      <c r="B988" s="76">
        <v>241.29754500000001</v>
      </c>
      <c r="C988" s="76">
        <v>240.69</v>
      </c>
      <c r="D988" s="76">
        <v>241.9</v>
      </c>
      <c r="E988" s="78">
        <f>2458.48/1800.553*100</f>
        <v>136.54027401581627</v>
      </c>
      <c r="F988" s="76">
        <v>2458.48</v>
      </c>
      <c r="G988" s="84"/>
      <c r="H988" s="78">
        <v>121.95099999999999</v>
      </c>
      <c r="I988" s="78">
        <v>128.49385926168901</v>
      </c>
      <c r="J988" s="79">
        <f t="shared" si="549"/>
        <v>132.88031741710384</v>
      </c>
      <c r="K988" s="80">
        <v>467478.01490000001</v>
      </c>
      <c r="L988" s="83">
        <f t="shared" si="550"/>
        <v>112.80129733684343</v>
      </c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IH988"/>
      <c r="II988"/>
      <c r="IJ988"/>
      <c r="IK988"/>
      <c r="IL988"/>
      <c r="IM988"/>
    </row>
    <row r="989" spans="1:247" s="31" customFormat="1" ht="20.25" customHeight="1" x14ac:dyDescent="0.25">
      <c r="A989" s="75">
        <v>37771</v>
      </c>
      <c r="B989" s="76">
        <v>238.50577000000001</v>
      </c>
      <c r="C989" s="76">
        <v>237.91</v>
      </c>
      <c r="D989" s="76">
        <v>239.1</v>
      </c>
      <c r="E989" s="78">
        <f>2390.22/1800.553*100</f>
        <v>132.74921649071146</v>
      </c>
      <c r="F989" s="76">
        <v>2390.2199999999998</v>
      </c>
      <c r="G989" s="84"/>
      <c r="H989" s="78">
        <v>121.29</v>
      </c>
      <c r="I989" s="78">
        <v>128.46563043875238</v>
      </c>
      <c r="J989" s="79">
        <f t="shared" si="549"/>
        <v>130.65861214634305</v>
      </c>
      <c r="K989" s="80">
        <v>466214.98389999999</v>
      </c>
      <c r="L989" s="83">
        <f t="shared" si="550"/>
        <v>111.19496372060711</v>
      </c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IH989"/>
      <c r="II989"/>
      <c r="IJ989"/>
      <c r="IK989"/>
      <c r="IL989"/>
      <c r="IM989"/>
    </row>
    <row r="990" spans="1:247" s="31" customFormat="1" ht="20.25" customHeight="1" x14ac:dyDescent="0.25">
      <c r="A990" s="75">
        <v>37763</v>
      </c>
      <c r="B990" s="76">
        <v>237.27530200000001</v>
      </c>
      <c r="C990" s="76">
        <v>236.68</v>
      </c>
      <c r="D990" s="76">
        <v>237.87</v>
      </c>
      <c r="E990" s="78">
        <f>2323.904/1800.553*100</f>
        <v>129.06612579579718</v>
      </c>
      <c r="F990" s="76">
        <v>2323.904</v>
      </c>
      <c r="G990" s="84"/>
      <c r="H990" s="78">
        <v>121.31</v>
      </c>
      <c r="I990" s="78">
        <v>128.42655968742687</v>
      </c>
      <c r="J990" s="79">
        <f t="shared" si="549"/>
        <v>128.83104102799587</v>
      </c>
      <c r="K990" s="80">
        <v>465182.58559999999</v>
      </c>
      <c r="L990" s="83">
        <f t="shared" si="550"/>
        <v>110.37633848338085</v>
      </c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IH990"/>
      <c r="II990"/>
      <c r="IJ990"/>
      <c r="IK990"/>
      <c r="IL990"/>
      <c r="IM990"/>
    </row>
    <row r="991" spans="1:247" s="31" customFormat="1" ht="20.25" customHeight="1" x14ac:dyDescent="0.25">
      <c r="A991" s="75">
        <v>37756</v>
      </c>
      <c r="B991" s="76">
        <v>235.66763800000001</v>
      </c>
      <c r="C991" s="76">
        <v>235.08</v>
      </c>
      <c r="D991" s="76">
        <v>236.26</v>
      </c>
      <c r="E991" s="78">
        <f>2346.598/1800.553*100</f>
        <v>130.32651635358692</v>
      </c>
      <c r="F991" s="76">
        <v>2346.598</v>
      </c>
      <c r="G991" s="84"/>
      <c r="H991" s="78">
        <v>120.693</v>
      </c>
      <c r="I991" s="78">
        <v>128.39179527845621</v>
      </c>
      <c r="J991" s="79">
        <f t="shared" si="549"/>
        <v>129.12537441577922</v>
      </c>
      <c r="K991" s="80">
        <v>465182.58559999999</v>
      </c>
      <c r="L991" s="83">
        <f t="shared" si="550"/>
        <v>109.62848118708482</v>
      </c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IH991"/>
      <c r="II991"/>
      <c r="IJ991"/>
      <c r="IK991"/>
      <c r="IL991"/>
      <c r="IM991"/>
    </row>
    <row r="992" spans="1:247" s="31" customFormat="1" ht="20.25" customHeight="1" x14ac:dyDescent="0.25">
      <c r="A992" s="75">
        <v>37749</v>
      </c>
      <c r="B992" s="76">
        <v>233.75005100000001</v>
      </c>
      <c r="C992" s="76">
        <v>233.17</v>
      </c>
      <c r="D992" s="76">
        <v>234.33</v>
      </c>
      <c r="E992" s="78">
        <f>2284.624/1800.553*100</f>
        <v>126.88457379482855</v>
      </c>
      <c r="F992" s="76">
        <v>2284.6239999999998</v>
      </c>
      <c r="G992" s="84"/>
      <c r="H992" s="78">
        <v>120.509</v>
      </c>
      <c r="I992" s="78">
        <v>128.35633347945156</v>
      </c>
      <c r="J992" s="79">
        <f t="shared" si="549"/>
        <v>127.30156177578648</v>
      </c>
      <c r="K992" s="80">
        <v>434414.07530000003</v>
      </c>
      <c r="L992" s="83">
        <f t="shared" si="550"/>
        <v>101.54431225649286</v>
      </c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IH992"/>
      <c r="II992"/>
      <c r="IJ992"/>
      <c r="IK992"/>
      <c r="IL992"/>
      <c r="IM992"/>
    </row>
    <row r="993" spans="1:247" s="31" customFormat="1" ht="20.25" customHeight="1" x14ac:dyDescent="0.25">
      <c r="A993" s="75">
        <v>37743</v>
      </c>
      <c r="B993" s="76">
        <v>229.17437000000001</v>
      </c>
      <c r="C993" s="76">
        <v>228.6</v>
      </c>
      <c r="D993" s="76">
        <v>229.75</v>
      </c>
      <c r="E993" s="78">
        <f>2286.282/1800.553*100</f>
        <v>126.97665661605073</v>
      </c>
      <c r="F993" s="76">
        <v>2286.2820000000002</v>
      </c>
      <c r="G993" s="84"/>
      <c r="H993" s="78">
        <v>119.265</v>
      </c>
      <c r="I993" s="78">
        <v>128.32557093958786</v>
      </c>
      <c r="J993" s="79">
        <f t="shared" si="549"/>
        <v>126.68679138480856</v>
      </c>
      <c r="K993" s="80">
        <v>431476.0992</v>
      </c>
      <c r="L993" s="83">
        <f t="shared" si="550"/>
        <v>98.883263204217513</v>
      </c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IH993"/>
      <c r="II993"/>
      <c r="IJ993"/>
      <c r="IK993"/>
      <c r="IL993"/>
      <c r="IM993"/>
    </row>
    <row r="994" spans="1:247" s="31" customFormat="1" ht="20.25" customHeight="1" x14ac:dyDescent="0.25">
      <c r="A994" s="75">
        <v>37735</v>
      </c>
      <c r="B994" s="76">
        <v>225.11034699999999</v>
      </c>
      <c r="C994" s="76">
        <v>224.55</v>
      </c>
      <c r="D994" s="76">
        <v>225.67</v>
      </c>
      <c r="E994" s="78">
        <f>2236.524/1800.553*100</f>
        <v>124.21317228651418</v>
      </c>
      <c r="F994" s="76">
        <v>2236.5239999999999</v>
      </c>
      <c r="G994" s="84"/>
      <c r="H994" s="78">
        <v>118.304</v>
      </c>
      <c r="I994" s="78">
        <v>128.28403151579374</v>
      </c>
      <c r="J994" s="79">
        <f t="shared" si="549"/>
        <v>124.79176250371887</v>
      </c>
      <c r="K994" s="80">
        <v>431254.5367</v>
      </c>
      <c r="L994" s="83">
        <f t="shared" si="550"/>
        <v>97.07985840186123</v>
      </c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IH994"/>
      <c r="II994"/>
      <c r="IJ994"/>
      <c r="IK994"/>
      <c r="IL994"/>
      <c r="IM994"/>
    </row>
    <row r="995" spans="1:247" s="31" customFormat="1" ht="20.25" customHeight="1" x14ac:dyDescent="0.25">
      <c r="A995" s="75">
        <v>37728</v>
      </c>
      <c r="B995" s="76">
        <v>223.842557</v>
      </c>
      <c r="C995" s="76">
        <v>223.28</v>
      </c>
      <c r="D995" s="76">
        <v>224.4</v>
      </c>
      <c r="E995" s="78">
        <f>2200.427/1800.553*100</f>
        <v>122.20839930843468</v>
      </c>
      <c r="F995" s="76">
        <v>2200.4270000000001</v>
      </c>
      <c r="G995" s="84"/>
      <c r="H995" s="78">
        <v>117.925</v>
      </c>
      <c r="I995" s="78">
        <v>128.24609883373364</v>
      </c>
      <c r="J995" s="79">
        <f t="shared" si="549"/>
        <v>123.57954293422202</v>
      </c>
      <c r="K995" s="80">
        <v>430905.1263</v>
      </c>
      <c r="L995" s="83">
        <f t="shared" si="550"/>
        <v>96.454905295399954</v>
      </c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IH995"/>
      <c r="II995"/>
      <c r="IJ995"/>
      <c r="IK995"/>
      <c r="IL995"/>
      <c r="IM995"/>
    </row>
    <row r="996" spans="1:247" s="31" customFormat="1" ht="20.25" customHeight="1" x14ac:dyDescent="0.25">
      <c r="A996" s="75">
        <v>37721</v>
      </c>
      <c r="B996" s="76">
        <v>221.958552</v>
      </c>
      <c r="C996" s="76">
        <v>221.4</v>
      </c>
      <c r="D996" s="76">
        <v>222.51</v>
      </c>
      <c r="E996" s="78">
        <f>2144.533/1800.553*100</f>
        <v>119.10413078648614</v>
      </c>
      <c r="F996" s="76">
        <v>2144.5329999999999</v>
      </c>
      <c r="G996" s="84"/>
      <c r="H996" s="78">
        <v>117.59</v>
      </c>
      <c r="I996" s="78">
        <v>128.20796556971681</v>
      </c>
      <c r="J996" s="79">
        <f t="shared" si="549"/>
        <v>121.81851228913038</v>
      </c>
      <c r="K996" s="80">
        <v>430905.1263</v>
      </c>
      <c r="L996" s="83">
        <f t="shared" si="550"/>
        <v>95.643077882925127</v>
      </c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IH996"/>
      <c r="II996"/>
      <c r="IJ996"/>
      <c r="IK996"/>
      <c r="IL996"/>
      <c r="IM996"/>
    </row>
    <row r="997" spans="1:247" s="31" customFormat="1" ht="20.25" customHeight="1" x14ac:dyDescent="0.25">
      <c r="A997" s="75">
        <v>37714</v>
      </c>
      <c r="B997" s="76">
        <v>220.435733</v>
      </c>
      <c r="C997" s="76">
        <v>219.88</v>
      </c>
      <c r="D997" s="76">
        <v>220.99</v>
      </c>
      <c r="E997" s="78">
        <f>2139.021/1800.553*100</f>
        <v>118.79800261364149</v>
      </c>
      <c r="F997" s="76">
        <v>2139.0210000000002</v>
      </c>
      <c r="G997" s="84"/>
      <c r="H997" s="78">
        <v>117.20699999999999</v>
      </c>
      <c r="I997" s="78">
        <v>128.17160863946094</v>
      </c>
      <c r="J997" s="79">
        <f t="shared" si="549"/>
        <v>121.46355916532804</v>
      </c>
      <c r="K997" s="80">
        <v>426840.88140000001</v>
      </c>
      <c r="L997" s="83">
        <f t="shared" si="550"/>
        <v>94.090982565775064</v>
      </c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IH997"/>
      <c r="II997"/>
      <c r="IJ997"/>
      <c r="IK997"/>
      <c r="IL997"/>
      <c r="IM997"/>
    </row>
    <row r="998" spans="1:247" s="31" customFormat="1" ht="20.25" customHeight="1" x14ac:dyDescent="0.25">
      <c r="A998" s="75">
        <v>37711</v>
      </c>
      <c r="B998" s="76">
        <v>222.24466899999999</v>
      </c>
      <c r="C998" s="76">
        <v>221.69</v>
      </c>
      <c r="D998" s="76">
        <v>222.8</v>
      </c>
      <c r="E998" s="78">
        <f>2074.666/1800.553*100</f>
        <v>115.22382290329693</v>
      </c>
      <c r="F998" s="76">
        <v>2074.6660000000002</v>
      </c>
      <c r="G998" s="84"/>
      <c r="H998" s="78">
        <v>117.74</v>
      </c>
      <c r="I998" s="78">
        <v>128.13527317260406</v>
      </c>
      <c r="J998" s="79">
        <f t="shared" si="549"/>
        <v>119.87565464991877</v>
      </c>
      <c r="K998" s="80">
        <v>426840.88140000001</v>
      </c>
      <c r="L998" s="83">
        <f t="shared" si="550"/>
        <v>94.863110402411252</v>
      </c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IH998"/>
      <c r="II998"/>
      <c r="IJ998"/>
      <c r="IK998"/>
      <c r="IL998"/>
      <c r="IM998"/>
    </row>
    <row r="999" spans="1:247" s="31" customFormat="1" ht="20.25" customHeight="1" x14ac:dyDescent="0.25">
      <c r="A999" s="75">
        <v>37707</v>
      </c>
      <c r="B999" s="76">
        <v>220.53042199999999</v>
      </c>
      <c r="C999" s="76">
        <v>219.98</v>
      </c>
      <c r="D999" s="76">
        <v>221.08</v>
      </c>
      <c r="E999" s="78">
        <f>2124.024/1800.553*100</f>
        <v>117.96509183567491</v>
      </c>
      <c r="F999" s="76">
        <v>2124.0239999999999</v>
      </c>
      <c r="G999" s="84"/>
      <c r="H999" s="78">
        <v>117.081</v>
      </c>
      <c r="I999" s="78">
        <v>128.09826372064865</v>
      </c>
      <c r="J999" s="79">
        <f t="shared" si="549"/>
        <v>120.94049856615314</v>
      </c>
      <c r="K999" s="80">
        <v>422317.63189999998</v>
      </c>
      <c r="L999" s="83">
        <f t="shared" si="550"/>
        <v>93.133885580947648</v>
      </c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IH999"/>
      <c r="II999"/>
      <c r="IJ999"/>
      <c r="IK999"/>
      <c r="IL999"/>
      <c r="IM999"/>
    </row>
    <row r="1000" spans="1:247" s="31" customFormat="1" ht="20.25" customHeight="1" x14ac:dyDescent="0.25">
      <c r="A1000" s="75">
        <v>37700</v>
      </c>
      <c r="B1000" s="76">
        <v>219.808606</v>
      </c>
      <c r="C1000" s="76">
        <v>219.26</v>
      </c>
      <c r="D1000" s="76">
        <v>220.36</v>
      </c>
      <c r="E1000" s="78">
        <f>2133.839/1800.553*100</f>
        <v>118.51020214345257</v>
      </c>
      <c r="F1000" s="76">
        <v>2133.8389999999999</v>
      </c>
      <c r="G1000" s="84"/>
      <c r="H1000" s="78">
        <v>116.581</v>
      </c>
      <c r="I1000" s="78">
        <v>128.06126495817395</v>
      </c>
      <c r="J1000" s="79">
        <f t="shared" si="549"/>
        <v>120.9592973006699</v>
      </c>
      <c r="K1000" s="80">
        <v>419536.9031</v>
      </c>
      <c r="L1000" s="83">
        <f t="shared" si="550"/>
        <v>92.217821835968081</v>
      </c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IH1000"/>
      <c r="II1000"/>
      <c r="IJ1000"/>
      <c r="IK1000"/>
      <c r="IL1000"/>
      <c r="IM1000"/>
    </row>
    <row r="1001" spans="1:247" s="31" customFormat="1" ht="20.25" customHeight="1" x14ac:dyDescent="0.25">
      <c r="A1001" s="75">
        <v>37693</v>
      </c>
      <c r="B1001" s="76">
        <v>220.189581</v>
      </c>
      <c r="C1001" s="76">
        <v>219.64</v>
      </c>
      <c r="D1001" s="76">
        <v>220.74</v>
      </c>
      <c r="E1001" s="78">
        <f>2026.326/1800.553*100</f>
        <v>112.5390921566874</v>
      </c>
      <c r="F1001" s="76">
        <v>2026.326</v>
      </c>
      <c r="G1001" s="84"/>
      <c r="H1001" s="78">
        <v>117.834</v>
      </c>
      <c r="I1001" s="78">
        <v>128.024074578323</v>
      </c>
      <c r="J1001" s="79">
        <f t="shared" si="549"/>
        <v>118.44677510560678</v>
      </c>
      <c r="K1001" s="80">
        <v>419102.00229999999</v>
      </c>
      <c r="L1001" s="83">
        <f t="shared" si="550"/>
        <v>92.281894282698033</v>
      </c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IH1001"/>
      <c r="II1001"/>
      <c r="IJ1001"/>
      <c r="IK1001"/>
      <c r="IL1001"/>
      <c r="IM1001"/>
    </row>
    <row r="1002" spans="1:247" s="31" customFormat="1" ht="20.25" customHeight="1" x14ac:dyDescent="0.25">
      <c r="A1002" s="75">
        <v>37686</v>
      </c>
      <c r="B1002" s="76">
        <v>224.57985600000001</v>
      </c>
      <c r="C1002" s="76">
        <v>224.02</v>
      </c>
      <c r="D1002" s="76">
        <v>225.14</v>
      </c>
      <c r="E1002" s="78">
        <f>2043.363/1800.553*100</f>
        <v>113.48530146016252</v>
      </c>
      <c r="F1002" s="76">
        <v>2043.3630000000001</v>
      </c>
      <c r="G1002" s="84"/>
      <c r="H1002" s="78">
        <v>118.30800000000001</v>
      </c>
      <c r="I1002" s="78">
        <v>127.98763814580289</v>
      </c>
      <c r="J1002" s="79">
        <f t="shared" si="549"/>
        <v>119.18238170469829</v>
      </c>
      <c r="K1002" s="80">
        <v>413970.72730000003</v>
      </c>
      <c r="L1002" s="83">
        <f t="shared" si="550"/>
        <v>92.969486325249278</v>
      </c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IH1002"/>
      <c r="II1002"/>
      <c r="IJ1002"/>
      <c r="IK1002"/>
      <c r="IL1002"/>
      <c r="IM1002"/>
    </row>
    <row r="1003" spans="1:247" s="31" customFormat="1" ht="20.25" customHeight="1" x14ac:dyDescent="0.25">
      <c r="A1003" s="75">
        <v>37679</v>
      </c>
      <c r="B1003" s="76">
        <v>221.2227</v>
      </c>
      <c r="C1003" s="76">
        <v>220.67</v>
      </c>
      <c r="D1003" s="76">
        <v>221.78</v>
      </c>
      <c r="E1003" s="78">
        <f>2063.551/1800.553*100</f>
        <v>114.606512554754</v>
      </c>
      <c r="F1003" s="76">
        <v>2063.5509999999999</v>
      </c>
      <c r="G1003" s="84"/>
      <c r="H1003" s="78">
        <v>117.327</v>
      </c>
      <c r="I1003" s="78">
        <v>127.95054826153219</v>
      </c>
      <c r="J1003" s="79">
        <f t="shared" ref="J1003:J1066" si="554">(E1003/E1004)*0.5*J1004+(H1003/H1004)*0.5*J1004</f>
        <v>119.26717405753644</v>
      </c>
      <c r="K1003" s="80">
        <v>413790.36839999998</v>
      </c>
      <c r="L1003" s="83">
        <f t="shared" ref="L1003:L1043" si="555">K1003*B1003/1000000</f>
        <v>91.539822531442667</v>
      </c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IH1003"/>
      <c r="II1003"/>
      <c r="IJ1003"/>
      <c r="IK1003"/>
      <c r="IL1003"/>
      <c r="IM1003"/>
    </row>
    <row r="1004" spans="1:247" s="31" customFormat="1" ht="20.25" customHeight="1" x14ac:dyDescent="0.25">
      <c r="A1004" s="75">
        <v>37672</v>
      </c>
      <c r="B1004" s="76">
        <v>223.786</v>
      </c>
      <c r="C1004" s="76">
        <v>223.23</v>
      </c>
      <c r="D1004" s="76">
        <v>224.35</v>
      </c>
      <c r="E1004" s="78">
        <f>2090.32/1800.553*100</f>
        <v>116.0932224710964</v>
      </c>
      <c r="F1004" s="76">
        <v>2090.3200000000002</v>
      </c>
      <c r="G1004" s="84"/>
      <c r="H1004" s="78">
        <v>117.458</v>
      </c>
      <c r="I1004" s="78">
        <v>127.91300163399946</v>
      </c>
      <c r="J1004" s="79">
        <f t="shared" si="554"/>
        <v>120.10318019684235</v>
      </c>
      <c r="K1004" s="80">
        <v>412742.96480000002</v>
      </c>
      <c r="L1004" s="83">
        <f t="shared" si="555"/>
        <v>92.366097120732803</v>
      </c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IH1004"/>
      <c r="II1004"/>
      <c r="IJ1004"/>
      <c r="IK1004"/>
      <c r="IL1004"/>
      <c r="IM1004"/>
    </row>
    <row r="1005" spans="1:247" s="31" customFormat="1" ht="20.25" customHeight="1" x14ac:dyDescent="0.25">
      <c r="A1005" s="75">
        <v>37665</v>
      </c>
      <c r="B1005" s="76">
        <v>224.492771</v>
      </c>
      <c r="C1005" s="76">
        <v>223.93</v>
      </c>
      <c r="D1005" s="76">
        <v>225.05</v>
      </c>
      <c r="E1005" s="78">
        <f>2048.993/1800.553*100</f>
        <v>113.79798317516897</v>
      </c>
      <c r="F1005" s="76">
        <v>2048.9929999999999</v>
      </c>
      <c r="G1005" s="84"/>
      <c r="H1005" s="78">
        <v>117.12350000000001</v>
      </c>
      <c r="I1005" s="78">
        <v>127.87436379239354</v>
      </c>
      <c r="J1005" s="79">
        <f t="shared" si="554"/>
        <v>118.73620708011464</v>
      </c>
      <c r="K1005" s="80">
        <v>408881.60060000001</v>
      </c>
      <c r="L1005" s="83">
        <f t="shared" si="555"/>
        <v>91.790963529609257</v>
      </c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IH1005"/>
      <c r="II1005"/>
      <c r="IJ1005"/>
      <c r="IK1005"/>
      <c r="IL1005"/>
      <c r="IM1005"/>
    </row>
    <row r="1006" spans="1:247" s="31" customFormat="1" ht="20.25" customHeight="1" x14ac:dyDescent="0.25">
      <c r="A1006" s="75">
        <v>37658</v>
      </c>
      <c r="B1006" s="76">
        <v>224.04092399999999</v>
      </c>
      <c r="C1006" s="76">
        <v>223.48</v>
      </c>
      <c r="D1006" s="76">
        <v>224.6</v>
      </c>
      <c r="E1006" s="78">
        <f>2088.377/1800.553*100</f>
        <v>115.98531117939876</v>
      </c>
      <c r="F1006" s="76">
        <v>2088.377</v>
      </c>
      <c r="G1006" s="84"/>
      <c r="H1006" s="78">
        <v>117.233</v>
      </c>
      <c r="I1006" s="78">
        <v>127.83564725711038</v>
      </c>
      <c r="J1006" s="79">
        <f t="shared" si="554"/>
        <v>119.92300720886152</v>
      </c>
      <c r="K1006" s="80">
        <v>409240.44300000003</v>
      </c>
      <c r="L1006" s="83">
        <f t="shared" si="555"/>
        <v>91.686606987889334</v>
      </c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IH1006"/>
      <c r="II1006"/>
      <c r="IJ1006"/>
      <c r="IK1006"/>
      <c r="IL1006"/>
      <c r="IM1006"/>
    </row>
    <row r="1007" spans="1:247" s="31" customFormat="1" ht="20.25" customHeight="1" x14ac:dyDescent="0.25">
      <c r="A1007" s="75">
        <v>37651</v>
      </c>
      <c r="B1007" s="76">
        <v>223.24067600000001</v>
      </c>
      <c r="C1007" s="76">
        <v>222.68</v>
      </c>
      <c r="D1007" s="76">
        <v>223.8</v>
      </c>
      <c r="E1007" s="78">
        <f>2102.742/1800.553*100</f>
        <v>116.78312162985482</v>
      </c>
      <c r="F1007" s="76">
        <v>2102.7420000000002</v>
      </c>
      <c r="G1007" s="84"/>
      <c r="H1007" s="78">
        <v>116.98699999999999</v>
      </c>
      <c r="I1007" s="78">
        <v>127.79568572124793</v>
      </c>
      <c r="J1007" s="79">
        <f t="shared" si="554"/>
        <v>120.20722266481536</v>
      </c>
      <c r="K1007" s="80">
        <v>407217.17670000001</v>
      </c>
      <c r="L1007" s="83">
        <f t="shared" si="555"/>
        <v>90.907437805319461</v>
      </c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IH1007"/>
      <c r="II1007"/>
      <c r="IJ1007"/>
      <c r="IK1007"/>
      <c r="IL1007"/>
      <c r="IM1007"/>
    </row>
    <row r="1008" spans="1:247" s="31" customFormat="1" ht="20.25" customHeight="1" x14ac:dyDescent="0.25">
      <c r="A1008" s="75">
        <v>37644</v>
      </c>
      <c r="B1008" s="76">
        <v>226.105932</v>
      </c>
      <c r="C1008" s="76">
        <v>225.54</v>
      </c>
      <c r="D1008" s="76">
        <v>226.67</v>
      </c>
      <c r="E1008" s="78">
        <f>2185.978/1800.553*100</f>
        <v>121.40592362457534</v>
      </c>
      <c r="F1008" s="76">
        <v>2185.9780000000001</v>
      </c>
      <c r="G1008" s="84"/>
      <c r="H1008" s="78">
        <v>117.17</v>
      </c>
      <c r="I1008" s="78">
        <v>127.7555276752056</v>
      </c>
      <c r="J1008" s="79">
        <f t="shared" si="554"/>
        <v>122.63784772767315</v>
      </c>
      <c r="K1008" s="80">
        <v>406032.63530000002</v>
      </c>
      <c r="L1008" s="83">
        <f t="shared" si="555"/>
        <v>91.806387426922598</v>
      </c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IH1008"/>
      <c r="II1008"/>
      <c r="IJ1008"/>
      <c r="IK1008"/>
      <c r="IL1008"/>
      <c r="IM1008"/>
    </row>
    <row r="1009" spans="1:247" s="31" customFormat="1" ht="20.25" customHeight="1" x14ac:dyDescent="0.25">
      <c r="A1009" s="75">
        <v>37637</v>
      </c>
      <c r="B1009" s="76">
        <v>222.708</v>
      </c>
      <c r="C1009" s="76">
        <v>222.15</v>
      </c>
      <c r="D1009" s="76">
        <v>223.26</v>
      </c>
      <c r="E1009" s="78">
        <f>2257.356/1800.553*100</f>
        <v>125.37015017053095</v>
      </c>
      <c r="F1009" s="76">
        <v>2257.3560000000002</v>
      </c>
      <c r="G1009" s="84"/>
      <c r="H1009" s="78">
        <v>116.413</v>
      </c>
      <c r="I1009" s="78">
        <v>127.71516109414311</v>
      </c>
      <c r="J1009" s="79">
        <f t="shared" si="554"/>
        <v>124.1976125363289</v>
      </c>
      <c r="K1009" s="80">
        <v>399787.34419999999</v>
      </c>
      <c r="L1009" s="83">
        <f t="shared" si="555"/>
        <v>89.035839852093588</v>
      </c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IH1009"/>
      <c r="II1009"/>
      <c r="IJ1009"/>
      <c r="IK1009"/>
      <c r="IL1009"/>
      <c r="IM1009"/>
    </row>
    <row r="1010" spans="1:247" s="31" customFormat="1" ht="20.25" customHeight="1" x14ac:dyDescent="0.25">
      <c r="A1010" s="75">
        <v>37630</v>
      </c>
      <c r="B1010" s="76">
        <v>219.98</v>
      </c>
      <c r="C1010" s="76">
        <f t="shared" ref="C1010:C1066" si="556">0.9975*B1010</f>
        <v>219.43004999999999</v>
      </c>
      <c r="D1010" s="76">
        <f>1.0025*B1010</f>
        <v>220.52994999999999</v>
      </c>
      <c r="E1010" s="78">
        <f>2266.207/1800.553*100</f>
        <v>125.86172137115652</v>
      </c>
      <c r="F1010" s="76">
        <v>2266.2069999999999</v>
      </c>
      <c r="G1010" s="84"/>
      <c r="H1010" s="78">
        <v>115.77</v>
      </c>
      <c r="I1010" s="78">
        <v>127.67432616965498</v>
      </c>
      <c r="J1010" s="79">
        <f t="shared" si="554"/>
        <v>124.09532876491727</v>
      </c>
      <c r="K1010" s="80">
        <v>396382.272</v>
      </c>
      <c r="L1010" s="83">
        <f t="shared" si="555"/>
        <v>87.196172194559992</v>
      </c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IH1010"/>
      <c r="II1010"/>
      <c r="IJ1010"/>
      <c r="IK1010"/>
      <c r="IL1010"/>
      <c r="IM1010"/>
    </row>
    <row r="1011" spans="1:247" s="31" customFormat="1" ht="20.25" customHeight="1" x14ac:dyDescent="0.25">
      <c r="A1011" s="75">
        <v>37624</v>
      </c>
      <c r="B1011" s="76">
        <v>218.7</v>
      </c>
      <c r="C1011" s="76">
        <f t="shared" si="556"/>
        <v>218.15325000000001</v>
      </c>
      <c r="D1011" s="76">
        <f t="shared" ref="D1011:D1066" si="557">1.0025*B1011</f>
        <v>219.24674999999996</v>
      </c>
      <c r="E1011" s="78">
        <f>2242.624/1800.553*100</f>
        <v>124.55195709318193</v>
      </c>
      <c r="F1011" s="76">
        <v>2242.6239999999998</v>
      </c>
      <c r="G1011" s="84"/>
      <c r="H1011" s="78">
        <v>115.27</v>
      </c>
      <c r="I1011" s="78">
        <v>127.63350430149502</v>
      </c>
      <c r="J1011" s="79">
        <f t="shared" si="554"/>
        <v>123.18050114735625</v>
      </c>
      <c r="K1011" s="80">
        <v>395393.90279999998</v>
      </c>
      <c r="L1011" s="83">
        <f t="shared" si="555"/>
        <v>86.472646542359996</v>
      </c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IH1011"/>
      <c r="II1011"/>
      <c r="IJ1011"/>
      <c r="IK1011"/>
      <c r="IL1011"/>
      <c r="IM1011"/>
    </row>
    <row r="1012" spans="1:247" s="31" customFormat="1" ht="20.25" customHeight="1" x14ac:dyDescent="0.25">
      <c r="A1012" s="75">
        <v>37621</v>
      </c>
      <c r="B1012" s="76">
        <v>219.97</v>
      </c>
      <c r="C1012" s="76">
        <f t="shared" si="556"/>
        <v>219.420075</v>
      </c>
      <c r="D1012" s="76">
        <f t="shared" si="557"/>
        <v>220.519925</v>
      </c>
      <c r="E1012" s="78">
        <f>2182.57/1800.553*100</f>
        <v>121.2166484407846</v>
      </c>
      <c r="F1012" s="76">
        <v>2182.5700000000002</v>
      </c>
      <c r="G1012" s="84"/>
      <c r="H1012" s="78">
        <v>115.5</v>
      </c>
      <c r="I1012" s="78">
        <v>127.59829198668338</v>
      </c>
      <c r="J1012" s="79">
        <f t="shared" si="554"/>
        <v>121.6282854260815</v>
      </c>
      <c r="K1012" s="80">
        <v>395393.90279999998</v>
      </c>
      <c r="L1012" s="83">
        <f t="shared" si="555"/>
        <v>86.974796798916003</v>
      </c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IH1012"/>
      <c r="II1012"/>
      <c r="IJ1012"/>
      <c r="IK1012"/>
      <c r="IL1012"/>
      <c r="IM1012"/>
    </row>
    <row r="1013" spans="1:247" s="31" customFormat="1" ht="20.25" customHeight="1" x14ac:dyDescent="0.25">
      <c r="A1013" s="75">
        <v>37617</v>
      </c>
      <c r="B1013" s="76">
        <v>219.54</v>
      </c>
      <c r="C1013" s="76">
        <f t="shared" si="556"/>
        <v>218.99115</v>
      </c>
      <c r="D1013" s="76">
        <f t="shared" si="557"/>
        <v>220.08884999999998</v>
      </c>
      <c r="E1013" s="78">
        <f>2159.915/1800.553*100</f>
        <v>119.95842388421778</v>
      </c>
      <c r="F1013" s="76">
        <v>2159.915</v>
      </c>
      <c r="G1013" s="84"/>
      <c r="H1013" s="78">
        <v>115.333</v>
      </c>
      <c r="I1013" s="78">
        <v>127.59829198668338</v>
      </c>
      <c r="J1013" s="79">
        <f t="shared" si="554"/>
        <v>120.90666489369818</v>
      </c>
      <c r="K1013" s="80">
        <v>394477.20549999998</v>
      </c>
      <c r="L1013" s="83">
        <f t="shared" si="555"/>
        <v>86.603525695469997</v>
      </c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IH1013"/>
      <c r="II1013"/>
      <c r="IJ1013"/>
      <c r="IK1013"/>
      <c r="IL1013"/>
      <c r="IM1013"/>
    </row>
    <row r="1014" spans="1:247" s="31" customFormat="1" ht="20.25" customHeight="1" x14ac:dyDescent="0.25">
      <c r="A1014" s="75">
        <v>37609</v>
      </c>
      <c r="B1014" s="76">
        <v>216.97</v>
      </c>
      <c r="C1014" s="76">
        <f t="shared" si="556"/>
        <v>216.42757500000002</v>
      </c>
      <c r="D1014" s="76">
        <f t="shared" si="557"/>
        <v>217.51242499999998</v>
      </c>
      <c r="E1014" s="78">
        <f>2169.602/1800.553*100</f>
        <v>120.49642526490472</v>
      </c>
      <c r="F1014" s="76">
        <v>2169.6019999999999</v>
      </c>
      <c r="G1014" s="84"/>
      <c r="H1014" s="78">
        <v>114.62</v>
      </c>
      <c r="I1014" s="78">
        <v>127.55073303596413</v>
      </c>
      <c r="J1014" s="79">
        <f t="shared" si="554"/>
        <v>120.80062123562774</v>
      </c>
      <c r="K1014" s="80">
        <v>394477.20549999998</v>
      </c>
      <c r="L1014" s="83">
        <f t="shared" si="555"/>
        <v>85.589719277335007</v>
      </c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IH1014"/>
      <c r="II1014"/>
      <c r="IJ1014"/>
      <c r="IK1014"/>
      <c r="IL1014"/>
      <c r="IM1014"/>
    </row>
    <row r="1015" spans="1:247" s="31" customFormat="1" ht="20.25" customHeight="1" x14ac:dyDescent="0.25">
      <c r="A1015" s="75">
        <v>37602</v>
      </c>
      <c r="B1015" s="76">
        <v>215.47</v>
      </c>
      <c r="C1015" s="76">
        <f t="shared" si="556"/>
        <v>214.93132500000002</v>
      </c>
      <c r="D1015" s="76">
        <f t="shared" si="557"/>
        <v>216.00867499999998</v>
      </c>
      <c r="E1015" s="78">
        <f>2205.537/1800.553*100</f>
        <v>122.49220100713501</v>
      </c>
      <c r="F1015" s="76">
        <v>2205.5369999999998</v>
      </c>
      <c r="G1015" s="84"/>
      <c r="H1015" s="78">
        <v>113.84</v>
      </c>
      <c r="I1015" s="78">
        <v>127.50870930942612</v>
      </c>
      <c r="J1015" s="79">
        <f t="shared" si="554"/>
        <v>121.37358725101838</v>
      </c>
      <c r="K1015" s="80">
        <v>393782</v>
      </c>
      <c r="L1015" s="83">
        <f t="shared" si="555"/>
        <v>84.848207540000004</v>
      </c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IH1015"/>
      <c r="II1015"/>
      <c r="IJ1015"/>
      <c r="IK1015"/>
      <c r="IL1015"/>
      <c r="IM1015"/>
    </row>
    <row r="1016" spans="1:247" s="31" customFormat="1" ht="20.25" customHeight="1" x14ac:dyDescent="0.25">
      <c r="A1016" s="75">
        <v>37595</v>
      </c>
      <c r="B1016" s="76">
        <v>213.44</v>
      </c>
      <c r="C1016" s="76">
        <f t="shared" si="556"/>
        <v>212.90640000000002</v>
      </c>
      <c r="D1016" s="76">
        <f t="shared" si="557"/>
        <v>213.97359999999998</v>
      </c>
      <c r="E1016" s="78">
        <f>2219.538/1800.553*100</f>
        <v>123.2697954461768</v>
      </c>
      <c r="F1016" s="76">
        <v>2219.538</v>
      </c>
      <c r="G1016" s="84"/>
      <c r="H1016" s="78">
        <v>112.91</v>
      </c>
      <c r="I1016" s="78">
        <v>127.46627745320023</v>
      </c>
      <c r="J1016" s="79">
        <f t="shared" si="554"/>
        <v>121.25666071773136</v>
      </c>
      <c r="K1016" s="80">
        <v>395200.65</v>
      </c>
      <c r="L1016" s="83">
        <f t="shared" si="555"/>
        <v>84.351626736</v>
      </c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IH1016"/>
      <c r="II1016"/>
      <c r="IJ1016"/>
      <c r="IK1016"/>
      <c r="IL1016"/>
      <c r="IM1016"/>
    </row>
    <row r="1017" spans="1:247" s="31" customFormat="1" ht="20.25" customHeight="1" x14ac:dyDescent="0.25">
      <c r="A1017" s="75">
        <v>37588</v>
      </c>
      <c r="B1017" s="76">
        <v>212.53</v>
      </c>
      <c r="C1017" s="76">
        <f t="shared" si="556"/>
        <v>211.99867500000002</v>
      </c>
      <c r="D1017" s="76">
        <f t="shared" si="557"/>
        <v>213.06132499999998</v>
      </c>
      <c r="E1017" s="78">
        <f>2298.751/1800.553*100</f>
        <v>127.66916608397531</v>
      </c>
      <c r="F1017" s="76">
        <v>2298.7510000000002</v>
      </c>
      <c r="G1017" s="84"/>
      <c r="H1017" s="78">
        <v>113.169</v>
      </c>
      <c r="I1017" s="78">
        <v>127.42317086303252</v>
      </c>
      <c r="J1017" s="79">
        <f t="shared" si="554"/>
        <v>123.52631848297304</v>
      </c>
      <c r="K1017" s="80">
        <v>395920.64689999999</v>
      </c>
      <c r="L1017" s="83">
        <f t="shared" si="555"/>
        <v>84.145015085657008</v>
      </c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IH1017"/>
      <c r="II1017"/>
      <c r="IJ1017"/>
      <c r="IK1017"/>
      <c r="IL1017"/>
      <c r="IM1017"/>
    </row>
    <row r="1018" spans="1:247" s="31" customFormat="1" ht="20.25" customHeight="1" x14ac:dyDescent="0.25">
      <c r="A1018" s="75">
        <v>37581</v>
      </c>
      <c r="B1018" s="76">
        <v>212.13</v>
      </c>
      <c r="C1018" s="76">
        <f t="shared" si="556"/>
        <v>211.59967500000002</v>
      </c>
      <c r="D1018" s="76">
        <f t="shared" si="557"/>
        <v>212.66032499999997</v>
      </c>
      <c r="E1018" s="78">
        <f>2281.006/1800.553*100</f>
        <v>126.68363552752959</v>
      </c>
      <c r="F1018" s="76">
        <v>2281.0059999999999</v>
      </c>
      <c r="G1018" s="84"/>
      <c r="H1018" s="78">
        <v>113.169</v>
      </c>
      <c r="I1018" s="78">
        <v>127.37928813466041</v>
      </c>
      <c r="J1018" s="79">
        <f t="shared" si="554"/>
        <v>123.04769603172062</v>
      </c>
      <c r="K1018" s="80">
        <v>395920.64689999999</v>
      </c>
      <c r="L1018" s="83">
        <f t="shared" si="555"/>
        <v>83.986646826897001</v>
      </c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IH1018"/>
      <c r="II1018"/>
      <c r="IJ1018"/>
      <c r="IK1018"/>
      <c r="IL1018"/>
      <c r="IM1018"/>
    </row>
    <row r="1019" spans="1:247" s="31" customFormat="1" ht="20.25" customHeight="1" x14ac:dyDescent="0.25">
      <c r="A1019" s="75">
        <v>37574</v>
      </c>
      <c r="B1019" s="76">
        <v>212.08</v>
      </c>
      <c r="C1019" s="76">
        <f t="shared" si="556"/>
        <v>211.54980000000003</v>
      </c>
      <c r="D1019" s="76">
        <f t="shared" si="557"/>
        <v>212.61019999999999</v>
      </c>
      <c r="E1019" s="78">
        <f>2208.361/1800.553*100</f>
        <v>122.64904171107432</v>
      </c>
      <c r="F1019" s="76">
        <v>2208.3609999999999</v>
      </c>
      <c r="G1019" s="84"/>
      <c r="H1019" s="78">
        <v>113.58199999999999</v>
      </c>
      <c r="I1019" s="78">
        <v>127.33582478422974</v>
      </c>
      <c r="J1019" s="79">
        <f t="shared" si="554"/>
        <v>121.27350722420212</v>
      </c>
      <c r="K1019" s="80">
        <v>385030.8933</v>
      </c>
      <c r="L1019" s="83">
        <f t="shared" si="555"/>
        <v>81.657351851063993</v>
      </c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IH1019"/>
      <c r="II1019"/>
      <c r="IJ1019"/>
      <c r="IK1019"/>
      <c r="IL1019"/>
      <c r="IM1019"/>
    </row>
    <row r="1020" spans="1:247" s="31" customFormat="1" ht="20.25" customHeight="1" x14ac:dyDescent="0.25">
      <c r="A1020" s="75">
        <v>37567</v>
      </c>
      <c r="B1020" s="76">
        <v>215.29</v>
      </c>
      <c r="C1020" s="76">
        <f t="shared" si="556"/>
        <v>214.75177500000001</v>
      </c>
      <c r="D1020" s="76">
        <f t="shared" si="557"/>
        <v>215.82822499999997</v>
      </c>
      <c r="E1020" s="78">
        <f>2218.208/1800.553*100</f>
        <v>123.19592925062466</v>
      </c>
      <c r="F1020" s="76">
        <v>2218.2080000000001</v>
      </c>
      <c r="G1020" s="84"/>
      <c r="H1020" s="78">
        <v>113.58199999999999</v>
      </c>
      <c r="I1020" s="78">
        <v>127.29267450486246</v>
      </c>
      <c r="J1020" s="79">
        <f t="shared" si="554"/>
        <v>121.54328280561444</v>
      </c>
      <c r="K1020" s="80">
        <v>352245.8309</v>
      </c>
      <c r="L1020" s="83">
        <f t="shared" si="555"/>
        <v>75.835004934460997</v>
      </c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IH1020"/>
      <c r="II1020"/>
      <c r="IJ1020"/>
      <c r="IK1020"/>
      <c r="IL1020"/>
      <c r="IM1020"/>
    </row>
    <row r="1021" spans="1:247" s="31" customFormat="1" ht="20.25" customHeight="1" x14ac:dyDescent="0.25">
      <c r="A1021" s="75">
        <v>37560</v>
      </c>
      <c r="B1021" s="76">
        <v>209.99</v>
      </c>
      <c r="C1021" s="76">
        <f t="shared" si="556"/>
        <v>209.46502500000003</v>
      </c>
      <c r="D1021" s="76">
        <f t="shared" si="557"/>
        <v>210.51497499999999</v>
      </c>
      <c r="E1021" s="78">
        <f>2175.475/1800.553*100</f>
        <v>120.82260283368498</v>
      </c>
      <c r="F1021" s="76">
        <v>2175.4749999999999</v>
      </c>
      <c r="G1021" s="84"/>
      <c r="H1021" s="78">
        <v>111.714</v>
      </c>
      <c r="I1021" s="78">
        <v>127.24886294272943</v>
      </c>
      <c r="J1021" s="79">
        <f t="shared" si="554"/>
        <v>119.37282597868195</v>
      </c>
      <c r="K1021" s="80">
        <v>349629.11560000002</v>
      </c>
      <c r="L1021" s="83">
        <f t="shared" si="555"/>
        <v>73.418617984844019</v>
      </c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IH1021"/>
      <c r="II1021"/>
      <c r="IJ1021"/>
      <c r="IK1021"/>
      <c r="IL1021"/>
      <c r="IM1021"/>
    </row>
    <row r="1022" spans="1:247" s="31" customFormat="1" ht="20.25" customHeight="1" x14ac:dyDescent="0.25">
      <c r="A1022" s="75">
        <v>37553</v>
      </c>
      <c r="B1022" s="76">
        <v>208.04</v>
      </c>
      <c r="C1022" s="76">
        <f t="shared" si="556"/>
        <v>207.51990000000001</v>
      </c>
      <c r="D1022" s="76">
        <f t="shared" si="557"/>
        <v>208.56009999999998</v>
      </c>
      <c r="E1022" s="78">
        <f>2154.193/1800.553*100</f>
        <v>119.64063262786489</v>
      </c>
      <c r="F1022" s="76">
        <v>2154.1930000000002</v>
      </c>
      <c r="G1022" s="84"/>
      <c r="H1022" s="78">
        <v>111.714</v>
      </c>
      <c r="I1022" s="78">
        <v>127.20261429908729</v>
      </c>
      <c r="J1022" s="79">
        <f t="shared" si="554"/>
        <v>118.78606217081531</v>
      </c>
      <c r="K1022" s="80">
        <v>349245.53289999999</v>
      </c>
      <c r="L1022" s="83">
        <f t="shared" si="555"/>
        <v>72.657040664516003</v>
      </c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IH1022"/>
      <c r="II1022"/>
      <c r="IJ1022"/>
      <c r="IK1022"/>
      <c r="IL1022"/>
      <c r="IM1022"/>
    </row>
    <row r="1023" spans="1:247" s="31" customFormat="1" ht="20.25" customHeight="1" x14ac:dyDescent="0.25">
      <c r="A1023" s="75">
        <v>37546</v>
      </c>
      <c r="B1023" s="76">
        <v>206.57150999999999</v>
      </c>
      <c r="C1023" s="76">
        <f t="shared" si="556"/>
        <v>206.05508122500001</v>
      </c>
      <c r="D1023" s="76">
        <f t="shared" si="557"/>
        <v>207.08793877499997</v>
      </c>
      <c r="E1023" s="78">
        <f>2163.241/1800.553*100</f>
        <v>120.14314491159104</v>
      </c>
      <c r="F1023" s="76">
        <v>2163.241</v>
      </c>
      <c r="G1023" s="84"/>
      <c r="H1023" s="78">
        <v>111.54900000000001</v>
      </c>
      <c r="I1023" s="78">
        <v>127.15333642417619</v>
      </c>
      <c r="J1023" s="79">
        <f t="shared" si="554"/>
        <v>118.94684514570267</v>
      </c>
      <c r="K1023" s="80">
        <v>348872.35720000003</v>
      </c>
      <c r="L1023" s="83">
        <f t="shared" si="555"/>
        <v>72.067089624063371</v>
      </c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IH1023"/>
      <c r="II1023"/>
      <c r="IJ1023"/>
      <c r="IK1023"/>
      <c r="IL1023"/>
      <c r="IM1023"/>
    </row>
    <row r="1024" spans="1:247" s="31" customFormat="1" ht="20.25" customHeight="1" x14ac:dyDescent="0.25">
      <c r="A1024" s="75">
        <v>37539</v>
      </c>
      <c r="B1024" s="76">
        <v>205.67383799999999</v>
      </c>
      <c r="C1024" s="76">
        <f t="shared" si="556"/>
        <v>205.159653405</v>
      </c>
      <c r="D1024" s="76">
        <f t="shared" si="557"/>
        <v>206.18802259499998</v>
      </c>
      <c r="E1024" s="78">
        <f>1980.88/1800.553*100</f>
        <v>110.01508980851993</v>
      </c>
      <c r="F1024" s="76">
        <v>1980.88</v>
      </c>
      <c r="G1024" s="84"/>
      <c r="H1024" s="78">
        <v>112.178</v>
      </c>
      <c r="I1024" s="78">
        <v>127.10274194502249</v>
      </c>
      <c r="J1024" s="79">
        <f t="shared" si="554"/>
        <v>114.01821186743317</v>
      </c>
      <c r="K1024" s="80">
        <v>350656.54220000003</v>
      </c>
      <c r="L1024" s="83">
        <f t="shared" si="555"/>
        <v>72.120876854082965</v>
      </c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IH1024"/>
      <c r="II1024"/>
      <c r="IJ1024"/>
      <c r="IK1024"/>
      <c r="IL1024"/>
      <c r="IM1024"/>
    </row>
    <row r="1025" spans="1:247" s="31" customFormat="1" ht="20.25" customHeight="1" x14ac:dyDescent="0.25">
      <c r="A1025" s="75">
        <v>37532</v>
      </c>
      <c r="B1025" s="76">
        <v>209.65</v>
      </c>
      <c r="C1025" s="76">
        <f t="shared" si="556"/>
        <v>209.12587500000001</v>
      </c>
      <c r="D1025" s="76">
        <f t="shared" si="557"/>
        <v>210.174125</v>
      </c>
      <c r="E1025" s="78">
        <f>2036.975/1800.553*100</f>
        <v>113.13052156754063</v>
      </c>
      <c r="F1025" s="76">
        <v>2036.9749999999999</v>
      </c>
      <c r="G1025" s="84"/>
      <c r="H1025" s="78">
        <v>112.333</v>
      </c>
      <c r="I1025" s="78">
        <v>127.05533681911842</v>
      </c>
      <c r="J1025" s="79">
        <f t="shared" si="554"/>
        <v>115.69100019704189</v>
      </c>
      <c r="K1025" s="80">
        <v>348872.35720000003</v>
      </c>
      <c r="L1025" s="83">
        <f t="shared" si="555"/>
        <v>73.14108968698001</v>
      </c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IH1025"/>
      <c r="II1025"/>
      <c r="IJ1025"/>
      <c r="IK1025"/>
      <c r="IL1025"/>
      <c r="IM1025"/>
    </row>
    <row r="1026" spans="1:247" s="31" customFormat="1" ht="20.25" customHeight="1" x14ac:dyDescent="0.25">
      <c r="A1026" s="75">
        <v>37525</v>
      </c>
      <c r="B1026" s="76">
        <v>210.4486</v>
      </c>
      <c r="C1026" s="76">
        <f t="shared" si="556"/>
        <v>209.92247850000001</v>
      </c>
      <c r="D1026" s="76">
        <f t="shared" si="557"/>
        <v>210.97472149999999</v>
      </c>
      <c r="E1026" s="78">
        <f>2099.374/1800.553*100</f>
        <v>116.59606798577991</v>
      </c>
      <c r="F1026" s="76">
        <v>2099.3739999999998</v>
      </c>
      <c r="G1026" s="84"/>
      <c r="H1026" s="78">
        <v>111.89400000000001</v>
      </c>
      <c r="I1026" s="78">
        <v>127.00802238309301</v>
      </c>
      <c r="J1026" s="79">
        <f t="shared" si="554"/>
        <v>117.20287709199744</v>
      </c>
      <c r="K1026" s="80">
        <v>346693.8518</v>
      </c>
      <c r="L1026" s="83">
        <f t="shared" si="555"/>
        <v>72.961235739917484</v>
      </c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IH1026"/>
      <c r="II1026"/>
      <c r="IJ1026"/>
      <c r="IK1026"/>
      <c r="IL1026"/>
      <c r="IM1026"/>
    </row>
    <row r="1027" spans="1:247" s="31" customFormat="1" ht="20.25" customHeight="1" x14ac:dyDescent="0.25">
      <c r="A1027" s="75">
        <v>37518</v>
      </c>
      <c r="B1027" s="76">
        <v>212.05</v>
      </c>
      <c r="C1027" s="76">
        <f t="shared" si="556"/>
        <v>211.51987500000001</v>
      </c>
      <c r="D1027" s="76">
        <f t="shared" si="557"/>
        <v>212.58012500000001</v>
      </c>
      <c r="E1027" s="78">
        <f>2090.395/1800.553*100</f>
        <v>116.0973878580636</v>
      </c>
      <c r="F1027" s="76">
        <v>2090.395</v>
      </c>
      <c r="G1027" s="84"/>
      <c r="H1027" s="78">
        <v>112.3</v>
      </c>
      <c r="I1027" s="78">
        <v>126.95892170187683</v>
      </c>
      <c r="J1027" s="79">
        <f t="shared" si="554"/>
        <v>117.16303906187441</v>
      </c>
      <c r="K1027" s="80">
        <v>346407.25380000001</v>
      </c>
      <c r="L1027" s="83">
        <f t="shared" si="555"/>
        <v>73.45565816829</v>
      </c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IH1027"/>
      <c r="II1027"/>
      <c r="IJ1027"/>
      <c r="IK1027"/>
      <c r="IL1027"/>
      <c r="IM1027"/>
    </row>
    <row r="1028" spans="1:247" s="31" customFormat="1" ht="20.25" customHeight="1" x14ac:dyDescent="0.25">
      <c r="A1028" s="75">
        <v>37511</v>
      </c>
      <c r="B1028" s="76">
        <v>210.68</v>
      </c>
      <c r="C1028" s="76">
        <f t="shared" si="556"/>
        <v>210.15330000000003</v>
      </c>
      <c r="D1028" s="76">
        <f t="shared" si="557"/>
        <v>211.20669999999998</v>
      </c>
      <c r="E1028" s="78">
        <f>2200.344/1800.553*100</f>
        <v>122.20378961352429</v>
      </c>
      <c r="F1028" s="76">
        <v>2200.3440000000001</v>
      </c>
      <c r="G1028" s="84"/>
      <c r="H1028" s="78">
        <v>112.1</v>
      </c>
      <c r="I1028" s="78">
        <v>126.90891474780419</v>
      </c>
      <c r="J1028" s="79">
        <f t="shared" si="554"/>
        <v>120.05546844369985</v>
      </c>
      <c r="K1028" s="80">
        <v>349307.25380000001</v>
      </c>
      <c r="L1028" s="83">
        <f t="shared" si="555"/>
        <v>73.592052230584017</v>
      </c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IH1028"/>
      <c r="II1028"/>
      <c r="IJ1028"/>
      <c r="IK1028"/>
      <c r="IL1028"/>
      <c r="IM1028"/>
    </row>
    <row r="1029" spans="1:247" s="31" customFormat="1" ht="20.25" customHeight="1" x14ac:dyDescent="0.25">
      <c r="A1029" s="75">
        <v>37504</v>
      </c>
      <c r="B1029" s="76">
        <v>211.31</v>
      </c>
      <c r="C1029" s="76">
        <f t="shared" si="556"/>
        <v>210.78172500000002</v>
      </c>
      <c r="D1029" s="76">
        <f t="shared" si="557"/>
        <v>211.83827499999998</v>
      </c>
      <c r="E1029" s="78">
        <f>2181.267/1800.553*100</f>
        <v>121.14428178454062</v>
      </c>
      <c r="F1029" s="76">
        <v>2181.2669999999998</v>
      </c>
      <c r="G1029" s="84"/>
      <c r="H1029" s="78">
        <v>112.96</v>
      </c>
      <c r="I1029" s="78">
        <v>126.85820963089509</v>
      </c>
      <c r="J1029" s="79">
        <f t="shared" si="554"/>
        <v>119.9875243100542</v>
      </c>
      <c r="K1029" s="80">
        <v>345051.2671</v>
      </c>
      <c r="L1029" s="83">
        <f t="shared" si="555"/>
        <v>72.912783250901001</v>
      </c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IH1029"/>
      <c r="II1029"/>
      <c r="IJ1029"/>
      <c r="IK1029"/>
      <c r="IL1029"/>
      <c r="IM1029"/>
    </row>
    <row r="1030" spans="1:247" s="31" customFormat="1" ht="20.25" customHeight="1" x14ac:dyDescent="0.25">
      <c r="A1030" s="75">
        <v>37497</v>
      </c>
      <c r="B1030" s="76">
        <v>211.46</v>
      </c>
      <c r="C1030" s="76">
        <f t="shared" si="556"/>
        <v>210.93135000000001</v>
      </c>
      <c r="D1030" s="76">
        <f t="shared" si="557"/>
        <v>211.98865000000001</v>
      </c>
      <c r="E1030" s="78">
        <f>2274.605/1800.553*100</f>
        <v>126.32813363450006</v>
      </c>
      <c r="F1030" s="76">
        <v>2274.605</v>
      </c>
      <c r="G1030" s="84"/>
      <c r="H1030" s="78">
        <v>112.619</v>
      </c>
      <c r="I1030" s="78">
        <v>126.80898963355129</v>
      </c>
      <c r="J1030" s="79">
        <f t="shared" si="554"/>
        <v>122.31187239835589</v>
      </c>
      <c r="K1030" s="80">
        <v>337975.46169999999</v>
      </c>
      <c r="L1030" s="83">
        <f t="shared" si="555"/>
        <v>71.468291131081997</v>
      </c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IH1030"/>
      <c r="II1030"/>
      <c r="IJ1030"/>
      <c r="IK1030"/>
      <c r="IL1030"/>
      <c r="IM1030"/>
    </row>
    <row r="1031" spans="1:247" s="31" customFormat="1" ht="20.25" customHeight="1" x14ac:dyDescent="0.25">
      <c r="A1031" s="75">
        <v>37490</v>
      </c>
      <c r="B1031" s="76">
        <v>209.65</v>
      </c>
      <c r="C1031" s="76">
        <f t="shared" si="556"/>
        <v>209.12587500000001</v>
      </c>
      <c r="D1031" s="76">
        <f t="shared" si="557"/>
        <v>210.174125</v>
      </c>
      <c r="E1031" s="78">
        <f>2374.83/1800.553*100</f>
        <v>131.89447908503664</v>
      </c>
      <c r="F1031" s="76">
        <v>2374.83</v>
      </c>
      <c r="G1031" s="84"/>
      <c r="H1031" s="78">
        <v>111.89</v>
      </c>
      <c r="I1031" s="78">
        <v>126.7580226462569</v>
      </c>
      <c r="J1031" s="79">
        <f t="shared" si="554"/>
        <v>124.53403868701611</v>
      </c>
      <c r="K1031" s="80">
        <v>337380.70510000002</v>
      </c>
      <c r="L1031" s="83">
        <f t="shared" si="555"/>
        <v>70.731864824215009</v>
      </c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IH1031"/>
      <c r="II1031"/>
      <c r="IJ1031"/>
      <c r="IK1031"/>
      <c r="IL1031"/>
      <c r="IM1031"/>
    </row>
    <row r="1032" spans="1:247" s="31" customFormat="1" ht="20.25" customHeight="1" x14ac:dyDescent="0.25">
      <c r="A1032" s="75">
        <v>37484</v>
      </c>
      <c r="B1032" s="76">
        <v>209.72</v>
      </c>
      <c r="C1032" s="76">
        <f t="shared" si="556"/>
        <v>209.19570000000002</v>
      </c>
      <c r="D1032" s="76">
        <f t="shared" si="557"/>
        <v>210.24429999999998</v>
      </c>
      <c r="E1032" s="78">
        <f>2306.967/1800.553*100</f>
        <v>128.1254703416117</v>
      </c>
      <c r="F1032" s="76">
        <v>2306.9670000000001</v>
      </c>
      <c r="G1032" s="84"/>
      <c r="H1032" s="78">
        <v>112.6</v>
      </c>
      <c r="I1032" s="78">
        <v>126.71425088508271</v>
      </c>
      <c r="J1032" s="79">
        <f t="shared" si="554"/>
        <v>123.11142222201349</v>
      </c>
      <c r="K1032" s="80">
        <v>330721.64880000002</v>
      </c>
      <c r="L1032" s="83">
        <f t="shared" si="555"/>
        <v>69.358944186336004</v>
      </c>
      <c r="M1032" s="27"/>
      <c r="N1032" s="27"/>
      <c r="O1032" s="27"/>
      <c r="P1032" s="27"/>
      <c r="Q1032" s="27"/>
      <c r="R1032" s="27"/>
      <c r="S1032" s="27"/>
      <c r="T1032" s="27"/>
      <c r="U1032" s="27"/>
      <c r="V1032" s="27"/>
      <c r="W1032" s="27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  <c r="BN1032" s="28"/>
      <c r="BO1032" s="28"/>
      <c r="BP1032" s="28"/>
      <c r="BQ1032" s="28"/>
      <c r="BR1032" s="28"/>
      <c r="BS1032" s="28"/>
      <c r="BT1032" s="28"/>
      <c r="BU1032" s="28"/>
      <c r="BV1032" s="28"/>
      <c r="BW1032" s="28"/>
      <c r="BX1032" s="28"/>
      <c r="BY1032" s="28"/>
      <c r="BZ1032" s="28"/>
      <c r="CA1032" s="28"/>
      <c r="CB1032" s="28"/>
      <c r="CC1032" s="28"/>
      <c r="CD1032" s="28"/>
      <c r="CE1032" s="28"/>
      <c r="CF1032" s="28"/>
      <c r="CG1032" s="28"/>
      <c r="CH1032" s="28"/>
      <c r="CI1032" s="28"/>
      <c r="CJ1032" s="28"/>
      <c r="CK1032" s="28"/>
      <c r="CL1032" s="28"/>
      <c r="CM1032" s="28"/>
      <c r="CN1032" s="28"/>
      <c r="CO1032" s="28"/>
      <c r="CP1032" s="28"/>
      <c r="CQ1032" s="28"/>
      <c r="CR1032" s="28"/>
      <c r="CS1032" s="28"/>
      <c r="CT1032" s="28"/>
      <c r="CU1032" s="28"/>
      <c r="CV1032" s="28"/>
      <c r="CW1032" s="28"/>
      <c r="CX1032" s="28"/>
      <c r="CY1032" s="28"/>
      <c r="CZ1032" s="28"/>
      <c r="DA1032" s="28"/>
      <c r="DB1032" s="28"/>
      <c r="DC1032" s="28"/>
      <c r="DD1032" s="28"/>
      <c r="DE1032" s="28"/>
      <c r="DF1032" s="28"/>
      <c r="DG1032" s="28"/>
      <c r="DH1032" s="28"/>
      <c r="DI1032" s="28"/>
      <c r="DJ1032" s="28"/>
      <c r="DK1032" s="28"/>
      <c r="DL1032" s="28"/>
      <c r="DM1032" s="28"/>
      <c r="IH1032"/>
      <c r="II1032"/>
      <c r="IJ1032"/>
      <c r="IK1032"/>
      <c r="IL1032"/>
      <c r="IM1032"/>
    </row>
    <row r="1033" spans="1:247" s="31" customFormat="1" ht="20.25" customHeight="1" x14ac:dyDescent="0.25">
      <c r="A1033" s="75">
        <v>37476</v>
      </c>
      <c r="B1033" s="76">
        <v>205.41</v>
      </c>
      <c r="C1033" s="76">
        <f t="shared" si="556"/>
        <v>204.89647500000001</v>
      </c>
      <c r="D1033" s="76">
        <f t="shared" si="557"/>
        <v>205.92352499999998</v>
      </c>
      <c r="E1033" s="78">
        <f>2246.701/1800.553*100</f>
        <v>124.77838752872034</v>
      </c>
      <c r="F1033" s="76">
        <v>2246.701</v>
      </c>
      <c r="G1033" s="84"/>
      <c r="H1033" s="78">
        <v>111.51</v>
      </c>
      <c r="I1033" s="78">
        <v>126.65671056796933</v>
      </c>
      <c r="J1033" s="79">
        <f t="shared" si="554"/>
        <v>120.89902286185334</v>
      </c>
      <c r="K1033" s="80">
        <v>329012.24070000002</v>
      </c>
      <c r="L1033" s="83">
        <f t="shared" si="555"/>
        <v>67.582404362186992</v>
      </c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IH1033"/>
      <c r="II1033"/>
      <c r="IJ1033"/>
      <c r="IK1033"/>
      <c r="IL1033"/>
      <c r="IM1033"/>
    </row>
    <row r="1034" spans="1:247" s="31" customFormat="1" ht="20.25" customHeight="1" x14ac:dyDescent="0.25">
      <c r="A1034" s="75">
        <v>37469</v>
      </c>
      <c r="B1034" s="76">
        <v>208.70135500000001</v>
      </c>
      <c r="C1034" s="76">
        <f t="shared" si="556"/>
        <v>208.17960161250002</v>
      </c>
      <c r="D1034" s="76">
        <f t="shared" si="557"/>
        <v>209.22310838749999</v>
      </c>
      <c r="E1034" s="78">
        <f>2204.152/1800.553*100</f>
        <v>122.41528019447358</v>
      </c>
      <c r="F1034" s="76">
        <v>2204.152</v>
      </c>
      <c r="G1034" s="84"/>
      <c r="H1034" s="78">
        <v>112.167</v>
      </c>
      <c r="I1034" s="78">
        <v>126.60732567225914</v>
      </c>
      <c r="J1034" s="79">
        <f t="shared" si="554"/>
        <v>120.09160587198033</v>
      </c>
      <c r="K1034" s="80">
        <v>320886.82870000001</v>
      </c>
      <c r="L1034" s="83">
        <f t="shared" si="555"/>
        <v>66.969515951342899</v>
      </c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IH1034"/>
      <c r="II1034"/>
      <c r="IJ1034"/>
      <c r="IK1034"/>
      <c r="IL1034"/>
      <c r="IM1034"/>
    </row>
    <row r="1035" spans="1:247" s="28" customFormat="1" ht="20.25" customHeight="1" x14ac:dyDescent="0.25">
      <c r="A1035" s="75">
        <v>37462</v>
      </c>
      <c r="B1035" s="76">
        <v>212.60481899999999</v>
      </c>
      <c r="C1035" s="76">
        <f t="shared" si="556"/>
        <v>212.07330695249999</v>
      </c>
      <c r="D1035" s="76">
        <f t="shared" si="557"/>
        <v>213.13633104749999</v>
      </c>
      <c r="E1035" s="78">
        <f>2137.436/1800.553*100</f>
        <v>118.70997410240076</v>
      </c>
      <c r="F1035" s="76">
        <v>2137.4360000000001</v>
      </c>
      <c r="G1035" s="84"/>
      <c r="H1035" s="78">
        <v>113.28700000000001</v>
      </c>
      <c r="I1035" s="78">
        <v>126.55595602893652</v>
      </c>
      <c r="J1035" s="79">
        <f t="shared" si="554"/>
        <v>118.82453802186708</v>
      </c>
      <c r="K1035" s="80">
        <v>320417.65350000001</v>
      </c>
      <c r="L1035" s="83">
        <f t="shared" si="555"/>
        <v>68.122337226772217</v>
      </c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IH1035"/>
      <c r="II1035"/>
      <c r="IJ1035"/>
      <c r="IK1035"/>
      <c r="IL1035"/>
      <c r="IM1035"/>
    </row>
    <row r="1036" spans="1:247" s="3" customFormat="1" ht="20.25" customHeight="1" x14ac:dyDescent="0.25">
      <c r="A1036" s="75">
        <v>37455</v>
      </c>
      <c r="B1036" s="76">
        <v>214.779358</v>
      </c>
      <c r="C1036" s="76">
        <f t="shared" si="556"/>
        <v>214.24240960500001</v>
      </c>
      <c r="D1036" s="76">
        <f t="shared" si="557"/>
        <v>215.316306395</v>
      </c>
      <c r="E1036" s="78">
        <f>2282.394/1800.553*100</f>
        <v>126.76072295566971</v>
      </c>
      <c r="F1036" s="76">
        <v>2282.3939999999998</v>
      </c>
      <c r="G1036" s="84"/>
      <c r="H1036" s="78">
        <v>113.465</v>
      </c>
      <c r="I1036" s="78">
        <v>126.50422455587869</v>
      </c>
      <c r="J1036" s="79">
        <f t="shared" si="554"/>
        <v>122.82114730039052</v>
      </c>
      <c r="K1036" s="80">
        <v>319609.16090000002</v>
      </c>
      <c r="L1036" s="83">
        <f t="shared" si="555"/>
        <v>68.645450389020709</v>
      </c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IH1036"/>
      <c r="II1036"/>
      <c r="IJ1036"/>
      <c r="IK1036"/>
      <c r="IL1036"/>
      <c r="IM1036"/>
    </row>
    <row r="1037" spans="1:247" s="3" customFormat="1" ht="20.25" customHeight="1" x14ac:dyDescent="0.25">
      <c r="A1037" s="75">
        <v>37448</v>
      </c>
      <c r="B1037" s="76">
        <v>214.262058</v>
      </c>
      <c r="C1037" s="76">
        <f t="shared" si="556"/>
        <v>213.726402855</v>
      </c>
      <c r="D1037" s="76">
        <f t="shared" si="557"/>
        <v>214.79771314499999</v>
      </c>
      <c r="E1037" s="78">
        <f>2337.592/1800.553*100</f>
        <v>129.8263366865624</v>
      </c>
      <c r="F1037" s="76">
        <v>2337.5920000000001</v>
      </c>
      <c r="G1037" s="84"/>
      <c r="H1037" s="78">
        <v>112.68219999999999</v>
      </c>
      <c r="I1037" s="78">
        <v>126.45088631618269</v>
      </c>
      <c r="J1037" s="79">
        <f t="shared" si="554"/>
        <v>123.85322970506499</v>
      </c>
      <c r="K1037" s="80">
        <v>318398.99219999998</v>
      </c>
      <c r="L1037" s="83">
        <f t="shared" si="555"/>
        <v>68.220823333897954</v>
      </c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IH1037"/>
      <c r="II1037"/>
      <c r="IJ1037"/>
      <c r="IK1037"/>
      <c r="IL1037"/>
      <c r="IM1037"/>
    </row>
    <row r="1038" spans="1:247" s="3" customFormat="1" ht="20.25" customHeight="1" x14ac:dyDescent="0.25">
      <c r="A1038" s="75">
        <v>37441</v>
      </c>
      <c r="B1038" s="76">
        <v>211.64265399999999</v>
      </c>
      <c r="C1038" s="76">
        <f t="shared" si="556"/>
        <v>211.11354736500002</v>
      </c>
      <c r="D1038" s="76">
        <f t="shared" si="557"/>
        <v>212.17176063499997</v>
      </c>
      <c r="E1038" s="78">
        <f>2396.264/1800.553*100</f>
        <v>133.08489114177701</v>
      </c>
      <c r="F1038" s="76">
        <v>2396.2640000000001</v>
      </c>
      <c r="G1038" s="84"/>
      <c r="H1038" s="78">
        <v>111.76609999999999</v>
      </c>
      <c r="I1038" s="78">
        <v>126.39761219345672</v>
      </c>
      <c r="J1038" s="79">
        <f t="shared" si="554"/>
        <v>124.87018493704235</v>
      </c>
      <c r="K1038" s="80">
        <f>318257.5961</f>
        <v>318257.59610000002</v>
      </c>
      <c r="L1038" s="83">
        <f t="shared" si="555"/>
        <v>67.356882294264054</v>
      </c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IH1038"/>
      <c r="II1038"/>
      <c r="IJ1038"/>
      <c r="IK1038"/>
      <c r="IL1038"/>
      <c r="IM1038"/>
    </row>
    <row r="1039" spans="1:247" s="3" customFormat="1" ht="20.25" customHeight="1" x14ac:dyDescent="0.25">
      <c r="A1039" s="75">
        <v>37434</v>
      </c>
      <c r="B1039" s="76">
        <v>212.16941199999999</v>
      </c>
      <c r="C1039" s="76">
        <f t="shared" si="556"/>
        <v>211.63898847000002</v>
      </c>
      <c r="D1039" s="76">
        <f t="shared" si="557"/>
        <v>212.69983552999997</v>
      </c>
      <c r="E1039" s="78">
        <f>2446.643/1800.553*100</f>
        <v>135.88286487540216</v>
      </c>
      <c r="F1039" s="76">
        <v>2446.643</v>
      </c>
      <c r="G1039" s="84"/>
      <c r="H1039" s="78">
        <v>111.93170000000001</v>
      </c>
      <c r="I1039" s="78">
        <v>126.34375239699185</v>
      </c>
      <c r="J1039" s="79">
        <f t="shared" si="554"/>
        <v>126.26353746436146</v>
      </c>
      <c r="K1039" s="80">
        <v>299792.55989999999</v>
      </c>
      <c r="L1039" s="83">
        <f t="shared" si="555"/>
        <v>63.606811155957772</v>
      </c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IH1039"/>
      <c r="II1039"/>
      <c r="IJ1039"/>
      <c r="IK1039"/>
      <c r="IL1039"/>
      <c r="IM1039"/>
    </row>
    <row r="1040" spans="1:247" s="3" customFormat="1" ht="20.25" customHeight="1" x14ac:dyDescent="0.25">
      <c r="A1040" s="75">
        <v>37427</v>
      </c>
      <c r="B1040" s="76">
        <v>209.06977000000001</v>
      </c>
      <c r="C1040" s="76">
        <f t="shared" si="556"/>
        <v>208.54709557500001</v>
      </c>
      <c r="D1040" s="76">
        <f t="shared" si="557"/>
        <v>209.592444425</v>
      </c>
      <c r="E1040" s="78">
        <f>2467.841/1800.553*100</f>
        <v>137.06016984781897</v>
      </c>
      <c r="F1040" s="76">
        <v>2467.8409999999999</v>
      </c>
      <c r="G1040" s="84"/>
      <c r="H1040" s="78">
        <v>110.6118</v>
      </c>
      <c r="I1040" s="78">
        <v>126.2821526548838</v>
      </c>
      <c r="J1040" s="79">
        <f t="shared" si="554"/>
        <v>126.05283832495832</v>
      </c>
      <c r="K1040" s="80">
        <v>299329.75160000002</v>
      </c>
      <c r="L1040" s="83">
        <f t="shared" si="555"/>
        <v>62.580802321169138</v>
      </c>
      <c r="M1040" s="27"/>
      <c r="N1040" s="27"/>
      <c r="O1040" s="27"/>
      <c r="P1040" s="27"/>
      <c r="Q1040" s="27"/>
      <c r="R1040" s="27"/>
      <c r="S1040" s="27"/>
      <c r="T1040" s="27"/>
      <c r="U1040" s="27"/>
      <c r="V1040" s="27"/>
      <c r="W1040" s="27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  <c r="BN1040" s="28"/>
      <c r="BO1040" s="28"/>
      <c r="BP1040" s="28"/>
      <c r="BQ1040" s="28"/>
      <c r="BR1040" s="28"/>
      <c r="BS1040" s="28"/>
      <c r="BT1040" s="28"/>
      <c r="BU1040" s="28"/>
      <c r="BV1040" s="28"/>
      <c r="BW1040" s="28"/>
      <c r="BX1040" s="28"/>
      <c r="BY1040" s="28"/>
      <c r="BZ1040" s="28"/>
      <c r="CA1040" s="28"/>
      <c r="CB1040" s="28"/>
      <c r="CC1040" s="28"/>
      <c r="CD1040" s="28"/>
      <c r="CE1040" s="28"/>
      <c r="CF1040" s="28"/>
      <c r="CG1040" s="28"/>
      <c r="CH1040" s="28"/>
      <c r="CI1040" s="28"/>
      <c r="CJ1040" s="28"/>
      <c r="CK1040" s="28"/>
      <c r="CL1040" s="28"/>
      <c r="CM1040" s="28"/>
      <c r="CN1040" s="28"/>
      <c r="CO1040" s="28"/>
      <c r="CP1040" s="28"/>
      <c r="CQ1040" s="28"/>
      <c r="CR1040" s="28"/>
      <c r="CS1040" s="28"/>
      <c r="CT1040" s="28"/>
      <c r="CU1040" s="28"/>
      <c r="CV1040" s="28"/>
      <c r="CW1040" s="28"/>
      <c r="CX1040" s="28"/>
      <c r="CY1040" s="28"/>
      <c r="CZ1040" s="28"/>
      <c r="DA1040" s="28"/>
      <c r="DB1040" s="28"/>
      <c r="DC1040" s="28"/>
      <c r="DD1040" s="28"/>
      <c r="DE1040" s="28"/>
      <c r="DF1040" s="28"/>
      <c r="DG1040" s="28"/>
      <c r="DH1040" s="28"/>
      <c r="DI1040" s="28"/>
      <c r="DJ1040" s="28"/>
      <c r="DK1040" s="28"/>
      <c r="DL1040" s="28"/>
      <c r="DM1040" s="28"/>
      <c r="IH1040"/>
      <c r="II1040"/>
      <c r="IJ1040"/>
      <c r="IK1040"/>
      <c r="IL1040"/>
      <c r="IM1040"/>
    </row>
    <row r="1041" spans="1:247" s="3" customFormat="1" ht="20.25" customHeight="1" x14ac:dyDescent="0.25">
      <c r="A1041" s="75">
        <v>37420</v>
      </c>
      <c r="B1041" s="76">
        <v>209.71360300000001</v>
      </c>
      <c r="C1041" s="76">
        <f t="shared" si="556"/>
        <v>209.18931899250001</v>
      </c>
      <c r="D1041" s="76">
        <f t="shared" si="557"/>
        <v>210.23788700750001</v>
      </c>
      <c r="E1041" s="78">
        <f>2496.177/1800.553*100</f>
        <v>138.63390858252993</v>
      </c>
      <c r="F1041" s="76">
        <v>2496.1770000000001</v>
      </c>
      <c r="G1041" s="84"/>
      <c r="H1041" s="78">
        <v>109.5997</v>
      </c>
      <c r="I1041" s="78">
        <v>126.22765319643676</v>
      </c>
      <c r="J1041" s="79">
        <f t="shared" si="554"/>
        <v>126.18642209682901</v>
      </c>
      <c r="K1041" s="80">
        <v>298140.63439999998</v>
      </c>
      <c r="L1041" s="83">
        <f t="shared" si="555"/>
        <v>62.524146640729739</v>
      </c>
      <c r="M1041" s="27"/>
      <c r="N1041" s="27"/>
      <c r="O1041" s="27"/>
      <c r="P1041" s="27"/>
      <c r="Q1041" s="27"/>
      <c r="R1041" s="27"/>
      <c r="S1041" s="27"/>
      <c r="T1041" s="27"/>
      <c r="U1041" s="27"/>
      <c r="V1041" s="27"/>
      <c r="W1041" s="27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  <c r="BN1041" s="28"/>
      <c r="BO1041" s="28"/>
      <c r="BP1041" s="28"/>
      <c r="BQ1041" s="28"/>
      <c r="BR1041" s="28"/>
      <c r="BS1041" s="28"/>
      <c r="BT1041" s="28"/>
      <c r="BU1041" s="28"/>
      <c r="BV1041" s="28"/>
      <c r="BW1041" s="28"/>
      <c r="BX1041" s="28"/>
      <c r="BY1041" s="28"/>
      <c r="BZ1041" s="28"/>
      <c r="CA1041" s="28"/>
      <c r="CB1041" s="28"/>
      <c r="CC1041" s="28"/>
      <c r="CD1041" s="28"/>
      <c r="CE1041" s="28"/>
      <c r="CF1041" s="28"/>
      <c r="CG1041" s="28"/>
      <c r="CH1041" s="28"/>
      <c r="CI1041" s="28"/>
      <c r="CJ1041" s="28"/>
      <c r="CK1041" s="28"/>
      <c r="CL1041" s="28"/>
      <c r="CM1041" s="28"/>
      <c r="CN1041" s="28"/>
      <c r="CO1041" s="28"/>
      <c r="CP1041" s="28"/>
      <c r="CQ1041" s="28"/>
      <c r="CR1041" s="28"/>
      <c r="CS1041" s="28"/>
      <c r="CT1041" s="28"/>
      <c r="CU1041" s="28"/>
      <c r="CV1041" s="28"/>
      <c r="CW1041" s="28"/>
      <c r="CX1041" s="28"/>
      <c r="CY1041" s="28"/>
      <c r="CZ1041" s="28"/>
      <c r="DA1041" s="28"/>
      <c r="DB1041" s="28"/>
      <c r="DC1041" s="28"/>
      <c r="DD1041" s="28"/>
      <c r="DE1041" s="28"/>
      <c r="DF1041" s="28"/>
      <c r="DG1041" s="28"/>
      <c r="DH1041" s="28"/>
      <c r="DI1041" s="28"/>
      <c r="DJ1041" s="28"/>
      <c r="DK1041" s="28"/>
      <c r="DL1041" s="28"/>
      <c r="DM1041" s="28"/>
      <c r="IH1041"/>
      <c r="II1041"/>
      <c r="IJ1041"/>
      <c r="IK1041"/>
      <c r="IL1041"/>
      <c r="IM1041"/>
    </row>
    <row r="1042" spans="1:247" s="3" customFormat="1" ht="20.25" customHeight="1" x14ac:dyDescent="0.25">
      <c r="A1042" s="75">
        <v>37413</v>
      </c>
      <c r="B1042" s="76">
        <v>210.59</v>
      </c>
      <c r="C1042" s="76">
        <f t="shared" si="556"/>
        <v>210.06352500000003</v>
      </c>
      <c r="D1042" s="76">
        <f t="shared" si="557"/>
        <v>211.11647499999998</v>
      </c>
      <c r="E1042" s="78">
        <f>2561.013/1800.553*100</f>
        <v>142.23480230795761</v>
      </c>
      <c r="F1042" s="76">
        <v>2561.0129999999999</v>
      </c>
      <c r="G1042" s="84"/>
      <c r="H1042" s="78">
        <v>109.6023</v>
      </c>
      <c r="I1042" s="78">
        <v>126.17213529642457</v>
      </c>
      <c r="J1042" s="79">
        <f t="shared" si="554"/>
        <v>127.80573784422249</v>
      </c>
      <c r="K1042" s="80">
        <v>297902.38130000001</v>
      </c>
      <c r="L1042" s="83">
        <f t="shared" si="555"/>
        <v>62.735262477966998</v>
      </c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IH1042"/>
      <c r="II1042"/>
      <c r="IJ1042"/>
      <c r="IK1042"/>
      <c r="IL1042"/>
      <c r="IM1042"/>
    </row>
    <row r="1043" spans="1:247" s="28" customFormat="1" ht="20.25" customHeight="1" x14ac:dyDescent="0.25">
      <c r="A1043" s="75">
        <v>37407</v>
      </c>
      <c r="B1043" s="76">
        <v>209.1001</v>
      </c>
      <c r="C1043" s="76">
        <f t="shared" si="556"/>
        <v>208.57734975</v>
      </c>
      <c r="D1043" s="76">
        <f t="shared" si="557"/>
        <v>209.62285025</v>
      </c>
      <c r="E1043" s="78">
        <f>2638.855/1800.553*100</f>
        <v>146.5580296719952</v>
      </c>
      <c r="F1043" s="76">
        <v>2638.855</v>
      </c>
      <c r="G1043" s="84"/>
      <c r="H1043" s="78">
        <v>109.4169</v>
      </c>
      <c r="I1043" s="78">
        <v>126.11612499170735</v>
      </c>
      <c r="J1043" s="79">
        <f t="shared" si="554"/>
        <v>129.60753947808675</v>
      </c>
      <c r="K1043" s="80">
        <v>282135.75589999999</v>
      </c>
      <c r="L1043" s="83">
        <f t="shared" si="555"/>
        <v>58.994614772265592</v>
      </c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  <c r="CX1043" s="3"/>
      <c r="CY1043" s="3"/>
      <c r="CZ1043" s="3"/>
      <c r="DA1043" s="3"/>
      <c r="DB1043" s="3"/>
      <c r="DC1043" s="3"/>
      <c r="DD1043" s="3"/>
      <c r="DE1043" s="3"/>
      <c r="DF1043" s="3"/>
      <c r="DG1043" s="3"/>
      <c r="DH1043" s="3"/>
      <c r="DI1043" s="3"/>
      <c r="DJ1043" s="3"/>
      <c r="DK1043" s="3"/>
      <c r="DL1043" s="3"/>
      <c r="DM1043" s="3"/>
      <c r="IH1043"/>
      <c r="II1043"/>
      <c r="IJ1043"/>
      <c r="IK1043"/>
      <c r="IL1043"/>
      <c r="IM1043"/>
    </row>
    <row r="1044" spans="1:247" s="28" customFormat="1" ht="20.25" customHeight="1" x14ac:dyDescent="0.25">
      <c r="A1044" s="75">
        <v>37399</v>
      </c>
      <c r="B1044" s="76">
        <v>205.73206300000001</v>
      </c>
      <c r="C1044" s="76">
        <f t="shared" si="556"/>
        <v>205.21773284250003</v>
      </c>
      <c r="D1044" s="76">
        <f t="shared" si="557"/>
        <v>206.24639315749999</v>
      </c>
      <c r="E1044" s="78">
        <f>2687.148/1800.553*100</f>
        <v>149.24015010943862</v>
      </c>
      <c r="F1044" s="76">
        <v>2687.1480000000001</v>
      </c>
      <c r="G1044" s="84">
        <v>8.4221299999999999E-2</v>
      </c>
      <c r="H1044" s="78">
        <v>108.42213000000001</v>
      </c>
      <c r="I1044" s="78">
        <v>126.05975329593781</v>
      </c>
      <c r="J1044" s="79">
        <f t="shared" si="554"/>
        <v>130.18012833228869</v>
      </c>
      <c r="K1044" s="80">
        <v>281943.03169999999</v>
      </c>
      <c r="L1044" s="83">
        <v>58.004721459999999</v>
      </c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  <c r="CX1044" s="3"/>
      <c r="CY1044" s="3"/>
      <c r="CZ1044" s="3"/>
      <c r="DA1044" s="3"/>
      <c r="DB1044" s="3"/>
      <c r="DC1044" s="3"/>
      <c r="DD1044" s="3"/>
      <c r="DE1044" s="3"/>
      <c r="DF1044" s="3"/>
      <c r="DG1044" s="3"/>
      <c r="DH1044" s="3"/>
      <c r="DI1044" s="3"/>
      <c r="DJ1044" s="3"/>
      <c r="DK1044" s="3"/>
      <c r="DL1044" s="3"/>
      <c r="DM1044" s="3"/>
      <c r="IH1044"/>
      <c r="II1044"/>
      <c r="IJ1044"/>
      <c r="IK1044"/>
      <c r="IL1044"/>
      <c r="IM1044"/>
    </row>
    <row r="1045" spans="1:247" s="3" customFormat="1" ht="20.25" customHeight="1" x14ac:dyDescent="0.25">
      <c r="A1045" s="75">
        <v>37392</v>
      </c>
      <c r="B1045" s="76">
        <v>201.51435900000001</v>
      </c>
      <c r="C1045" s="76">
        <f t="shared" si="556"/>
        <v>201.01057310250002</v>
      </c>
      <c r="D1045" s="76">
        <f t="shared" si="557"/>
        <v>202.01814489750001</v>
      </c>
      <c r="E1045" s="78">
        <f>2686.535/1800.553*100</f>
        <v>149.20610501329313</v>
      </c>
      <c r="F1045" s="76">
        <v>2686.5349999999999</v>
      </c>
      <c r="G1045" s="84">
        <v>7.4912999999999993E-2</v>
      </c>
      <c r="H1045" s="78">
        <v>107.4913</v>
      </c>
      <c r="I1045" s="78">
        <v>126.00333892396212</v>
      </c>
      <c r="J1045" s="79">
        <f t="shared" si="554"/>
        <v>129.60418292844528</v>
      </c>
      <c r="K1045" s="80">
        <v>281289.6311</v>
      </c>
      <c r="L1045" s="83">
        <f>K1045*B1045/1000000</f>
        <v>56.683899704462966</v>
      </c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IH1045"/>
      <c r="II1045"/>
      <c r="IJ1045"/>
      <c r="IK1045"/>
      <c r="IL1045"/>
      <c r="IM1045"/>
    </row>
    <row r="1046" spans="1:247" s="3" customFormat="1" ht="20.25" customHeight="1" x14ac:dyDescent="0.25">
      <c r="A1046" s="75">
        <v>37386</v>
      </c>
      <c r="B1046" s="76">
        <v>203.55864</v>
      </c>
      <c r="C1046" s="76">
        <f t="shared" si="556"/>
        <v>203.04974340000001</v>
      </c>
      <c r="D1046" s="76">
        <f t="shared" si="557"/>
        <v>204.06753659999998</v>
      </c>
      <c r="E1046" s="78">
        <f>2603.295/1800.553*100</f>
        <v>144.58308086460104</v>
      </c>
      <c r="F1046" s="76">
        <v>2603.2950000000001</v>
      </c>
      <c r="G1046" s="84">
        <v>7.6328999999999994E-2</v>
      </c>
      <c r="H1046" s="78">
        <v>107.63290000000001</v>
      </c>
      <c r="I1046" s="78">
        <v>125.95442593058088</v>
      </c>
      <c r="J1046" s="79">
        <f t="shared" si="554"/>
        <v>127.64739434211776</v>
      </c>
      <c r="K1046" s="80">
        <f>K1047</f>
        <v>280383.07939999999</v>
      </c>
      <c r="L1046" s="83">
        <f>(K1046*B1046)/1000000</f>
        <v>57.074398321676014</v>
      </c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IH1046"/>
      <c r="II1046"/>
      <c r="IJ1046"/>
      <c r="IK1046"/>
      <c r="IL1046"/>
      <c r="IM1046"/>
    </row>
    <row r="1047" spans="1:247" s="3" customFormat="1" ht="20.25" customHeight="1" x14ac:dyDescent="0.25">
      <c r="A1047" s="75">
        <v>37378</v>
      </c>
      <c r="B1047" s="76">
        <v>201.11</v>
      </c>
      <c r="C1047" s="76">
        <f t="shared" si="556"/>
        <v>200.60722500000003</v>
      </c>
      <c r="D1047" s="76">
        <f t="shared" si="557"/>
        <v>201.612775</v>
      </c>
      <c r="E1047" s="78">
        <f>2645.079/1800.553*100</f>
        <v>146.90370125178208</v>
      </c>
      <c r="F1047" s="76">
        <v>2645.0790000000002</v>
      </c>
      <c r="G1047" s="84">
        <v>7.1498999999999993E-2</v>
      </c>
      <c r="H1047" s="78">
        <v>107.1499</v>
      </c>
      <c r="I1047" s="78">
        <v>125.89081566748162</v>
      </c>
      <c r="J1047" s="79">
        <f t="shared" si="554"/>
        <v>128.37200152904967</v>
      </c>
      <c r="K1047" s="80">
        <v>280383.07939999999</v>
      </c>
      <c r="L1047" s="83">
        <v>56.388240590000002</v>
      </c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IH1047"/>
      <c r="II1047"/>
      <c r="IJ1047"/>
      <c r="IK1047"/>
      <c r="IL1047"/>
      <c r="IM1047"/>
    </row>
    <row r="1048" spans="1:247" s="3" customFormat="1" ht="20.25" customHeight="1" x14ac:dyDescent="0.25">
      <c r="A1048" s="75">
        <v>37371</v>
      </c>
      <c r="B1048" s="76">
        <v>199.16506699999999</v>
      </c>
      <c r="C1048" s="76">
        <f t="shared" si="556"/>
        <v>198.66715433249999</v>
      </c>
      <c r="D1048" s="76">
        <f t="shared" si="557"/>
        <v>199.6629796675</v>
      </c>
      <c r="E1048" s="78">
        <f>2657.33/1800.553*100</f>
        <v>147.58410332825525</v>
      </c>
      <c r="F1048" s="76">
        <v>2657.33</v>
      </c>
      <c r="G1048" s="84">
        <v>6.8886000000000003E-2</v>
      </c>
      <c r="H1048" s="78">
        <v>106.8886</v>
      </c>
      <c r="I1048" s="78">
        <v>125.83537990616587</v>
      </c>
      <c r="J1048" s="79">
        <f t="shared" si="554"/>
        <v>128.51115761891577</v>
      </c>
      <c r="K1048" s="80">
        <f>K1049</f>
        <v>278844.31219999999</v>
      </c>
      <c r="L1048" s="83">
        <v>55.536046120000002</v>
      </c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IH1048"/>
      <c r="II1048"/>
      <c r="IJ1048"/>
      <c r="IK1048"/>
      <c r="IL1048"/>
      <c r="IM1048"/>
    </row>
    <row r="1049" spans="1:247" s="3" customFormat="1" ht="20.25" customHeight="1" x14ac:dyDescent="0.25">
      <c r="A1049" s="75">
        <v>37364</v>
      </c>
      <c r="B1049" s="76">
        <v>196.69749200000001</v>
      </c>
      <c r="C1049" s="76">
        <f t="shared" si="556"/>
        <v>196.20574827000002</v>
      </c>
      <c r="D1049" s="76">
        <f t="shared" si="557"/>
        <v>197.18923573000001</v>
      </c>
      <c r="E1049" s="78">
        <f>2709.296/1800.553*100</f>
        <v>150.47021665010692</v>
      </c>
      <c r="F1049" s="76">
        <v>2709.2959999999998</v>
      </c>
      <c r="G1049" s="84">
        <v>6.3080999999999998E-2</v>
      </c>
      <c r="H1049" s="78">
        <v>106.3081</v>
      </c>
      <c r="I1049" s="78">
        <v>125.77973073191555</v>
      </c>
      <c r="J1049" s="79">
        <f t="shared" si="554"/>
        <v>129.39883915595379</v>
      </c>
      <c r="K1049" s="80">
        <v>278844.31219999999</v>
      </c>
      <c r="L1049" s="83">
        <f>(K1049*B1049)/1000000</f>
        <v>54.847976868205002</v>
      </c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IH1049"/>
      <c r="II1049"/>
      <c r="IJ1049"/>
      <c r="IK1049"/>
      <c r="IL1049"/>
      <c r="IM1049"/>
    </row>
    <row r="1050" spans="1:247" s="3" customFormat="1" ht="20.25" customHeight="1" x14ac:dyDescent="0.25">
      <c r="A1050" s="75">
        <v>37357</v>
      </c>
      <c r="B1050" s="76">
        <v>195.55</v>
      </c>
      <c r="C1050" s="76">
        <f t="shared" si="556"/>
        <v>195.06112500000003</v>
      </c>
      <c r="D1050" s="76">
        <f t="shared" si="557"/>
        <v>196.03887499999999</v>
      </c>
      <c r="E1050" s="78">
        <f>2644.256/1800.553*100</f>
        <v>146.85799307212838</v>
      </c>
      <c r="F1050" s="76">
        <v>2644.2559999999999</v>
      </c>
      <c r="G1050" s="84">
        <v>5.7620999999999999E-2</v>
      </c>
      <c r="H1050" s="78">
        <v>105.76209999999999</v>
      </c>
      <c r="I1050" s="78">
        <v>125.72356631202661</v>
      </c>
      <c r="J1050" s="79">
        <f t="shared" si="554"/>
        <v>127.50166282399917</v>
      </c>
      <c r="K1050" s="80">
        <v>278574.2818</v>
      </c>
      <c r="L1050" s="83">
        <v>54.475297820000002</v>
      </c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IH1050"/>
      <c r="II1050"/>
      <c r="IJ1050"/>
      <c r="IK1050"/>
      <c r="IL1050"/>
      <c r="IM1050"/>
    </row>
    <row r="1051" spans="1:247" s="3" customFormat="1" ht="20.25" customHeight="1" x14ac:dyDescent="0.25">
      <c r="A1051" s="75">
        <v>37350</v>
      </c>
      <c r="B1051" s="76">
        <v>193.04</v>
      </c>
      <c r="C1051" s="76">
        <f t="shared" si="556"/>
        <v>192.5574</v>
      </c>
      <c r="D1051" s="76">
        <f t="shared" si="557"/>
        <v>193.52259999999998</v>
      </c>
      <c r="E1051" s="78">
        <f>2697.648/1800.553*100</f>
        <v>149.82330428485028</v>
      </c>
      <c r="F1051" s="76">
        <v>2697.6480000000001</v>
      </c>
      <c r="G1051" s="84">
        <v>5.6168000000000003E-2</v>
      </c>
      <c r="H1051" s="78">
        <v>105.6168</v>
      </c>
      <c r="I1051" s="78">
        <v>125.66624611038026</v>
      </c>
      <c r="J1051" s="79">
        <f t="shared" si="554"/>
        <v>128.6866304079393</v>
      </c>
      <c r="K1051" s="80">
        <v>278574.2818</v>
      </c>
      <c r="L1051" s="83">
        <v>53.776744440000002</v>
      </c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IH1051"/>
      <c r="II1051"/>
      <c r="IJ1051"/>
      <c r="IK1051"/>
      <c r="IL1051"/>
      <c r="IM1051"/>
    </row>
    <row r="1052" spans="1:247" s="3" customFormat="1" ht="20.25" customHeight="1" x14ac:dyDescent="0.25">
      <c r="A1052" s="75">
        <v>37343</v>
      </c>
      <c r="B1052" s="76">
        <v>191.2</v>
      </c>
      <c r="C1052" s="76">
        <f t="shared" si="556"/>
        <v>190.72200000000001</v>
      </c>
      <c r="D1052" s="76">
        <f t="shared" si="557"/>
        <v>191.67799999999997</v>
      </c>
      <c r="E1052" s="78">
        <f>2729.497/1800.553*100</f>
        <v>151.59214974510607</v>
      </c>
      <c r="F1052" s="76">
        <v>2729.4969999999998</v>
      </c>
      <c r="G1052" s="84">
        <v>5.0709999999999998E-2</v>
      </c>
      <c r="H1052" s="78">
        <v>105.071</v>
      </c>
      <c r="I1052" s="78">
        <v>125.61626357118236</v>
      </c>
      <c r="J1052" s="79">
        <f t="shared" si="554"/>
        <v>129.10453323250664</v>
      </c>
      <c r="K1052" s="80">
        <v>277896.06809999997</v>
      </c>
      <c r="L1052" s="83">
        <v>53.134551279999997</v>
      </c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IH1052"/>
      <c r="II1052"/>
      <c r="IJ1052"/>
      <c r="IK1052"/>
      <c r="IL1052"/>
      <c r="IM1052"/>
    </row>
    <row r="1053" spans="1:247" s="3" customFormat="1" ht="20.25" customHeight="1" x14ac:dyDescent="0.25">
      <c r="A1053" s="75">
        <v>37336</v>
      </c>
      <c r="B1053" s="76">
        <v>189.84</v>
      </c>
      <c r="C1053" s="76">
        <f t="shared" si="556"/>
        <v>189.36540000000002</v>
      </c>
      <c r="D1053" s="76">
        <f t="shared" si="557"/>
        <v>190.31459999999998</v>
      </c>
      <c r="E1053" s="78">
        <f>2739.924/1800.553*100</f>
        <v>152.17124961053631</v>
      </c>
      <c r="F1053" s="76">
        <v>2739.924</v>
      </c>
      <c r="G1053" s="84">
        <v>5.4844999999999998E-2</v>
      </c>
      <c r="H1053" s="78">
        <v>105.4845</v>
      </c>
      <c r="I1053" s="78">
        <v>125.54920859879584</v>
      </c>
      <c r="J1053" s="79">
        <f t="shared" si="554"/>
        <v>129.60517125945842</v>
      </c>
      <c r="K1053" s="80">
        <v>277501.995</v>
      </c>
      <c r="L1053" s="83">
        <f>(K1053*B1053)/1000000</f>
        <v>52.6809787308</v>
      </c>
      <c r="M1053" s="1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  <c r="AN1053" s="19"/>
      <c r="AO1053" s="19"/>
      <c r="AP1053" s="19"/>
      <c r="AQ1053" s="19"/>
      <c r="AR1053" s="19"/>
      <c r="AS1053" s="19"/>
      <c r="AT1053" s="19"/>
      <c r="AU1053" s="19"/>
      <c r="AV1053" s="19"/>
      <c r="AW1053" s="19"/>
      <c r="AX1053" s="19"/>
      <c r="AY1053" s="19"/>
      <c r="AZ1053" s="19"/>
      <c r="BA1053" s="19"/>
      <c r="BB1053" s="19"/>
      <c r="BC1053" s="19"/>
      <c r="BD1053" s="19"/>
      <c r="BE1053" s="19"/>
      <c r="BF1053" s="19"/>
      <c r="BG1053" s="19"/>
      <c r="BH1053" s="19"/>
      <c r="BI1053" s="19"/>
      <c r="BJ1053" s="19"/>
      <c r="BK1053" s="19"/>
      <c r="BL1053" s="19"/>
      <c r="BM1053" s="19"/>
      <c r="BN1053" s="19"/>
      <c r="BO1053" s="19"/>
      <c r="BP1053" s="19"/>
      <c r="BQ1053" s="19"/>
      <c r="BR1053" s="19"/>
      <c r="BS1053" s="19"/>
      <c r="BT1053" s="19"/>
      <c r="BU1053" s="19"/>
      <c r="BV1053" s="19"/>
      <c r="BW1053" s="19"/>
      <c r="BX1053" s="19"/>
      <c r="BY1053" s="19"/>
      <c r="BZ1053" s="19"/>
      <c r="CA1053" s="19"/>
      <c r="CB1053" s="19"/>
      <c r="CC1053" s="19"/>
      <c r="CD1053" s="19"/>
      <c r="CE1053" s="19"/>
      <c r="CF1053" s="19"/>
      <c r="CG1053" s="19"/>
      <c r="CH1053" s="19"/>
      <c r="CI1053" s="19"/>
      <c r="CJ1053" s="19"/>
      <c r="CK1053" s="19"/>
      <c r="CL1053" s="19"/>
      <c r="CM1053" s="19"/>
      <c r="CN1053" s="19"/>
      <c r="CO1053" s="19"/>
      <c r="CP1053" s="19"/>
      <c r="CQ1053" s="19"/>
      <c r="CR1053" s="19"/>
      <c r="CS1053" s="19"/>
      <c r="CT1053" s="19"/>
      <c r="CU1053" s="19"/>
      <c r="CV1053" s="19"/>
      <c r="CW1053" s="19"/>
      <c r="CX1053" s="19"/>
      <c r="CY1053" s="19"/>
      <c r="CZ1053" s="19"/>
      <c r="DA1053" s="19"/>
      <c r="DB1053" s="19"/>
      <c r="DC1053" s="19"/>
      <c r="DD1053" s="19"/>
      <c r="DE1053" s="19"/>
      <c r="DF1053" s="19"/>
      <c r="DG1053" s="19"/>
      <c r="DH1053" s="19"/>
      <c r="DI1053" s="19"/>
      <c r="DJ1053" s="19"/>
      <c r="DK1053" s="19"/>
      <c r="DL1053" s="19"/>
      <c r="DM1053" s="19"/>
      <c r="IH1053"/>
      <c r="II1053"/>
      <c r="IJ1053"/>
      <c r="IK1053"/>
      <c r="IL1053"/>
      <c r="IM1053"/>
    </row>
    <row r="1054" spans="1:247" s="3" customFormat="1" ht="20.25" customHeight="1" x14ac:dyDescent="0.25">
      <c r="A1054" s="75">
        <v>37329</v>
      </c>
      <c r="B1054" s="76">
        <v>188.337749</v>
      </c>
      <c r="C1054" s="76">
        <f t="shared" si="556"/>
        <v>187.86690462750002</v>
      </c>
      <c r="D1054" s="76">
        <f t="shared" si="557"/>
        <v>188.80859337249998</v>
      </c>
      <c r="E1054" s="78">
        <f>2738.312/1800.553*100</f>
        <v>152.08172155998739</v>
      </c>
      <c r="F1054" s="76">
        <v>2738.3119999999999</v>
      </c>
      <c r="G1054" s="84">
        <v>5.8459999999999998E-2</v>
      </c>
      <c r="H1054" s="78">
        <v>105.84599999999999</v>
      </c>
      <c r="I1054" s="78">
        <v>125.49110937478079</v>
      </c>
      <c r="J1054" s="79">
        <f t="shared" si="554"/>
        <v>129.78860509245007</v>
      </c>
      <c r="K1054" s="80">
        <v>276681.06400000001</v>
      </c>
      <c r="L1054" s="83">
        <f>(B1054*K1054)/1000000</f>
        <v>52.109488784684942</v>
      </c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2"/>
      <c r="AI1054" s="22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  <c r="CC1054" s="22"/>
      <c r="CD1054" s="22"/>
      <c r="CE1054" s="22"/>
      <c r="CF1054" s="22"/>
      <c r="CG1054" s="22"/>
      <c r="CH1054" s="22"/>
      <c r="CI1054" s="22"/>
      <c r="CJ1054" s="22"/>
      <c r="CK1054" s="22"/>
      <c r="CL1054" s="22"/>
      <c r="CM1054" s="22"/>
      <c r="CN1054" s="22"/>
      <c r="CO1054" s="22"/>
      <c r="CP1054" s="22"/>
      <c r="CQ1054" s="22"/>
      <c r="CR1054" s="22"/>
      <c r="CS1054" s="22"/>
      <c r="CT1054" s="22"/>
      <c r="CU1054" s="22"/>
      <c r="CV1054" s="22"/>
      <c r="CW1054" s="22"/>
      <c r="CX1054" s="22"/>
      <c r="CY1054" s="22"/>
      <c r="CZ1054" s="22"/>
      <c r="DA1054" s="22"/>
      <c r="DB1054" s="22"/>
      <c r="DC1054" s="22"/>
      <c r="DD1054" s="22"/>
      <c r="DE1054" s="22"/>
      <c r="DF1054" s="22"/>
      <c r="DG1054" s="22"/>
      <c r="DH1054" s="22"/>
      <c r="DI1054" s="22"/>
      <c r="DJ1054" s="22"/>
      <c r="DK1054" s="22"/>
      <c r="DL1054" s="22"/>
      <c r="DM1054" s="22"/>
      <c r="IH1054"/>
      <c r="II1054"/>
      <c r="IJ1054"/>
      <c r="IK1054"/>
      <c r="IL1054"/>
      <c r="IM1054"/>
    </row>
    <row r="1055" spans="1:247" s="3" customFormat="1" ht="20.25" customHeight="1" x14ac:dyDescent="0.25">
      <c r="A1055" s="75">
        <v>37322</v>
      </c>
      <c r="B1055" s="76">
        <v>187.68055799999999</v>
      </c>
      <c r="C1055" s="76">
        <f t="shared" si="556"/>
        <v>187.21135660499999</v>
      </c>
      <c r="D1055" s="76">
        <f t="shared" si="557"/>
        <v>188.14975939499999</v>
      </c>
      <c r="E1055" s="78">
        <f>2755.843/1800.553*100</f>
        <v>153.05536687895329</v>
      </c>
      <c r="F1055" s="76">
        <v>2755.8429999999998</v>
      </c>
      <c r="G1055" s="84">
        <v>6.0153999999999999E-2</v>
      </c>
      <c r="H1055" s="78">
        <v>106.0154</v>
      </c>
      <c r="I1055" s="78">
        <v>125.48</v>
      </c>
      <c r="J1055" s="79">
        <f t="shared" si="554"/>
        <v>130.30718036413811</v>
      </c>
      <c r="K1055" s="80">
        <v>257804.81409999999</v>
      </c>
      <c r="L1055" s="83">
        <v>48.384951350000001</v>
      </c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  <c r="AK1055" s="24"/>
      <c r="AL1055" s="24"/>
      <c r="AM1055" s="24"/>
      <c r="AN1055" s="24"/>
      <c r="AO1055" s="24"/>
      <c r="AP1055" s="24"/>
      <c r="AQ1055" s="24"/>
      <c r="AR1055" s="24"/>
      <c r="AS1055" s="24"/>
      <c r="AT1055" s="24"/>
      <c r="AU1055" s="24"/>
      <c r="AV1055" s="24"/>
      <c r="AW1055" s="24"/>
      <c r="AX1055" s="24"/>
      <c r="AY1055" s="24"/>
      <c r="AZ1055" s="24"/>
      <c r="BA1055" s="24"/>
      <c r="BB1055" s="24"/>
      <c r="BC1055" s="24"/>
      <c r="BD1055" s="24"/>
      <c r="BE1055" s="24"/>
      <c r="BF1055" s="24"/>
      <c r="BG1055" s="24"/>
      <c r="BH1055" s="24"/>
      <c r="BI1055" s="24"/>
      <c r="BJ1055" s="24"/>
      <c r="BK1055" s="24"/>
      <c r="BL1055" s="24"/>
      <c r="BM1055" s="24"/>
      <c r="BN1055" s="24"/>
      <c r="BO1055" s="24"/>
      <c r="BP1055" s="24"/>
      <c r="BQ1055" s="24"/>
      <c r="BR1055" s="24"/>
      <c r="BS1055" s="24"/>
      <c r="BT1055" s="24"/>
      <c r="BU1055" s="24"/>
      <c r="BV1055" s="24"/>
      <c r="BW1055" s="24"/>
      <c r="BX1055" s="24"/>
      <c r="BY1055" s="24"/>
      <c r="BZ1055" s="24"/>
      <c r="CA1055" s="24"/>
      <c r="CB1055" s="24"/>
      <c r="CC1055" s="24"/>
      <c r="CD1055" s="24"/>
      <c r="CE1055" s="24"/>
      <c r="CF1055" s="24"/>
      <c r="CG1055" s="24"/>
      <c r="CH1055" s="24"/>
      <c r="CI1055" s="24"/>
      <c r="CJ1055" s="24"/>
      <c r="CK1055" s="24"/>
      <c r="CL1055" s="24"/>
      <c r="CM1055" s="24"/>
      <c r="CN1055" s="24"/>
      <c r="CO1055" s="24"/>
      <c r="CP1055" s="24"/>
      <c r="CQ1055" s="24"/>
      <c r="CR1055" s="24"/>
      <c r="CS1055" s="24"/>
      <c r="CT1055" s="24"/>
      <c r="CU1055" s="24"/>
      <c r="CV1055" s="24"/>
      <c r="CW1055" s="24"/>
      <c r="CX1055" s="24"/>
      <c r="CY1055" s="24"/>
      <c r="CZ1055" s="24"/>
      <c r="DA1055" s="24"/>
      <c r="DB1055" s="24"/>
      <c r="DC1055" s="24"/>
      <c r="DD1055" s="24"/>
      <c r="DE1055" s="24"/>
      <c r="DF1055" s="24"/>
      <c r="DG1055" s="24"/>
      <c r="DH1055" s="24"/>
      <c r="DI1055" s="24"/>
      <c r="DJ1055" s="24"/>
      <c r="DK1055" s="24"/>
      <c r="DL1055" s="24"/>
      <c r="DM1055" s="24"/>
      <c r="IH1055"/>
      <c r="II1055"/>
      <c r="IJ1055"/>
      <c r="IK1055"/>
      <c r="IL1055"/>
      <c r="IM1055"/>
    </row>
    <row r="1056" spans="1:247" s="26" customFormat="1" ht="20.25" customHeight="1" x14ac:dyDescent="0.25">
      <c r="A1056" s="75">
        <v>37315</v>
      </c>
      <c r="B1056" s="76">
        <v>187.13353599999999</v>
      </c>
      <c r="C1056" s="76">
        <f t="shared" si="556"/>
        <v>186.66570216</v>
      </c>
      <c r="D1056" s="76">
        <f t="shared" si="557"/>
        <v>187.60136983999999</v>
      </c>
      <c r="E1056" s="78">
        <f>2608.413/1800.553*100</f>
        <v>144.86732687124456</v>
      </c>
      <c r="F1056" s="76">
        <v>2608.413</v>
      </c>
      <c r="G1056" s="84">
        <v>4.0023000000000003E-2</v>
      </c>
      <c r="H1056" s="78">
        <v>104.00229999999999</v>
      </c>
      <c r="I1056" s="78">
        <v>125.47</v>
      </c>
      <c r="J1056" s="79">
        <f t="shared" si="554"/>
        <v>125.54420520927505</v>
      </c>
      <c r="K1056" s="80">
        <f>257454.4649</f>
        <v>257454.46489999999</v>
      </c>
      <c r="L1056" s="83">
        <f>B1056*K1056/1000000</f>
        <v>48.178364375724883</v>
      </c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  <c r="DE1056" s="5"/>
      <c r="DF1056" s="5"/>
      <c r="DG1056" s="5"/>
      <c r="DH1056" s="5"/>
      <c r="DI1056" s="5"/>
      <c r="DJ1056" s="5"/>
      <c r="DK1056" s="5"/>
      <c r="DL1056" s="5"/>
      <c r="DM1056" s="5"/>
      <c r="DN1056" s="19"/>
      <c r="DO1056" s="19"/>
      <c r="DP1056" s="19"/>
      <c r="DQ1056" s="19"/>
      <c r="DR1056" s="19"/>
      <c r="DS1056" s="19"/>
      <c r="DT1056" s="19"/>
      <c r="DU1056" s="19"/>
      <c r="DV1056" s="19"/>
      <c r="DW1056" s="19"/>
      <c r="DX1056" s="19"/>
      <c r="DY1056" s="19"/>
      <c r="DZ1056" s="19"/>
      <c r="EA1056" s="19"/>
      <c r="EB1056" s="19"/>
      <c r="EC1056" s="19"/>
      <c r="ED1056" s="19"/>
      <c r="EE1056" s="19"/>
      <c r="EF1056" s="19"/>
      <c r="EG1056" s="19"/>
      <c r="EH1056" s="19"/>
      <c r="EI1056" s="19"/>
      <c r="EJ1056" s="19"/>
      <c r="EK1056" s="19"/>
      <c r="EL1056" s="19"/>
      <c r="EM1056" s="19"/>
      <c r="EN1056" s="19"/>
      <c r="EO1056" s="19"/>
      <c r="EP1056" s="19"/>
      <c r="EQ1056" s="19"/>
      <c r="ER1056" s="19"/>
      <c r="ES1056" s="19"/>
      <c r="ET1056" s="19"/>
      <c r="EU1056" s="19"/>
      <c r="EV1056" s="19"/>
      <c r="EW1056" s="19"/>
      <c r="EX1056" s="19"/>
      <c r="EY1056" s="19"/>
      <c r="EZ1056" s="19"/>
      <c r="FA1056" s="19"/>
      <c r="FB1056" s="19"/>
      <c r="FC1056" s="19"/>
      <c r="FD1056" s="19"/>
      <c r="FE1056" s="19"/>
      <c r="FF1056" s="19"/>
      <c r="FG1056" s="19"/>
      <c r="FH1056" s="19"/>
      <c r="FI1056" s="19"/>
      <c r="FJ1056" s="19"/>
      <c r="FK1056" s="19"/>
      <c r="FL1056" s="19"/>
      <c r="FM1056" s="19"/>
      <c r="FN1056" s="19"/>
      <c r="FO1056" s="19"/>
      <c r="FP1056" s="19"/>
      <c r="FQ1056" s="19"/>
      <c r="FR1056" s="19"/>
      <c r="FS1056" s="19"/>
      <c r="FT1056" s="19"/>
      <c r="FU1056" s="19"/>
      <c r="FV1056" s="19"/>
      <c r="FW1056" s="19"/>
      <c r="FX1056" s="19"/>
      <c r="FY1056" s="19"/>
      <c r="FZ1056" s="19"/>
      <c r="GA1056" s="19"/>
      <c r="GB1056" s="19"/>
      <c r="GC1056" s="19"/>
      <c r="GD1056" s="19"/>
      <c r="GE1056" s="19"/>
      <c r="GF1056" s="19"/>
      <c r="GG1056" s="19"/>
      <c r="GH1056" s="19"/>
      <c r="GI1056" s="19"/>
      <c r="GJ1056" s="19"/>
      <c r="GK1056" s="19"/>
      <c r="GL1056" s="19"/>
      <c r="GM1056" s="19"/>
      <c r="GN1056" s="19"/>
      <c r="GO1056" s="19"/>
      <c r="GP1056" s="19"/>
      <c r="GQ1056" s="19"/>
      <c r="GR1056" s="19"/>
      <c r="GS1056" s="19"/>
      <c r="GT1056" s="19"/>
      <c r="GU1056" s="19"/>
      <c r="GV1056" s="19"/>
      <c r="GW1056" s="19"/>
      <c r="GX1056" s="19"/>
      <c r="GY1056" s="19"/>
      <c r="GZ1056" s="19"/>
      <c r="HA1056" s="19"/>
      <c r="HB1056" s="19"/>
      <c r="HC1056" s="19"/>
      <c r="HD1056" s="19"/>
      <c r="HE1056" s="19"/>
      <c r="HF1056" s="19"/>
      <c r="HG1056" s="19"/>
      <c r="HH1056" s="19"/>
      <c r="HI1056" s="19"/>
      <c r="HJ1056" s="19"/>
      <c r="IH1056"/>
      <c r="II1056"/>
      <c r="IJ1056"/>
      <c r="IK1056"/>
      <c r="IL1056"/>
      <c r="IM1056"/>
    </row>
    <row r="1057" spans="1:247" s="3" customFormat="1" ht="20.25" customHeight="1" x14ac:dyDescent="0.25">
      <c r="A1057" s="75">
        <v>37308</v>
      </c>
      <c r="B1057" s="76">
        <v>186.67</v>
      </c>
      <c r="C1057" s="76">
        <f t="shared" si="556"/>
        <v>186.20332500000001</v>
      </c>
      <c r="D1057" s="76">
        <f t="shared" si="557"/>
        <v>187.13667499999997</v>
      </c>
      <c r="E1057" s="78">
        <f>2552.182/1800.553*100</f>
        <v>141.74434187718992</v>
      </c>
      <c r="F1057" s="76">
        <v>2552.1819999999998</v>
      </c>
      <c r="G1057" s="84">
        <v>4.0924000000000002E-2</v>
      </c>
      <c r="H1057" s="78">
        <v>104.0924</v>
      </c>
      <c r="I1057" s="78">
        <v>125.46</v>
      </c>
      <c r="J1057" s="79">
        <f t="shared" si="554"/>
        <v>124.22942664382958</v>
      </c>
      <c r="K1057" s="80">
        <f>257454.4649</f>
        <v>257454.46489999999</v>
      </c>
      <c r="L1057" s="83">
        <v>48.05952723</v>
      </c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2"/>
      <c r="AI1057" s="22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  <c r="CC1057" s="22"/>
      <c r="CD1057" s="22"/>
      <c r="CE1057" s="22"/>
      <c r="CF1057" s="22"/>
      <c r="CG1057" s="22"/>
      <c r="CH1057" s="22"/>
      <c r="CI1057" s="22"/>
      <c r="CJ1057" s="22"/>
      <c r="CK1057" s="22"/>
      <c r="CL1057" s="22"/>
      <c r="CM1057" s="22"/>
      <c r="CN1057" s="22"/>
      <c r="CO1057" s="22"/>
      <c r="CP1057" s="22"/>
      <c r="CQ1057" s="22"/>
      <c r="CR1057" s="22"/>
      <c r="CS1057" s="22"/>
      <c r="CT1057" s="22"/>
      <c r="CU1057" s="22"/>
      <c r="CV1057" s="22"/>
      <c r="CW1057" s="22"/>
      <c r="CX1057" s="22"/>
      <c r="CY1057" s="22"/>
      <c r="CZ1057" s="22"/>
      <c r="DA1057" s="22"/>
      <c r="DB1057" s="22"/>
      <c r="DC1057" s="22"/>
      <c r="DD1057" s="22"/>
      <c r="DE1057" s="22"/>
      <c r="DF1057" s="22"/>
      <c r="DG1057" s="22"/>
      <c r="DH1057" s="22"/>
      <c r="DI1057" s="22"/>
      <c r="DJ1057" s="22"/>
      <c r="DK1057" s="22"/>
      <c r="DL1057" s="22"/>
      <c r="DM1057" s="22"/>
      <c r="DN1057" s="22"/>
      <c r="DO1057" s="22"/>
      <c r="DP1057" s="22"/>
      <c r="DQ1057" s="22"/>
      <c r="DR1057" s="22"/>
      <c r="DS1057" s="22"/>
      <c r="DT1057" s="22"/>
      <c r="DU1057" s="22"/>
      <c r="DV1057" s="22"/>
      <c r="DW1057" s="22"/>
      <c r="DX1057" s="22"/>
      <c r="DY1057" s="22"/>
      <c r="DZ1057" s="22"/>
      <c r="EA1057" s="22"/>
      <c r="EB1057" s="22"/>
      <c r="EC1057" s="22"/>
      <c r="ED1057" s="22"/>
      <c r="EE1057" s="22"/>
      <c r="EF1057" s="22"/>
      <c r="EG1057" s="22"/>
      <c r="EH1057" s="22"/>
      <c r="EI1057" s="22"/>
      <c r="EJ1057" s="22"/>
      <c r="EK1057" s="22"/>
      <c r="EL1057" s="22"/>
      <c r="EM1057" s="22"/>
      <c r="EN1057" s="22"/>
      <c r="EO1057" s="22"/>
      <c r="EP1057" s="22"/>
      <c r="EQ1057" s="22"/>
      <c r="ER1057" s="22"/>
      <c r="ES1057" s="22"/>
      <c r="ET1057" s="22"/>
      <c r="EU1057" s="22"/>
      <c r="EV1057" s="22"/>
      <c r="EW1057" s="22"/>
      <c r="EX1057" s="22"/>
      <c r="EY1057" s="22"/>
      <c r="EZ1057" s="22"/>
      <c r="FA1057" s="22"/>
      <c r="FB1057" s="22"/>
      <c r="FC1057" s="22"/>
      <c r="FD1057" s="22"/>
      <c r="FE1057" s="22"/>
      <c r="FF1057" s="22"/>
      <c r="FG1057" s="22"/>
      <c r="FH1057" s="22"/>
      <c r="FI1057" s="22"/>
      <c r="FJ1057" s="22"/>
      <c r="FK1057" s="22"/>
      <c r="FL1057" s="22"/>
      <c r="FM1057" s="22"/>
      <c r="FN1057" s="22"/>
      <c r="FO1057" s="22"/>
      <c r="FP1057" s="22"/>
      <c r="FQ1057" s="22"/>
      <c r="FR1057" s="22"/>
      <c r="FS1057" s="22"/>
      <c r="FT1057" s="22"/>
      <c r="FU1057" s="22"/>
      <c r="FV1057" s="22"/>
      <c r="FW1057" s="22"/>
      <c r="FX1057" s="22"/>
      <c r="FY1057" s="22"/>
      <c r="FZ1057" s="22"/>
      <c r="GA1057" s="22"/>
      <c r="GB1057" s="22"/>
      <c r="GC1057" s="22"/>
      <c r="GD1057" s="22"/>
      <c r="GE1057" s="22"/>
      <c r="GF1057" s="22"/>
      <c r="GG1057" s="22"/>
      <c r="GH1057" s="22"/>
      <c r="GI1057" s="22"/>
      <c r="GJ1057" s="22"/>
      <c r="GK1057" s="22"/>
      <c r="GL1057" s="22"/>
      <c r="GM1057" s="22"/>
      <c r="GN1057" s="22"/>
      <c r="GO1057" s="22"/>
      <c r="GP1057" s="22"/>
      <c r="GQ1057" s="22"/>
      <c r="GR1057" s="22"/>
      <c r="GS1057" s="22"/>
      <c r="GT1057" s="22"/>
      <c r="GU1057" s="22"/>
      <c r="GV1057" s="22"/>
      <c r="GW1057" s="22"/>
      <c r="GX1057" s="22"/>
      <c r="GY1057" s="22"/>
      <c r="GZ1057" s="22"/>
      <c r="HA1057" s="22"/>
      <c r="HB1057" s="22"/>
      <c r="HC1057" s="22"/>
      <c r="HD1057" s="22"/>
      <c r="HE1057" s="22"/>
      <c r="HF1057" s="22"/>
      <c r="HG1057" s="22"/>
      <c r="HH1057" s="22"/>
      <c r="HI1057" s="22"/>
      <c r="HJ1057" s="22"/>
      <c r="IH1057"/>
      <c r="II1057"/>
      <c r="IJ1057"/>
      <c r="IK1057"/>
      <c r="IL1057"/>
      <c r="IM1057"/>
    </row>
    <row r="1058" spans="1:247" s="25" customFormat="1" ht="20.25" customHeight="1" x14ac:dyDescent="0.25">
      <c r="A1058" s="75">
        <v>37301</v>
      </c>
      <c r="B1058" s="76">
        <v>186.10763700000001</v>
      </c>
      <c r="C1058" s="76">
        <f t="shared" si="556"/>
        <v>185.64236790750002</v>
      </c>
      <c r="D1058" s="76">
        <f t="shared" si="557"/>
        <v>186.57290609250001</v>
      </c>
      <c r="E1058" s="78">
        <f>2627.147/1800.553*100</f>
        <v>145.90778499716475</v>
      </c>
      <c r="F1058" s="76">
        <v>2627.1469999999999</v>
      </c>
      <c r="G1058" s="84">
        <v>4.4339743250460001E-2</v>
      </c>
      <c r="H1058" s="78">
        <v>104.43397432504599</v>
      </c>
      <c r="I1058" s="78">
        <v>125.45</v>
      </c>
      <c r="J1058" s="79">
        <f t="shared" si="554"/>
        <v>126.23693967664224</v>
      </c>
      <c r="K1058" s="80">
        <f>257454.4649</f>
        <v>257454.46489999999</v>
      </c>
      <c r="L1058" s="83">
        <f>47.91424202</f>
        <v>47.914242020000003</v>
      </c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  <c r="DE1058" s="5"/>
      <c r="DF1058" s="5"/>
      <c r="DG1058" s="5"/>
      <c r="DH1058" s="5"/>
      <c r="DI1058" s="5"/>
      <c r="DJ1058" s="5"/>
      <c r="DK1058" s="5"/>
      <c r="DL1058" s="5"/>
      <c r="DM1058" s="5"/>
      <c r="DN1058" s="24"/>
      <c r="DO1058" s="24"/>
      <c r="DP1058" s="24"/>
      <c r="DQ1058" s="24"/>
      <c r="DR1058" s="24"/>
      <c r="DS1058" s="24"/>
      <c r="DT1058" s="24"/>
      <c r="DU1058" s="24"/>
      <c r="DV1058" s="24"/>
      <c r="DW1058" s="24"/>
      <c r="DX1058" s="24"/>
      <c r="DY1058" s="24"/>
      <c r="DZ1058" s="24"/>
      <c r="EA1058" s="24"/>
      <c r="EB1058" s="24"/>
      <c r="EC1058" s="24"/>
      <c r="ED1058" s="24"/>
      <c r="EE1058" s="24"/>
      <c r="EF1058" s="24"/>
      <c r="EG1058" s="24"/>
      <c r="EH1058" s="24"/>
      <c r="EI1058" s="24"/>
      <c r="EJ1058" s="24"/>
      <c r="EK1058" s="24"/>
      <c r="EL1058" s="24"/>
      <c r="EM1058" s="24"/>
      <c r="EN1058" s="24"/>
      <c r="EO1058" s="24"/>
      <c r="EP1058" s="24"/>
      <c r="EQ1058" s="24"/>
      <c r="ER1058" s="24"/>
      <c r="ES1058" s="24"/>
      <c r="ET1058" s="24"/>
      <c r="EU1058" s="24"/>
      <c r="EV1058" s="24"/>
      <c r="EW1058" s="24"/>
      <c r="EX1058" s="24"/>
      <c r="EY1058" s="24"/>
      <c r="EZ1058" s="24"/>
      <c r="FA1058" s="24"/>
      <c r="FB1058" s="24"/>
      <c r="FC1058" s="24"/>
      <c r="FD1058" s="24"/>
      <c r="FE1058" s="24"/>
      <c r="FF1058" s="24"/>
      <c r="FG1058" s="24"/>
      <c r="FH1058" s="24"/>
      <c r="FI1058" s="24"/>
      <c r="FJ1058" s="24"/>
      <c r="FK1058" s="24"/>
      <c r="FL1058" s="24"/>
      <c r="FM1058" s="24"/>
      <c r="FN1058" s="24"/>
      <c r="FO1058" s="24"/>
      <c r="FP1058" s="24"/>
      <c r="FQ1058" s="24"/>
      <c r="FR1058" s="24"/>
      <c r="FS1058" s="24"/>
      <c r="FT1058" s="24"/>
      <c r="FU1058" s="24"/>
      <c r="FV1058" s="24"/>
      <c r="FW1058" s="24"/>
      <c r="FX1058" s="24"/>
      <c r="FY1058" s="24"/>
      <c r="FZ1058" s="24"/>
      <c r="GA1058" s="24"/>
      <c r="GB1058" s="24"/>
      <c r="GC1058" s="24"/>
      <c r="GD1058" s="24"/>
      <c r="GE1058" s="24"/>
      <c r="GF1058" s="24"/>
      <c r="GG1058" s="24"/>
      <c r="GH1058" s="24"/>
      <c r="GI1058" s="24"/>
      <c r="GJ1058" s="24"/>
      <c r="GK1058" s="24"/>
      <c r="GL1058" s="24"/>
      <c r="GM1058" s="24"/>
      <c r="GN1058" s="24"/>
      <c r="GO1058" s="24"/>
      <c r="GP1058" s="24"/>
      <c r="GQ1058" s="24"/>
      <c r="GR1058" s="24"/>
      <c r="GS1058" s="24"/>
      <c r="GT1058" s="24"/>
      <c r="GU1058" s="24"/>
      <c r="GV1058" s="24"/>
      <c r="GW1058" s="24"/>
      <c r="GX1058" s="24"/>
      <c r="GY1058" s="24"/>
      <c r="GZ1058" s="24"/>
      <c r="HA1058" s="24"/>
      <c r="HB1058" s="24"/>
      <c r="HC1058" s="24"/>
      <c r="HD1058" s="24"/>
      <c r="HE1058" s="24"/>
      <c r="HF1058" s="24"/>
      <c r="HG1058" s="24"/>
      <c r="HH1058" s="24"/>
      <c r="HI1058" s="24"/>
      <c r="HJ1058" s="24"/>
      <c r="IH1058"/>
      <c r="II1058"/>
      <c r="IJ1058"/>
      <c r="IK1058"/>
      <c r="IL1058"/>
      <c r="IM1058"/>
    </row>
    <row r="1059" spans="1:247" s="6" customFormat="1" ht="20.25" customHeight="1" x14ac:dyDescent="0.25">
      <c r="A1059" s="75">
        <v>37294</v>
      </c>
      <c r="B1059" s="76">
        <v>184.91</v>
      </c>
      <c r="C1059" s="76">
        <f t="shared" si="556"/>
        <v>184.44772500000002</v>
      </c>
      <c r="D1059" s="76">
        <f t="shared" si="557"/>
        <v>185.37227499999997</v>
      </c>
      <c r="E1059" s="78">
        <f>2541.929/1800.553*100</f>
        <v>141.1749057095237</v>
      </c>
      <c r="F1059" s="76">
        <v>2541.9290000000001</v>
      </c>
      <c r="G1059" s="84">
        <v>4.1107661358803997E-2</v>
      </c>
      <c r="H1059" s="78">
        <v>104.1107661358804</v>
      </c>
      <c r="I1059" s="78">
        <v>125.44008367891668</v>
      </c>
      <c r="J1059" s="79">
        <f t="shared" si="554"/>
        <v>123.96653000337776</v>
      </c>
      <c r="K1059" s="80">
        <f>K1060</f>
        <v>257049.86869999999</v>
      </c>
      <c r="L1059" s="83">
        <v>47.53133184</v>
      </c>
      <c r="M1059" s="18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  <c r="AN1059" s="19"/>
      <c r="AO1059" s="19"/>
      <c r="AP1059" s="19"/>
      <c r="AQ1059" s="19"/>
      <c r="AR1059" s="19"/>
      <c r="AS1059" s="19"/>
      <c r="AT1059" s="19"/>
      <c r="AU1059" s="19"/>
      <c r="AV1059" s="19"/>
      <c r="AW1059" s="19"/>
      <c r="AX1059" s="19"/>
      <c r="AY1059" s="19"/>
      <c r="AZ1059" s="19"/>
      <c r="BA1059" s="19"/>
      <c r="BB1059" s="19"/>
      <c r="BC1059" s="19"/>
      <c r="BD1059" s="19"/>
      <c r="BE1059" s="19"/>
      <c r="BF1059" s="19"/>
      <c r="BG1059" s="19"/>
      <c r="BH1059" s="19"/>
      <c r="BI1059" s="19"/>
      <c r="BJ1059" s="19"/>
      <c r="BK1059" s="19"/>
      <c r="BL1059" s="19"/>
      <c r="BM1059" s="19"/>
      <c r="BN1059" s="19"/>
      <c r="BO1059" s="19"/>
      <c r="BP1059" s="19"/>
      <c r="BQ1059" s="19"/>
      <c r="BR1059" s="19"/>
      <c r="BS1059" s="19"/>
      <c r="BT1059" s="19"/>
      <c r="BU1059" s="19"/>
      <c r="BV1059" s="19"/>
      <c r="BW1059" s="19"/>
      <c r="BX1059" s="19"/>
      <c r="BY1059" s="19"/>
      <c r="BZ1059" s="19"/>
      <c r="CA1059" s="19"/>
      <c r="CB1059" s="19"/>
      <c r="CC1059" s="19"/>
      <c r="CD1059" s="19"/>
      <c r="CE1059" s="19"/>
      <c r="CF1059" s="19"/>
      <c r="CG1059" s="19"/>
      <c r="CH1059" s="19"/>
      <c r="CI1059" s="19"/>
      <c r="CJ1059" s="19"/>
      <c r="CK1059" s="19"/>
      <c r="CL1059" s="19"/>
      <c r="CM1059" s="19"/>
      <c r="CN1059" s="19"/>
      <c r="CO1059" s="19"/>
      <c r="CP1059" s="19"/>
      <c r="CQ1059" s="19"/>
      <c r="CR1059" s="19"/>
      <c r="CS1059" s="19"/>
      <c r="CT1059" s="19"/>
      <c r="CU1059" s="19"/>
      <c r="CV1059" s="19"/>
      <c r="CW1059" s="19"/>
      <c r="CX1059" s="19"/>
      <c r="CY1059" s="19"/>
      <c r="CZ1059" s="19"/>
      <c r="DA1059" s="19"/>
      <c r="DB1059" s="19"/>
      <c r="DC1059" s="19"/>
      <c r="DD1059" s="19"/>
      <c r="DE1059" s="19"/>
      <c r="DF1059" s="19"/>
      <c r="DG1059" s="19"/>
      <c r="DH1059" s="19"/>
      <c r="DI1059" s="19"/>
      <c r="DJ1059" s="19"/>
      <c r="DK1059" s="19"/>
      <c r="DL1059" s="19"/>
      <c r="DM1059" s="19"/>
      <c r="DN1059" s="5"/>
      <c r="DO1059" s="5"/>
      <c r="DP1059" s="5"/>
      <c r="DQ1059" s="5"/>
      <c r="DR1059" s="5"/>
      <c r="DS1059" s="5"/>
      <c r="DT1059" s="5"/>
      <c r="DU1059" s="5"/>
      <c r="DV1059" s="5"/>
      <c r="DW1059" s="5"/>
      <c r="DX1059" s="5"/>
      <c r="DY1059" s="5"/>
      <c r="DZ1059" s="5"/>
      <c r="EA1059" s="5"/>
      <c r="EB1059" s="5"/>
      <c r="EC1059" s="5"/>
      <c r="ED1059" s="5"/>
      <c r="EE1059" s="5"/>
      <c r="EF1059" s="5"/>
      <c r="EG1059" s="5"/>
      <c r="EH1059" s="5"/>
      <c r="EI1059" s="5"/>
      <c r="EJ1059" s="5"/>
      <c r="EK1059" s="5"/>
      <c r="EL1059" s="5"/>
      <c r="EM1059" s="5"/>
      <c r="EN1059" s="5"/>
      <c r="EO1059" s="5"/>
      <c r="EP1059" s="5"/>
      <c r="EQ1059" s="5"/>
      <c r="ER1059" s="5"/>
      <c r="ES1059" s="5"/>
      <c r="ET1059" s="5"/>
      <c r="EU1059" s="5"/>
      <c r="EV1059" s="5"/>
      <c r="EW1059" s="5"/>
      <c r="EX1059" s="5"/>
      <c r="EY1059" s="5"/>
      <c r="EZ1059" s="5"/>
      <c r="FA1059" s="5"/>
      <c r="FB1059" s="5"/>
      <c r="FC1059" s="5"/>
      <c r="FD1059" s="5"/>
      <c r="FE1059" s="5"/>
      <c r="FF1059" s="5"/>
      <c r="FG1059" s="5"/>
      <c r="FH1059" s="5"/>
      <c r="FI1059" s="5"/>
      <c r="FJ1059" s="5"/>
      <c r="FK1059" s="5"/>
      <c r="FL1059" s="5"/>
      <c r="FM1059" s="5"/>
      <c r="FN1059" s="5"/>
      <c r="FO1059" s="5"/>
      <c r="FP1059" s="5"/>
      <c r="FQ1059" s="5"/>
      <c r="FR1059" s="5"/>
      <c r="FS1059" s="5"/>
      <c r="FT1059" s="5"/>
      <c r="FU1059" s="5"/>
      <c r="FV1059" s="5"/>
      <c r="FW1059" s="5"/>
      <c r="FX1059" s="5"/>
      <c r="FY1059" s="5"/>
      <c r="FZ1059" s="5"/>
      <c r="GA1059" s="5"/>
      <c r="GB1059" s="5"/>
      <c r="GC1059" s="5"/>
      <c r="GD1059" s="5"/>
      <c r="GE1059" s="5"/>
      <c r="GF1059" s="5"/>
      <c r="GG1059" s="5"/>
      <c r="GH1059" s="5"/>
      <c r="GI1059" s="5"/>
      <c r="GJ1059" s="5"/>
      <c r="GK1059" s="5"/>
      <c r="GL1059" s="5"/>
      <c r="GM1059" s="5"/>
      <c r="GN1059" s="5"/>
      <c r="GO1059" s="5"/>
      <c r="GP1059" s="5"/>
      <c r="GQ1059" s="5"/>
      <c r="GR1059" s="5"/>
      <c r="GS1059" s="5"/>
      <c r="GT1059" s="5"/>
      <c r="GU1059" s="5"/>
      <c r="GV1059" s="5"/>
      <c r="GW1059" s="5"/>
      <c r="GX1059" s="5"/>
      <c r="GY1059" s="5"/>
      <c r="GZ1059" s="5"/>
      <c r="HA1059" s="5"/>
      <c r="HB1059" s="5"/>
      <c r="HC1059" s="5"/>
      <c r="HD1059" s="5"/>
      <c r="HE1059" s="5"/>
      <c r="HF1059" s="5"/>
      <c r="HG1059" s="5"/>
      <c r="HH1059" s="5"/>
      <c r="HI1059" s="5"/>
      <c r="HJ1059" s="5"/>
      <c r="IH1059"/>
      <c r="II1059"/>
      <c r="IJ1059"/>
      <c r="IK1059"/>
      <c r="IL1059"/>
      <c r="IM1059"/>
    </row>
    <row r="1060" spans="1:247" s="3" customFormat="1" ht="20.25" customHeight="1" x14ac:dyDescent="0.25">
      <c r="A1060" s="75">
        <v>37287</v>
      </c>
      <c r="B1060" s="76">
        <v>182.30073999999999</v>
      </c>
      <c r="C1060" s="76">
        <f t="shared" si="556"/>
        <v>181.84498815000001</v>
      </c>
      <c r="D1060" s="76">
        <f t="shared" si="557"/>
        <v>182.75649184999997</v>
      </c>
      <c r="E1060" s="78">
        <f>2630.77/1800.553*100</f>
        <v>146.10900095692821</v>
      </c>
      <c r="F1060" s="76">
        <v>2630.77</v>
      </c>
      <c r="G1060" s="84">
        <v>3.6732563614244151E-2</v>
      </c>
      <c r="H1060" s="78">
        <v>103.67325636142442</v>
      </c>
      <c r="I1060" s="78">
        <v>125.39210391567099</v>
      </c>
      <c r="J1060" s="79">
        <f t="shared" si="554"/>
        <v>125.82559547719046</v>
      </c>
      <c r="K1060" s="80">
        <v>257049.86869999999</v>
      </c>
      <c r="L1060" s="83">
        <f>(K1060*B1060)/1000000</f>
        <v>46.860381280912833</v>
      </c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  <c r="AK1060" s="8"/>
      <c r="AL1060" s="8"/>
      <c r="AM1060" s="8"/>
      <c r="AN1060" s="8"/>
      <c r="AO1060" s="8"/>
      <c r="AP1060" s="8"/>
      <c r="AQ1060" s="8"/>
      <c r="AR1060" s="8"/>
      <c r="AS1060" s="8"/>
      <c r="AT1060" s="8"/>
      <c r="AU1060" s="8"/>
      <c r="AV1060" s="8"/>
      <c r="AW1060" s="8"/>
      <c r="AX1060" s="8"/>
      <c r="AY1060" s="8"/>
      <c r="AZ1060" s="8"/>
      <c r="BA1060" s="8"/>
      <c r="BB1060" s="8"/>
      <c r="BC1060" s="8"/>
      <c r="BD1060" s="8"/>
      <c r="BE1060" s="8"/>
      <c r="BF1060" s="8"/>
      <c r="BG1060" s="8"/>
      <c r="BH1060" s="8"/>
      <c r="BI1060" s="8"/>
      <c r="BJ1060" s="8"/>
      <c r="BK1060" s="8"/>
      <c r="BL1060" s="8"/>
      <c r="BM1060" s="8"/>
      <c r="BN1060" s="8"/>
      <c r="BO1060" s="8"/>
      <c r="BP1060" s="8"/>
      <c r="BQ1060" s="8"/>
      <c r="BR1060" s="8"/>
      <c r="BS1060" s="8"/>
      <c r="BT1060" s="8"/>
      <c r="BU1060" s="8"/>
      <c r="BV1060" s="8"/>
      <c r="BW1060" s="8"/>
      <c r="BX1060" s="8"/>
      <c r="BY1060" s="8"/>
      <c r="BZ1060" s="8"/>
      <c r="CA1060" s="8"/>
      <c r="CB1060" s="8"/>
      <c r="CC1060" s="8"/>
      <c r="CD1060" s="8"/>
      <c r="CE1060" s="8"/>
      <c r="CF1060" s="8"/>
      <c r="CG1060" s="8"/>
      <c r="CH1060" s="8"/>
      <c r="CI1060" s="8"/>
      <c r="CJ1060" s="8"/>
      <c r="CK1060" s="8"/>
      <c r="CL1060" s="8"/>
      <c r="CM1060" s="8"/>
      <c r="CN1060" s="8"/>
      <c r="CO1060" s="8"/>
      <c r="CP1060" s="8"/>
      <c r="CQ1060" s="8"/>
      <c r="CR1060" s="8"/>
      <c r="CS1060" s="8"/>
      <c r="CT1060" s="8"/>
      <c r="CU1060" s="8"/>
      <c r="CV1060" s="8"/>
      <c r="CW1060" s="8"/>
      <c r="CX1060" s="8"/>
      <c r="CY1060" s="8"/>
      <c r="CZ1060" s="8"/>
      <c r="DA1060" s="8"/>
      <c r="DB1060" s="8"/>
      <c r="DC1060" s="8"/>
      <c r="DD1060" s="8"/>
      <c r="DE1060" s="8"/>
      <c r="DF1060" s="8"/>
      <c r="DG1060" s="8"/>
      <c r="DH1060" s="8"/>
      <c r="DI1060" s="8"/>
      <c r="DJ1060" s="8"/>
      <c r="DK1060" s="8"/>
      <c r="DL1060" s="8"/>
      <c r="DM1060" s="8"/>
      <c r="DN1060" s="22"/>
      <c r="DO1060" s="22"/>
      <c r="DP1060" s="22"/>
      <c r="DQ1060" s="22"/>
      <c r="DR1060" s="22"/>
      <c r="DS1060" s="22"/>
      <c r="DT1060" s="22"/>
      <c r="DU1060" s="22"/>
      <c r="DV1060" s="22"/>
      <c r="DW1060" s="22"/>
      <c r="DX1060" s="22"/>
      <c r="DY1060" s="22"/>
      <c r="DZ1060" s="22"/>
      <c r="EA1060" s="22"/>
      <c r="EB1060" s="22"/>
      <c r="EC1060" s="22"/>
      <c r="ED1060" s="22"/>
      <c r="EE1060" s="22"/>
      <c r="EF1060" s="22"/>
      <c r="EG1060" s="22"/>
      <c r="EH1060" s="22"/>
      <c r="EI1060" s="22"/>
      <c r="EJ1060" s="22"/>
      <c r="EK1060" s="22"/>
      <c r="EL1060" s="22"/>
      <c r="EM1060" s="22"/>
      <c r="EN1060" s="22"/>
      <c r="EO1060" s="22"/>
      <c r="EP1060" s="22"/>
      <c r="EQ1060" s="22"/>
      <c r="ER1060" s="22"/>
      <c r="ES1060" s="22"/>
      <c r="ET1060" s="22"/>
      <c r="EU1060" s="22"/>
      <c r="EV1060" s="22"/>
      <c r="EW1060" s="22"/>
      <c r="EX1060" s="22"/>
      <c r="EY1060" s="22"/>
      <c r="EZ1060" s="22"/>
      <c r="FA1060" s="22"/>
      <c r="FB1060" s="22"/>
      <c r="FC1060" s="22"/>
      <c r="FD1060" s="22"/>
      <c r="FE1060" s="22"/>
      <c r="FF1060" s="22"/>
      <c r="FG1060" s="22"/>
      <c r="FH1060" s="22"/>
      <c r="FI1060" s="22"/>
      <c r="FJ1060" s="22"/>
      <c r="FK1060" s="22"/>
      <c r="FL1060" s="22"/>
      <c r="FM1060" s="22"/>
      <c r="FN1060" s="22"/>
      <c r="FO1060" s="22"/>
      <c r="FP1060" s="22"/>
      <c r="FQ1060" s="22"/>
      <c r="FR1060" s="22"/>
      <c r="FS1060" s="22"/>
      <c r="FT1060" s="22"/>
      <c r="FU1060" s="22"/>
      <c r="FV1060" s="22"/>
      <c r="FW1060" s="22"/>
      <c r="FX1060" s="22"/>
      <c r="FY1060" s="22"/>
      <c r="FZ1060" s="22"/>
      <c r="GA1060" s="22"/>
      <c r="GB1060" s="22"/>
      <c r="GC1060" s="22"/>
      <c r="GD1060" s="22"/>
      <c r="GE1060" s="22"/>
      <c r="GF1060" s="22"/>
      <c r="GG1060" s="22"/>
      <c r="GH1060" s="22"/>
      <c r="GI1060" s="22"/>
      <c r="GJ1060" s="22"/>
      <c r="GK1060" s="22"/>
      <c r="GL1060" s="22"/>
      <c r="GM1060" s="22"/>
      <c r="GN1060" s="22"/>
      <c r="GO1060" s="22"/>
      <c r="GP1060" s="22"/>
      <c r="GQ1060" s="22"/>
      <c r="GR1060" s="22"/>
      <c r="GS1060" s="22"/>
      <c r="GT1060" s="22"/>
      <c r="GU1060" s="22"/>
      <c r="GV1060" s="22"/>
      <c r="GW1060" s="22"/>
      <c r="GX1060" s="22"/>
      <c r="GY1060" s="22"/>
      <c r="GZ1060" s="22"/>
      <c r="HA1060" s="22"/>
      <c r="HB1060" s="22"/>
      <c r="HC1060" s="22"/>
      <c r="HD1060" s="22"/>
      <c r="HE1060" s="22"/>
      <c r="HF1060" s="22"/>
      <c r="HG1060" s="22"/>
      <c r="HH1060" s="22"/>
      <c r="HI1060" s="22"/>
      <c r="HJ1060" s="22"/>
      <c r="IH1060"/>
      <c r="II1060"/>
      <c r="IJ1060"/>
      <c r="IK1060"/>
      <c r="IL1060"/>
      <c r="IM1060"/>
    </row>
    <row r="1061" spans="1:247" s="6" customFormat="1" ht="20.25" customHeight="1" x14ac:dyDescent="0.25">
      <c r="A1061" s="75">
        <v>37280</v>
      </c>
      <c r="B1061" s="76">
        <v>181.81</v>
      </c>
      <c r="C1061" s="76">
        <f t="shared" si="556"/>
        <v>181.35547500000001</v>
      </c>
      <c r="D1061" s="76">
        <f t="shared" si="557"/>
        <v>182.26452499999999</v>
      </c>
      <c r="E1061" s="78">
        <f>2656.353/1800.553*100</f>
        <v>147.52984222069551</v>
      </c>
      <c r="F1061" s="76">
        <v>2656.3530000000001</v>
      </c>
      <c r="G1061" s="84">
        <v>4.2407609402625335E-2</v>
      </c>
      <c r="H1061" s="78">
        <v>104.24076094026253</v>
      </c>
      <c r="I1061" s="78">
        <v>125.34353229244239</v>
      </c>
      <c r="J1061" s="79">
        <f t="shared" si="554"/>
        <v>126.78121171930385</v>
      </c>
      <c r="K1061" s="80">
        <v>257049.86869999999</v>
      </c>
      <c r="L1061" s="83">
        <v>46.735066140000001</v>
      </c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10"/>
      <c r="Y1061" s="10"/>
      <c r="Z1061" s="10"/>
      <c r="AA1061" s="10"/>
      <c r="AB1061" s="10"/>
      <c r="AC1061" s="10"/>
      <c r="AD1061" s="10"/>
      <c r="AE1061" s="10"/>
      <c r="AF1061" s="10"/>
      <c r="AG1061" s="10"/>
      <c r="AH1061" s="10"/>
      <c r="AI1061" s="10"/>
      <c r="AJ1061" s="10"/>
      <c r="AK1061" s="10"/>
      <c r="AL1061" s="10"/>
      <c r="AM1061" s="10"/>
      <c r="AN1061" s="10"/>
      <c r="AO1061" s="10"/>
      <c r="AP1061" s="10"/>
      <c r="AQ1061" s="10"/>
      <c r="AR1061" s="10"/>
      <c r="AS1061" s="10"/>
      <c r="AT1061" s="10"/>
      <c r="AU1061" s="10"/>
      <c r="AV1061" s="10"/>
      <c r="AW1061" s="10"/>
      <c r="AX1061" s="10"/>
      <c r="AY1061" s="10"/>
      <c r="AZ1061" s="10"/>
      <c r="BA1061" s="10"/>
      <c r="BB1061" s="10"/>
      <c r="BC1061" s="10"/>
      <c r="BD1061" s="10"/>
      <c r="BE1061" s="10"/>
      <c r="BF1061" s="10"/>
      <c r="BG1061" s="10"/>
      <c r="BH1061" s="10"/>
      <c r="BI1061" s="10"/>
      <c r="BJ1061" s="10"/>
      <c r="BK1061" s="10"/>
      <c r="BL1061" s="10"/>
      <c r="BM1061" s="10"/>
      <c r="BN1061" s="10"/>
      <c r="BO1061" s="10"/>
      <c r="BP1061" s="10"/>
      <c r="BQ1061" s="10"/>
      <c r="BR1061" s="10"/>
      <c r="BS1061" s="10"/>
      <c r="BT1061" s="10"/>
      <c r="BU1061" s="10"/>
      <c r="BV1061" s="10"/>
      <c r="BW1061" s="10"/>
      <c r="BX1061" s="10"/>
      <c r="BY1061" s="10"/>
      <c r="BZ1061" s="10"/>
      <c r="CA1061" s="10"/>
      <c r="CB1061" s="10"/>
      <c r="CC1061" s="10"/>
      <c r="CD1061" s="10"/>
      <c r="CE1061" s="10"/>
      <c r="CF1061" s="10"/>
      <c r="CG1061" s="10"/>
      <c r="CH1061" s="10"/>
      <c r="CI1061" s="10"/>
      <c r="CJ1061" s="10"/>
      <c r="CK1061" s="10"/>
      <c r="CL1061" s="10"/>
      <c r="CM1061" s="10"/>
      <c r="CN1061" s="10"/>
      <c r="CO1061" s="10"/>
      <c r="CP1061" s="10"/>
      <c r="CQ1061" s="10"/>
      <c r="CR1061" s="10"/>
      <c r="CS1061" s="10"/>
      <c r="CT1061" s="10"/>
      <c r="CU1061" s="10"/>
      <c r="CV1061" s="10"/>
      <c r="CW1061" s="10"/>
      <c r="CX1061" s="10"/>
      <c r="CY1061" s="10"/>
      <c r="CZ1061" s="10"/>
      <c r="DA1061" s="10"/>
      <c r="DB1061" s="10"/>
      <c r="DC1061" s="10"/>
      <c r="DD1061" s="10"/>
      <c r="DE1061" s="10"/>
      <c r="DF1061" s="10"/>
      <c r="DG1061" s="10"/>
      <c r="DH1061" s="10"/>
      <c r="DI1061" s="10"/>
      <c r="DJ1061" s="10"/>
      <c r="DK1061" s="10"/>
      <c r="DL1061" s="10"/>
      <c r="DM1061" s="10"/>
      <c r="DN1061" s="5"/>
      <c r="DO1061" s="5"/>
      <c r="DP1061" s="5"/>
      <c r="DQ1061" s="5"/>
      <c r="DR1061" s="5"/>
      <c r="DS1061" s="5"/>
      <c r="DT1061" s="5"/>
      <c r="DU1061" s="5"/>
      <c r="DV1061" s="5"/>
      <c r="DW1061" s="5"/>
      <c r="DX1061" s="5"/>
      <c r="DY1061" s="5"/>
      <c r="DZ1061" s="5"/>
      <c r="EA1061" s="5"/>
      <c r="EB1061" s="5"/>
      <c r="EC1061" s="5"/>
      <c r="ED1061" s="5"/>
      <c r="EE1061" s="5"/>
      <c r="EF1061" s="5"/>
      <c r="EG1061" s="5"/>
      <c r="EH1061" s="5"/>
      <c r="EI1061" s="5"/>
      <c r="EJ1061" s="5"/>
      <c r="EK1061" s="5"/>
      <c r="EL1061" s="5"/>
      <c r="EM1061" s="5"/>
      <c r="EN1061" s="5"/>
      <c r="EO1061" s="5"/>
      <c r="EP1061" s="5"/>
      <c r="EQ1061" s="5"/>
      <c r="ER1061" s="5"/>
      <c r="ES1061" s="5"/>
      <c r="ET1061" s="5"/>
      <c r="EU1061" s="5"/>
      <c r="EV1061" s="5"/>
      <c r="EW1061" s="5"/>
      <c r="EX1061" s="5"/>
      <c r="EY1061" s="5"/>
      <c r="EZ1061" s="5"/>
      <c r="FA1061" s="5"/>
      <c r="FB1061" s="5"/>
      <c r="FC1061" s="5"/>
      <c r="FD1061" s="5"/>
      <c r="FE1061" s="5"/>
      <c r="FF1061" s="5"/>
      <c r="FG1061" s="5"/>
      <c r="FH1061" s="5"/>
      <c r="FI1061" s="5"/>
      <c r="FJ1061" s="5"/>
      <c r="FK1061" s="5"/>
      <c r="FL1061" s="5"/>
      <c r="FM1061" s="5"/>
      <c r="FN1061" s="5"/>
      <c r="FO1061" s="5"/>
      <c r="FP1061" s="5"/>
      <c r="FQ1061" s="5"/>
      <c r="FR1061" s="5"/>
      <c r="FS1061" s="5"/>
      <c r="FT1061" s="5"/>
      <c r="FU1061" s="5"/>
      <c r="FV1061" s="5"/>
      <c r="FW1061" s="5"/>
      <c r="FX1061" s="5"/>
      <c r="FY1061" s="5"/>
      <c r="FZ1061" s="5"/>
      <c r="GA1061" s="5"/>
      <c r="GB1061" s="5"/>
      <c r="GC1061" s="5"/>
      <c r="GD1061" s="5"/>
      <c r="GE1061" s="5"/>
      <c r="GF1061" s="5"/>
      <c r="GG1061" s="5"/>
      <c r="GH1061" s="5"/>
      <c r="GI1061" s="5"/>
      <c r="GJ1061" s="5"/>
      <c r="GK1061" s="5"/>
      <c r="GL1061" s="5"/>
      <c r="GM1061" s="5"/>
      <c r="GN1061" s="5"/>
      <c r="GO1061" s="5"/>
      <c r="GP1061" s="5"/>
      <c r="GQ1061" s="5"/>
      <c r="GR1061" s="5"/>
      <c r="GS1061" s="5"/>
      <c r="GT1061" s="5"/>
      <c r="GU1061" s="5"/>
      <c r="GV1061" s="5"/>
      <c r="GW1061" s="5"/>
      <c r="GX1061" s="5"/>
      <c r="GY1061" s="5"/>
      <c r="GZ1061" s="5"/>
      <c r="HA1061" s="5"/>
      <c r="HB1061" s="5"/>
      <c r="HC1061" s="5"/>
      <c r="HD1061" s="5"/>
      <c r="HE1061" s="5"/>
      <c r="HF1061" s="5"/>
      <c r="HG1061" s="5"/>
      <c r="HH1061" s="5"/>
      <c r="HI1061" s="5"/>
      <c r="HJ1061" s="5"/>
      <c r="IH1061"/>
      <c r="II1061"/>
      <c r="IJ1061"/>
      <c r="IK1061"/>
      <c r="IL1061"/>
      <c r="IM1061"/>
    </row>
    <row r="1062" spans="1:247" s="20" customFormat="1" ht="20.25" customHeight="1" x14ac:dyDescent="0.25">
      <c r="A1062" s="75">
        <v>37273</v>
      </c>
      <c r="B1062" s="76">
        <v>182.06</v>
      </c>
      <c r="C1062" s="76">
        <f t="shared" si="556"/>
        <v>181.60485</v>
      </c>
      <c r="D1062" s="76">
        <f t="shared" si="557"/>
        <v>182.51515000000001</v>
      </c>
      <c r="E1062" s="78">
        <f>2664.725/1800.553*100</f>
        <v>147.99481048322377</v>
      </c>
      <c r="F1062" s="76">
        <v>2664.7249999999999</v>
      </c>
      <c r="G1062" s="84">
        <v>4.7439000000000002E-2</v>
      </c>
      <c r="H1062" s="78">
        <v>104.7439</v>
      </c>
      <c r="I1062" s="78">
        <v>125.29600393948832</v>
      </c>
      <c r="J1062" s="79">
        <f t="shared" si="554"/>
        <v>127.28687820257855</v>
      </c>
      <c r="K1062" s="80">
        <v>257049.86869999999</v>
      </c>
      <c r="L1062" s="83">
        <f t="shared" ref="L1062:L1125" si="558">(K1062*B1062)/1000000</f>
        <v>46.798499095522004</v>
      </c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10"/>
      <c r="Y1062" s="10"/>
      <c r="Z1062" s="10"/>
      <c r="AA1062" s="10"/>
      <c r="AB1062" s="10"/>
      <c r="AC1062" s="10"/>
      <c r="AD1062" s="10"/>
      <c r="AE1062" s="10"/>
      <c r="AF1062" s="10"/>
      <c r="AG1062" s="10"/>
      <c r="AH1062" s="10"/>
      <c r="AI1062" s="10"/>
      <c r="AJ1062" s="10"/>
      <c r="AK1062" s="10"/>
      <c r="AL1062" s="10"/>
      <c r="AM1062" s="10"/>
      <c r="AN1062" s="10"/>
      <c r="AO1062" s="10"/>
      <c r="AP1062" s="10"/>
      <c r="AQ1062" s="10"/>
      <c r="AR1062" s="10"/>
      <c r="AS1062" s="10"/>
      <c r="AT1062" s="10"/>
      <c r="AU1062" s="10"/>
      <c r="AV1062" s="10"/>
      <c r="AW1062" s="10"/>
      <c r="AX1062" s="10"/>
      <c r="AY1062" s="10"/>
      <c r="AZ1062" s="10"/>
      <c r="BA1062" s="10"/>
      <c r="BB1062" s="10"/>
      <c r="BC1062" s="10"/>
      <c r="BD1062" s="10"/>
      <c r="BE1062" s="10"/>
      <c r="BF1062" s="10"/>
      <c r="BG1062" s="10"/>
      <c r="BH1062" s="10"/>
      <c r="BI1062" s="10"/>
      <c r="BJ1062" s="10"/>
      <c r="BK1062" s="10"/>
      <c r="BL1062" s="10"/>
      <c r="BM1062" s="10"/>
      <c r="BN1062" s="10"/>
      <c r="BO1062" s="10"/>
      <c r="BP1062" s="10"/>
      <c r="BQ1062" s="10"/>
      <c r="BR1062" s="10"/>
      <c r="BS1062" s="10"/>
      <c r="BT1062" s="10"/>
      <c r="BU1062" s="10"/>
      <c r="BV1062" s="10"/>
      <c r="BW1062" s="10"/>
      <c r="BX1062" s="10"/>
      <c r="BY1062" s="10"/>
      <c r="BZ1062" s="10"/>
      <c r="CA1062" s="10"/>
      <c r="CB1062" s="10"/>
      <c r="CC1062" s="10"/>
      <c r="CD1062" s="10"/>
      <c r="CE1062" s="10"/>
      <c r="CF1062" s="10"/>
      <c r="CG1062" s="10"/>
      <c r="CH1062" s="10"/>
      <c r="CI1062" s="10"/>
      <c r="CJ1062" s="10"/>
      <c r="CK1062" s="10"/>
      <c r="CL1062" s="10"/>
      <c r="CM1062" s="10"/>
      <c r="CN1062" s="10"/>
      <c r="CO1062" s="10"/>
      <c r="CP1062" s="10"/>
      <c r="CQ1062" s="10"/>
      <c r="CR1062" s="10"/>
      <c r="CS1062" s="10"/>
      <c r="CT1062" s="10"/>
      <c r="CU1062" s="10"/>
      <c r="CV1062" s="10"/>
      <c r="CW1062" s="10"/>
      <c r="CX1062" s="10"/>
      <c r="CY1062" s="10"/>
      <c r="CZ1062" s="10"/>
      <c r="DA1062" s="10"/>
      <c r="DB1062" s="10"/>
      <c r="DC1062" s="10"/>
      <c r="DD1062" s="10"/>
      <c r="DE1062" s="10"/>
      <c r="DF1062" s="10"/>
      <c r="DG1062" s="10"/>
      <c r="DH1062" s="10"/>
      <c r="DI1062" s="10"/>
      <c r="DJ1062" s="10"/>
      <c r="DK1062" s="10"/>
      <c r="DL1062" s="10"/>
      <c r="DM1062" s="10"/>
      <c r="DN1062" s="19"/>
      <c r="DO1062" s="19"/>
      <c r="DP1062" s="19"/>
      <c r="DQ1062" s="19"/>
      <c r="DR1062" s="19"/>
      <c r="DS1062" s="19"/>
      <c r="DT1062" s="19"/>
      <c r="DU1062" s="19"/>
      <c r="DV1062" s="19"/>
      <c r="DW1062" s="19"/>
      <c r="DX1062" s="19"/>
      <c r="DY1062" s="19"/>
      <c r="DZ1062" s="19"/>
      <c r="EA1062" s="19"/>
      <c r="EB1062" s="19"/>
      <c r="EC1062" s="19"/>
      <c r="ED1062" s="19"/>
      <c r="EE1062" s="19"/>
      <c r="EF1062" s="19"/>
      <c r="EG1062" s="19"/>
      <c r="EH1062" s="19"/>
      <c r="EI1062" s="19"/>
      <c r="EJ1062" s="19"/>
      <c r="EK1062" s="19"/>
      <c r="EL1062" s="19"/>
      <c r="EM1062" s="19"/>
      <c r="EN1062" s="19"/>
      <c r="EO1062" s="19"/>
      <c r="EP1062" s="19"/>
      <c r="EQ1062" s="19"/>
      <c r="ER1062" s="19"/>
      <c r="ES1062" s="19"/>
      <c r="ET1062" s="19"/>
      <c r="EU1062" s="19"/>
      <c r="EV1062" s="19"/>
      <c r="EW1062" s="19"/>
      <c r="EX1062" s="19"/>
      <c r="EY1062" s="19"/>
      <c r="EZ1062" s="19"/>
      <c r="FA1062" s="19"/>
      <c r="FB1062" s="19"/>
      <c r="FC1062" s="19"/>
      <c r="FD1062" s="19"/>
      <c r="FE1062" s="19"/>
      <c r="FF1062" s="19"/>
      <c r="FG1062" s="19"/>
      <c r="FH1062" s="19"/>
      <c r="FI1062" s="19"/>
      <c r="FJ1062" s="19"/>
      <c r="FK1062" s="19"/>
      <c r="FL1062" s="19"/>
      <c r="FM1062" s="19"/>
      <c r="FN1062" s="19"/>
      <c r="FO1062" s="19"/>
      <c r="FP1062" s="19"/>
      <c r="FQ1062" s="19"/>
      <c r="FR1062" s="19"/>
      <c r="FS1062" s="19"/>
      <c r="FT1062" s="19"/>
      <c r="FU1062" s="19"/>
      <c r="FV1062" s="19"/>
      <c r="FW1062" s="19"/>
      <c r="FX1062" s="19"/>
      <c r="FY1062" s="19"/>
      <c r="FZ1062" s="19"/>
      <c r="GA1062" s="19"/>
      <c r="GB1062" s="19"/>
      <c r="GC1062" s="19"/>
      <c r="GD1062" s="19"/>
      <c r="GE1062" s="19"/>
      <c r="GF1062" s="19"/>
      <c r="GG1062" s="19"/>
      <c r="GH1062" s="19"/>
      <c r="GI1062" s="19"/>
      <c r="GJ1062" s="19"/>
      <c r="GK1062" s="19"/>
      <c r="GL1062" s="19"/>
      <c r="GM1062" s="19"/>
      <c r="GN1062" s="19"/>
      <c r="GO1062" s="19"/>
      <c r="GP1062" s="19"/>
      <c r="GQ1062" s="19"/>
      <c r="GR1062" s="19"/>
      <c r="GS1062" s="19"/>
      <c r="GT1062" s="19"/>
      <c r="GU1062" s="19"/>
      <c r="GV1062" s="19"/>
      <c r="GW1062" s="19"/>
      <c r="GX1062" s="19"/>
      <c r="GY1062" s="19"/>
      <c r="GZ1062" s="19"/>
      <c r="HA1062" s="19"/>
      <c r="HB1062" s="19"/>
      <c r="HC1062" s="19"/>
      <c r="HD1062" s="19"/>
      <c r="HE1062" s="19"/>
      <c r="HF1062" s="19"/>
      <c r="HG1062" s="19"/>
      <c r="HH1062" s="19"/>
      <c r="HI1062" s="19"/>
      <c r="HJ1062" s="19"/>
      <c r="IH1062"/>
      <c r="II1062"/>
      <c r="IJ1062"/>
      <c r="IK1062"/>
      <c r="IL1062"/>
      <c r="IM1062"/>
    </row>
    <row r="1063" spans="1:247" s="9" customFormat="1" ht="20.25" customHeight="1" x14ac:dyDescent="0.25">
      <c r="A1063" s="75">
        <v>37266</v>
      </c>
      <c r="B1063" s="76">
        <v>181.57</v>
      </c>
      <c r="C1063" s="76">
        <f t="shared" si="556"/>
        <v>181.116075</v>
      </c>
      <c r="D1063" s="76">
        <f t="shared" si="557"/>
        <v>182.02392499999999</v>
      </c>
      <c r="E1063" s="78">
        <f>2709.543/1800.553*100</f>
        <v>150.48393465785233</v>
      </c>
      <c r="F1063" s="76">
        <v>2709.5430000000001</v>
      </c>
      <c r="G1063" s="84">
        <v>5.11936980599208E-2</v>
      </c>
      <c r="H1063" s="78">
        <v>105.11936980599208</v>
      </c>
      <c r="I1063" s="78">
        <v>125.24981399566909</v>
      </c>
      <c r="J1063" s="79">
        <f t="shared" si="554"/>
        <v>128.57991894742094</v>
      </c>
      <c r="K1063" s="80">
        <v>256719.8357</v>
      </c>
      <c r="L1063" s="83">
        <f t="shared" si="558"/>
        <v>46.612620568048996</v>
      </c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10"/>
      <c r="Y1063" s="10"/>
      <c r="Z1063" s="10"/>
      <c r="AA1063" s="10"/>
      <c r="AB1063" s="10"/>
      <c r="AC1063" s="10"/>
      <c r="AD1063" s="10"/>
      <c r="AE1063" s="10"/>
      <c r="AF1063" s="10"/>
      <c r="AG1063" s="10"/>
      <c r="AH1063" s="10"/>
      <c r="AI1063" s="10"/>
      <c r="AJ1063" s="10"/>
      <c r="AK1063" s="10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0"/>
      <c r="BO1063" s="10"/>
      <c r="BP1063" s="10"/>
      <c r="BQ1063" s="10"/>
      <c r="BR1063" s="10"/>
      <c r="BS1063" s="10"/>
      <c r="BT1063" s="10"/>
      <c r="BU1063" s="10"/>
      <c r="BV1063" s="10"/>
      <c r="BW1063" s="10"/>
      <c r="BX1063" s="10"/>
      <c r="BY1063" s="10"/>
      <c r="BZ1063" s="10"/>
      <c r="CA1063" s="10"/>
      <c r="CB1063" s="10"/>
      <c r="CC1063" s="10"/>
      <c r="CD1063" s="10"/>
      <c r="CE1063" s="10"/>
      <c r="CF1063" s="10"/>
      <c r="CG1063" s="10"/>
      <c r="CH1063" s="10"/>
      <c r="CI1063" s="10"/>
      <c r="CJ1063" s="10"/>
      <c r="CK1063" s="10"/>
      <c r="CL1063" s="10"/>
      <c r="CM1063" s="10"/>
      <c r="CN1063" s="10"/>
      <c r="CO1063" s="10"/>
      <c r="CP1063" s="10"/>
      <c r="CQ1063" s="10"/>
      <c r="CR1063" s="10"/>
      <c r="CS1063" s="10"/>
      <c r="CT1063" s="10"/>
      <c r="CU1063" s="10"/>
      <c r="CV1063" s="10"/>
      <c r="CW1063" s="10"/>
      <c r="CX1063" s="10"/>
      <c r="CY1063" s="10"/>
      <c r="CZ1063" s="10"/>
      <c r="DA1063" s="10"/>
      <c r="DB1063" s="10"/>
      <c r="DC1063" s="10"/>
      <c r="DD1063" s="10"/>
      <c r="DE1063" s="10"/>
      <c r="DF1063" s="10"/>
      <c r="DG1063" s="10"/>
      <c r="DH1063" s="10"/>
      <c r="DI1063" s="10"/>
      <c r="DJ1063" s="10"/>
      <c r="DK1063" s="10"/>
      <c r="DL1063" s="10"/>
      <c r="DM1063" s="10"/>
      <c r="DN1063" s="8"/>
      <c r="DO1063" s="8"/>
      <c r="DP1063" s="8"/>
      <c r="DQ1063" s="8"/>
      <c r="DR1063" s="8"/>
      <c r="DS1063" s="8"/>
      <c r="DT1063" s="8"/>
      <c r="DU1063" s="8"/>
      <c r="DV1063" s="8"/>
      <c r="DW1063" s="8"/>
      <c r="DX1063" s="8"/>
      <c r="DY1063" s="8"/>
      <c r="DZ1063" s="8"/>
      <c r="EA1063" s="8"/>
      <c r="EB1063" s="8"/>
      <c r="EC1063" s="8"/>
      <c r="ED1063" s="8"/>
      <c r="EE1063" s="8"/>
      <c r="EF1063" s="8"/>
      <c r="EG1063" s="8"/>
      <c r="EH1063" s="8"/>
      <c r="EI1063" s="8"/>
      <c r="EJ1063" s="8"/>
      <c r="EK1063" s="8"/>
      <c r="EL1063" s="8"/>
      <c r="EM1063" s="8"/>
      <c r="EN1063" s="8"/>
      <c r="EO1063" s="8"/>
      <c r="EP1063" s="8"/>
      <c r="EQ1063" s="8"/>
      <c r="ER1063" s="8"/>
      <c r="ES1063" s="8"/>
      <c r="ET1063" s="8"/>
      <c r="EU1063" s="8"/>
      <c r="EV1063" s="8"/>
      <c r="EW1063" s="8"/>
      <c r="EX1063" s="8"/>
      <c r="EY1063" s="8"/>
      <c r="EZ1063" s="8"/>
      <c r="FA1063" s="8"/>
      <c r="FB1063" s="8"/>
      <c r="FC1063" s="8"/>
      <c r="FD1063" s="8"/>
      <c r="FE1063" s="8"/>
      <c r="FF1063" s="8"/>
      <c r="FG1063" s="8"/>
      <c r="FH1063" s="8"/>
      <c r="FI1063" s="8"/>
      <c r="FJ1063" s="8"/>
      <c r="FK1063" s="8"/>
      <c r="FL1063" s="8"/>
      <c r="FM1063" s="8"/>
      <c r="FN1063" s="8"/>
      <c r="FO1063" s="8"/>
      <c r="FP1063" s="8"/>
      <c r="FQ1063" s="8"/>
      <c r="FR1063" s="8"/>
      <c r="FS1063" s="8"/>
      <c r="FT1063" s="8"/>
      <c r="FU1063" s="8"/>
      <c r="FV1063" s="8"/>
      <c r="FW1063" s="8"/>
      <c r="FX1063" s="8"/>
      <c r="FY1063" s="8"/>
      <c r="FZ1063" s="8"/>
      <c r="GA1063" s="8"/>
      <c r="GB1063" s="8"/>
      <c r="GC1063" s="8"/>
      <c r="GD1063" s="8"/>
      <c r="GE1063" s="8"/>
      <c r="GF1063" s="8"/>
      <c r="GG1063" s="8"/>
      <c r="GH1063" s="8"/>
      <c r="GI1063" s="8"/>
      <c r="GJ1063" s="8"/>
      <c r="GK1063" s="8"/>
      <c r="GL1063" s="8"/>
      <c r="GM1063" s="8"/>
      <c r="GN1063" s="8"/>
      <c r="GO1063" s="8"/>
      <c r="GP1063" s="8"/>
      <c r="GQ1063" s="8"/>
      <c r="GR1063" s="8"/>
      <c r="GS1063" s="8"/>
      <c r="GT1063" s="8"/>
      <c r="GU1063" s="8"/>
      <c r="GV1063" s="8"/>
      <c r="GW1063" s="8"/>
      <c r="GX1063" s="8"/>
      <c r="GY1063" s="8"/>
      <c r="GZ1063" s="8"/>
      <c r="HA1063" s="8"/>
      <c r="HB1063" s="8"/>
      <c r="HC1063" s="8"/>
      <c r="HD1063" s="8"/>
      <c r="HE1063" s="8"/>
      <c r="HF1063" s="8"/>
      <c r="HG1063" s="8"/>
      <c r="HH1063" s="8"/>
      <c r="HI1063" s="8"/>
      <c r="HJ1063" s="8"/>
      <c r="IH1063"/>
      <c r="II1063"/>
      <c r="IJ1063"/>
      <c r="IK1063"/>
      <c r="IL1063"/>
      <c r="IM1063"/>
    </row>
    <row r="1064" spans="1:247" s="10" customFormat="1" ht="20.25" customHeight="1" x14ac:dyDescent="0.25">
      <c r="A1064" s="75">
        <v>37259</v>
      </c>
      <c r="B1064" s="76">
        <v>181.09</v>
      </c>
      <c r="C1064" s="76">
        <f t="shared" si="556"/>
        <v>180.63727500000002</v>
      </c>
      <c r="D1064" s="76">
        <f t="shared" si="557"/>
        <v>181.54272499999999</v>
      </c>
      <c r="E1064" s="78">
        <f>2751.438/1800.553*100</f>
        <v>152.81071981774488</v>
      </c>
      <c r="F1064" s="76">
        <v>2751.4380000000001</v>
      </c>
      <c r="G1064" s="84">
        <v>5.5552788458675062E-2</v>
      </c>
      <c r="H1064" s="78">
        <v>105.55527884586751</v>
      </c>
      <c r="I1064" s="78">
        <v>125.20298364622768</v>
      </c>
      <c r="J1064" s="79">
        <f t="shared" si="554"/>
        <v>129.8364933274251</v>
      </c>
      <c r="K1064" s="80">
        <v>256719.8357</v>
      </c>
      <c r="L1064" s="83">
        <f t="shared" si="558"/>
        <v>46.489395046912996</v>
      </c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IH1064"/>
      <c r="II1064"/>
      <c r="IJ1064"/>
      <c r="IK1064"/>
      <c r="IL1064"/>
      <c r="IM1064"/>
    </row>
    <row r="1065" spans="1:247" s="10" customFormat="1" ht="20.25" customHeight="1" x14ac:dyDescent="0.25">
      <c r="A1065" s="75">
        <v>37256</v>
      </c>
      <c r="B1065" s="76">
        <v>181.15</v>
      </c>
      <c r="C1065" s="76">
        <f t="shared" si="556"/>
        <v>180.69712500000003</v>
      </c>
      <c r="D1065" s="76">
        <f t="shared" si="557"/>
        <v>181.60287499999998</v>
      </c>
      <c r="E1065" s="78">
        <f>2712.658/1800.553*100</f>
        <v>150.65693706322446</v>
      </c>
      <c r="F1065" s="76">
        <v>2712.6579999999999</v>
      </c>
      <c r="G1065" s="84">
        <v>5.2897689016332849E-2</v>
      </c>
      <c r="H1065" s="78">
        <v>105.28976890163328</v>
      </c>
      <c r="I1065" s="78">
        <v>125.18294881492251</v>
      </c>
      <c r="J1065" s="79">
        <f t="shared" si="554"/>
        <v>128.75382504480223</v>
      </c>
      <c r="K1065" s="80">
        <v>256719.8357</v>
      </c>
      <c r="L1065" s="83">
        <f t="shared" si="558"/>
        <v>46.504798237055006</v>
      </c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IH1065"/>
      <c r="II1065"/>
      <c r="IJ1065"/>
      <c r="IK1065"/>
      <c r="IL1065"/>
      <c r="IM1065"/>
    </row>
    <row r="1066" spans="1:247" s="10" customFormat="1" ht="20.25" customHeight="1" x14ac:dyDescent="0.25">
      <c r="A1066" s="75">
        <v>37252</v>
      </c>
      <c r="B1066" s="76">
        <v>179.56775500000001</v>
      </c>
      <c r="C1066" s="76">
        <f t="shared" si="556"/>
        <v>179.11883561250002</v>
      </c>
      <c r="D1066" s="76">
        <f t="shared" si="557"/>
        <v>180.01667438749999</v>
      </c>
      <c r="E1066" s="78">
        <f>2713.467/1800.553*100</f>
        <v>150.7018677039776</v>
      </c>
      <c r="F1066" s="76">
        <v>2713.4670000000001</v>
      </c>
      <c r="G1066" s="84">
        <v>5.0242589573990637E-2</v>
      </c>
      <c r="H1066" s="78">
        <v>105.02425895739907</v>
      </c>
      <c r="I1066" s="78">
        <v>125.15571201458199</v>
      </c>
      <c r="J1066" s="79">
        <f t="shared" si="554"/>
        <v>128.61042830818397</v>
      </c>
      <c r="K1066" s="80">
        <v>256162.50760000001</v>
      </c>
      <c r="L1066" s="83">
        <f t="shared" si="558"/>
        <v>45.998526404902442</v>
      </c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IH1066"/>
      <c r="II1066"/>
      <c r="IJ1066"/>
      <c r="IK1066"/>
      <c r="IL1066"/>
      <c r="IM1066"/>
    </row>
    <row r="1067" spans="1:247" s="10" customFormat="1" ht="20.25" customHeight="1" x14ac:dyDescent="0.25">
      <c r="A1067" s="75">
        <v>37245</v>
      </c>
      <c r="B1067" s="76">
        <v>181.38</v>
      </c>
      <c r="C1067" s="76">
        <v>180.93</v>
      </c>
      <c r="D1067" s="76">
        <v>181.84</v>
      </c>
      <c r="E1067" s="78">
        <f>2674.386/1800.553*100</f>
        <v>148.53136786309537</v>
      </c>
      <c r="F1067" s="76">
        <v>2674.386</v>
      </c>
      <c r="G1067" s="84">
        <v>5.9711767237808466E-2</v>
      </c>
      <c r="H1067" s="78">
        <v>105.97117672378084</v>
      </c>
      <c r="I1067" s="78">
        <v>125.10899744352577</v>
      </c>
      <c r="J1067" s="79">
        <f t="shared" ref="J1067:J1130" si="559">(E1067/E1068)*0.5*J1068+(H1067/H1068)*0.5*J1068</f>
        <v>128.24637164098027</v>
      </c>
      <c r="K1067" s="80">
        <v>255882.20920000001</v>
      </c>
      <c r="L1067" s="83">
        <f t="shared" si="558"/>
        <v>46.411915104696</v>
      </c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IH1067"/>
      <c r="II1067"/>
      <c r="IJ1067"/>
      <c r="IK1067"/>
      <c r="IL1067"/>
      <c r="IM1067"/>
    </row>
    <row r="1068" spans="1:247" s="10" customFormat="1" ht="20.25" customHeight="1" x14ac:dyDescent="0.25">
      <c r="A1068" s="75">
        <v>37238</v>
      </c>
      <c r="B1068" s="76">
        <v>181.56</v>
      </c>
      <c r="C1068" s="76">
        <v>181.11</v>
      </c>
      <c r="D1068" s="76">
        <v>182.01</v>
      </c>
      <c r="E1068" s="78">
        <f>2648.521/1800.553*100</f>
        <v>147.09486474433135</v>
      </c>
      <c r="F1068" s="76">
        <v>2648.5210000000002</v>
      </c>
      <c r="G1068" s="84">
        <v>6.4008666609368436E-2</v>
      </c>
      <c r="H1068" s="78">
        <v>106.40086666093684</v>
      </c>
      <c r="I1068" s="78">
        <v>125.06228287246941</v>
      </c>
      <c r="J1068" s="79">
        <f t="shared" si="559"/>
        <v>127.88015985689498</v>
      </c>
      <c r="K1068" s="80">
        <v>255882.20920000001</v>
      </c>
      <c r="L1068" s="83">
        <f t="shared" si="558"/>
        <v>46.457973902352002</v>
      </c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IH1068"/>
      <c r="II1068"/>
      <c r="IJ1068"/>
      <c r="IK1068"/>
      <c r="IL1068"/>
      <c r="IM1068"/>
    </row>
    <row r="1069" spans="1:247" ht="20.25" customHeight="1" x14ac:dyDescent="0.25">
      <c r="A1069" s="75">
        <v>37231</v>
      </c>
      <c r="B1069" s="76">
        <v>179.3</v>
      </c>
      <c r="C1069" s="76">
        <v>178.85</v>
      </c>
      <c r="D1069" s="76">
        <v>179.75</v>
      </c>
      <c r="E1069" s="78">
        <f>2763.35/1800.553*100</f>
        <v>153.47229434512616</v>
      </c>
      <c r="F1069" s="76">
        <v>2763.35</v>
      </c>
      <c r="G1069" s="84">
        <v>6.4799732807129251E-2</v>
      </c>
      <c r="H1069" s="78">
        <v>106.47997328071293</v>
      </c>
      <c r="I1069" s="78">
        <v>125.0164607004449</v>
      </c>
      <c r="J1069" s="79">
        <f t="shared" si="559"/>
        <v>130.64307790791486</v>
      </c>
      <c r="K1069" s="80">
        <v>255084.818</v>
      </c>
      <c r="L1069" s="83">
        <f t="shared" si="558"/>
        <v>45.736707867400007</v>
      </c>
    </row>
    <row r="1070" spans="1:247" ht="20.25" customHeight="1" x14ac:dyDescent="0.25">
      <c r="A1070" s="75">
        <v>37224</v>
      </c>
      <c r="B1070" s="76">
        <v>178.43</v>
      </c>
      <c r="C1070" s="76">
        <v>177.98</v>
      </c>
      <c r="D1070" s="76">
        <v>178.87</v>
      </c>
      <c r="E1070" s="78">
        <f>2681.297/1800.553*100</f>
        <v>148.91519438750205</v>
      </c>
      <c r="F1070" s="76">
        <v>2681.297</v>
      </c>
      <c r="G1070" s="84">
        <v>6.3940528016681597E-2</v>
      </c>
      <c r="H1070" s="78">
        <v>106.39405280166815</v>
      </c>
      <c r="I1070" s="78">
        <v>124.96838681714769</v>
      </c>
      <c r="J1070" s="79">
        <f t="shared" si="559"/>
        <v>128.62308138744152</v>
      </c>
      <c r="K1070" s="80">
        <v>255084.818</v>
      </c>
      <c r="L1070" s="83">
        <f t="shared" si="558"/>
        <v>45.514784075740003</v>
      </c>
    </row>
    <row r="1071" spans="1:247" ht="20.25" customHeight="1" x14ac:dyDescent="0.25">
      <c r="A1071" s="75">
        <v>37217</v>
      </c>
      <c r="B1071" s="76">
        <v>176.43</v>
      </c>
      <c r="C1071" s="76">
        <v>175.99</v>
      </c>
      <c r="D1071" s="76">
        <v>176.87</v>
      </c>
      <c r="E1071" s="78">
        <f>2697.198/1800.553*100</f>
        <v>149.7983119630469</v>
      </c>
      <c r="F1071" s="76">
        <v>2697.1979999999999</v>
      </c>
      <c r="G1071" s="84">
        <v>6.0361324708343878E-2</v>
      </c>
      <c r="H1071" s="78">
        <v>106.03613247083439</v>
      </c>
      <c r="I1071" s="78">
        <v>124.92051625199845</v>
      </c>
      <c r="J1071" s="79">
        <f t="shared" si="559"/>
        <v>128.7853458397833</v>
      </c>
      <c r="K1071" s="80">
        <v>249495.1624</v>
      </c>
      <c r="L1071" s="83">
        <f t="shared" si="558"/>
        <v>44.018431502231998</v>
      </c>
    </row>
    <row r="1072" spans="1:247" ht="20.25" customHeight="1" x14ac:dyDescent="0.25">
      <c r="A1072" s="75">
        <v>37210</v>
      </c>
      <c r="B1072" s="76">
        <v>177.16</v>
      </c>
      <c r="C1072" s="76">
        <v>176.72</v>
      </c>
      <c r="D1072" s="76">
        <v>177.61</v>
      </c>
      <c r="E1072" s="78">
        <f>2691.659/1800.553*100</f>
        <v>149.49068425089402</v>
      </c>
      <c r="F1072" s="76">
        <v>2691.6590000000001</v>
      </c>
      <c r="G1072" s="84">
        <v>6.3848149556989364E-2</v>
      </c>
      <c r="H1072" s="78">
        <v>106.38481495569894</v>
      </c>
      <c r="I1072" s="78">
        <v>124.87095610704264</v>
      </c>
      <c r="J1072" s="79">
        <f t="shared" si="559"/>
        <v>128.86393480592449</v>
      </c>
      <c r="K1072" s="80">
        <v>249495.1624</v>
      </c>
      <c r="L1072" s="83">
        <f t="shared" si="558"/>
        <v>44.200562970783999</v>
      </c>
    </row>
    <row r="1073" spans="1:12" ht="20.25" customHeight="1" x14ac:dyDescent="0.25">
      <c r="A1073" s="75">
        <v>37203</v>
      </c>
      <c r="B1073" s="76">
        <v>178.19</v>
      </c>
      <c r="C1073" s="76">
        <v>177.74</v>
      </c>
      <c r="D1073" s="76">
        <v>178.63</v>
      </c>
      <c r="E1073" s="78">
        <f>2668.276/1800.553*100</f>
        <v>148.19202767149869</v>
      </c>
      <c r="F1073" s="76">
        <v>2668.2759999999998</v>
      </c>
      <c r="G1073" s="84">
        <v>7.1780103319702082E-2</v>
      </c>
      <c r="H1073" s="78">
        <v>107.17801033197021</v>
      </c>
      <c r="I1073" s="78">
        <v>124.82313110755467</v>
      </c>
      <c r="J1073" s="79">
        <f t="shared" si="559"/>
        <v>128.77619908994546</v>
      </c>
      <c r="K1073" s="80">
        <v>247255.89689999999</v>
      </c>
      <c r="L1073" s="83">
        <f t="shared" si="558"/>
        <v>44.058528268610999</v>
      </c>
    </row>
    <row r="1074" spans="1:12" ht="20.25" customHeight="1" x14ac:dyDescent="0.25">
      <c r="A1074" s="75">
        <v>37197</v>
      </c>
      <c r="B1074" s="76">
        <v>181.33</v>
      </c>
      <c r="C1074" s="76">
        <v>180.88</v>
      </c>
      <c r="D1074" s="76">
        <v>181.78</v>
      </c>
      <c r="E1074" s="78">
        <f>2592.123/1800.553*100</f>
        <v>143.96260482196303</v>
      </c>
      <c r="F1074" s="76">
        <v>2592.123</v>
      </c>
      <c r="G1074" s="84">
        <v>7.4449837626116677E-2</v>
      </c>
      <c r="H1074" s="78">
        <v>107.44498376261167</v>
      </c>
      <c r="I1074" s="78">
        <v>124.78407346350491</v>
      </c>
      <c r="J1074" s="79">
        <f t="shared" si="559"/>
        <v>127.06752990030424</v>
      </c>
      <c r="K1074" s="80">
        <v>246375.84409999999</v>
      </c>
      <c r="L1074" s="83">
        <f t="shared" si="558"/>
        <v>44.675331810652999</v>
      </c>
    </row>
    <row r="1075" spans="1:12" ht="20.25" customHeight="1" x14ac:dyDescent="0.25">
      <c r="A1075" s="75">
        <v>37189</v>
      </c>
      <c r="B1075" s="76">
        <v>181.06</v>
      </c>
      <c r="C1075" s="76">
        <v>180.61</v>
      </c>
      <c r="D1075" s="76">
        <v>181.52</v>
      </c>
      <c r="E1075" s="78">
        <f>2615.837/1800.553*100</f>
        <v>145.27964464250704</v>
      </c>
      <c r="F1075" s="76">
        <v>2615.837</v>
      </c>
      <c r="G1075" s="84">
        <v>6.8316714107260257E-2</v>
      </c>
      <c r="H1075" s="78">
        <v>106.83167141072603</v>
      </c>
      <c r="I1075" s="78">
        <v>124.72826354569042</v>
      </c>
      <c r="J1075" s="79">
        <f t="shared" si="559"/>
        <v>127.27910768051652</v>
      </c>
      <c r="K1075" s="80">
        <v>246375.84409999999</v>
      </c>
      <c r="L1075" s="83">
        <f t="shared" si="558"/>
        <v>44.608810332745996</v>
      </c>
    </row>
    <row r="1076" spans="1:12" ht="20.25" customHeight="1" x14ac:dyDescent="0.25">
      <c r="A1076" s="75">
        <v>37182</v>
      </c>
      <c r="B1076" s="76">
        <v>182.36019999999999</v>
      </c>
      <c r="C1076" s="76">
        <v>181.9</v>
      </c>
      <c r="D1076" s="76">
        <v>182.82</v>
      </c>
      <c r="E1076" s="78">
        <f>2570.707/1800.553*100</f>
        <v>142.7731924580948</v>
      </c>
      <c r="F1076" s="76">
        <v>2570.7069999999999</v>
      </c>
      <c r="G1076" s="84">
        <v>7.4297911608480982E-2</v>
      </c>
      <c r="H1076" s="78">
        <v>107.4297911608481</v>
      </c>
      <c r="I1076" s="78">
        <v>124.67756817766515</v>
      </c>
      <c r="J1076" s="79">
        <f t="shared" si="559"/>
        <v>126.5207460625561</v>
      </c>
      <c r="K1076" s="80">
        <v>244348.4276</v>
      </c>
      <c r="L1076" s="83">
        <f t="shared" si="558"/>
        <v>44.559428126821516</v>
      </c>
    </row>
    <row r="1077" spans="1:12" ht="20.25" customHeight="1" x14ac:dyDescent="0.25">
      <c r="A1077" s="75">
        <v>37175</v>
      </c>
      <c r="B1077" s="76">
        <v>179.21</v>
      </c>
      <c r="C1077" s="76">
        <v>178.76</v>
      </c>
      <c r="D1077" s="76">
        <v>179.65</v>
      </c>
      <c r="E1077" s="78">
        <f>2613.553/1800.553*100</f>
        <v>145.15279472473176</v>
      </c>
      <c r="F1077" s="76">
        <v>2613.5529999999999</v>
      </c>
      <c r="G1077" s="84">
        <v>7.2682294960645821E-2</v>
      </c>
      <c r="H1077" s="78">
        <v>107.26822949606458</v>
      </c>
      <c r="I1077" s="78">
        <v>124.62565167490642</v>
      </c>
      <c r="J1077" s="79">
        <f t="shared" si="559"/>
        <v>127.46960613942018</v>
      </c>
      <c r="K1077" s="80">
        <v>244348.4276</v>
      </c>
      <c r="L1077" s="83">
        <f t="shared" si="558"/>
        <v>43.789681710196007</v>
      </c>
    </row>
    <row r="1078" spans="1:12" ht="20.25" customHeight="1" x14ac:dyDescent="0.25">
      <c r="A1078" s="75">
        <v>37168</v>
      </c>
      <c r="B1078" s="76">
        <v>180.54320000000001</v>
      </c>
      <c r="C1078" s="76">
        <v>180.09</v>
      </c>
      <c r="D1078" s="76">
        <v>180.99</v>
      </c>
      <c r="E1078" s="78">
        <f>2565.239/1800.553*100</f>
        <v>142.46950797893757</v>
      </c>
      <c r="F1078" s="76">
        <v>2565.239</v>
      </c>
      <c r="G1078" s="84">
        <v>7.8629419433486447E-2</v>
      </c>
      <c r="H1078" s="78">
        <v>107.86294194334864</v>
      </c>
      <c r="I1078" s="78">
        <v>124.57351326540218</v>
      </c>
      <c r="J1078" s="79">
        <f t="shared" si="559"/>
        <v>126.62624252123436</v>
      </c>
      <c r="K1078" s="80">
        <v>244348.4276</v>
      </c>
      <c r="L1078" s="83">
        <f t="shared" si="558"/>
        <v>44.115447033872321</v>
      </c>
    </row>
    <row r="1079" spans="1:12" ht="20.25" customHeight="1" x14ac:dyDescent="0.25">
      <c r="A1079" s="75">
        <v>37161</v>
      </c>
      <c r="B1079" s="76">
        <v>180.1472</v>
      </c>
      <c r="C1079" s="76">
        <v>179.7</v>
      </c>
      <c r="D1079" s="76">
        <v>180.6</v>
      </c>
      <c r="E1079" s="78">
        <f>2443.815/1800.553*100</f>
        <v>135.7258020174913</v>
      </c>
      <c r="F1079" s="76">
        <v>2443.8150000000001</v>
      </c>
      <c r="G1079" s="84">
        <v>8.3186774223076076E-2</v>
      </c>
      <c r="H1079" s="78">
        <v>108.3186774223076</v>
      </c>
      <c r="I1079" s="78">
        <v>124.54353535664539</v>
      </c>
      <c r="J1079" s="79">
        <f t="shared" si="559"/>
        <v>123.81085241978644</v>
      </c>
      <c r="K1079" s="80">
        <v>242521.1851</v>
      </c>
      <c r="L1079" s="83">
        <f t="shared" si="558"/>
        <v>43.689512436446719</v>
      </c>
    </row>
    <row r="1080" spans="1:12" ht="20.25" customHeight="1" x14ac:dyDescent="0.25">
      <c r="A1080" s="75">
        <v>37154</v>
      </c>
      <c r="B1080" s="76">
        <v>181.35929999999999</v>
      </c>
      <c r="C1080" s="76">
        <v>180.91</v>
      </c>
      <c r="D1080" s="76">
        <v>181.81</v>
      </c>
      <c r="E1080" s="78">
        <f>2368.88/1800.553*100</f>
        <v>131.56402505230338</v>
      </c>
      <c r="F1080" s="76">
        <v>2368.88</v>
      </c>
      <c r="G1080" s="84">
        <v>9.2914251092891087E-2</v>
      </c>
      <c r="H1080" s="78">
        <v>109.29142510928911</v>
      </c>
      <c r="I1080" s="78">
        <v>124.46613830506067</v>
      </c>
      <c r="J1080" s="79">
        <f t="shared" si="559"/>
        <v>122.41939693200902</v>
      </c>
      <c r="K1080" s="80">
        <v>241971.16029999999</v>
      </c>
      <c r="L1080" s="83">
        <f t="shared" si="558"/>
        <v>43.883720252195786</v>
      </c>
    </row>
    <row r="1081" spans="1:12" ht="20.25" customHeight="1" x14ac:dyDescent="0.25">
      <c r="A1081" s="75">
        <v>37140</v>
      </c>
      <c r="B1081" s="76">
        <v>181.4151</v>
      </c>
      <c r="C1081" s="76">
        <v>180.96</v>
      </c>
      <c r="D1081" s="76">
        <v>181.87</v>
      </c>
      <c r="E1081" s="78">
        <f>2653.913/1800.553*100</f>
        <v>147.39432829802843</v>
      </c>
      <c r="F1081" s="76">
        <v>2653.913</v>
      </c>
      <c r="G1081" s="84">
        <v>6.5624410364388819E-2</v>
      </c>
      <c r="H1081" s="78">
        <v>106.56244103643888</v>
      </c>
      <c r="I1081" s="78">
        <v>124.35576299171527</v>
      </c>
      <c r="J1081" s="79">
        <f t="shared" si="559"/>
        <v>127.63932087726182</v>
      </c>
      <c r="K1081" s="80">
        <v>240291.8842</v>
      </c>
      <c r="L1081" s="83">
        <f t="shared" si="558"/>
        <v>43.592576201331418</v>
      </c>
    </row>
    <row r="1082" spans="1:12" ht="20.25" customHeight="1" x14ac:dyDescent="0.25">
      <c r="A1082" s="75">
        <v>37133</v>
      </c>
      <c r="B1082" s="76">
        <v>183.7654</v>
      </c>
      <c r="C1082" s="76">
        <v>183.31</v>
      </c>
      <c r="D1082" s="76">
        <v>184.22</v>
      </c>
      <c r="E1082" s="78">
        <f>2731.436/1800.553*100</f>
        <v>151.69983888283213</v>
      </c>
      <c r="F1082" s="76">
        <v>2731.4360000000001</v>
      </c>
      <c r="G1082" s="84">
        <v>7.5331722179388327E-2</v>
      </c>
      <c r="H1082" s="78">
        <v>107.53317221793883</v>
      </c>
      <c r="I1082" s="78">
        <v>124.28680369644465</v>
      </c>
      <c r="J1082" s="79">
        <f t="shared" si="559"/>
        <v>130.07226047495203</v>
      </c>
      <c r="K1082" s="80">
        <v>237594.1912</v>
      </c>
      <c r="L1082" s="83">
        <f t="shared" si="558"/>
        <v>43.661591583544478</v>
      </c>
    </row>
    <row r="1083" spans="1:12" ht="20.25" customHeight="1" x14ac:dyDescent="0.25">
      <c r="A1083" s="75">
        <v>37126</v>
      </c>
      <c r="B1083" s="76">
        <v>184.48220000000001</v>
      </c>
      <c r="C1083" s="76">
        <v>184.02</v>
      </c>
      <c r="D1083" s="76">
        <v>184.94</v>
      </c>
      <c r="E1083" s="78">
        <f>2804.454/1800.553*100</f>
        <v>155.75514855713772</v>
      </c>
      <c r="F1083" s="76">
        <v>2804.4540000000002</v>
      </c>
      <c r="G1083" s="84">
        <v>7.5923415449257625E-2</v>
      </c>
      <c r="H1083" s="78">
        <v>107.59234154492576</v>
      </c>
      <c r="I1083" s="78">
        <v>124.21866316589924</v>
      </c>
      <c r="J1083" s="79">
        <f t="shared" si="559"/>
        <v>131.82463036974252</v>
      </c>
      <c r="K1083" s="80">
        <v>237594.1912</v>
      </c>
      <c r="L1083" s="83">
        <f t="shared" si="558"/>
        <v>43.831899099796644</v>
      </c>
    </row>
    <row r="1084" spans="1:12" ht="20.25" customHeight="1" x14ac:dyDescent="0.25">
      <c r="A1084" s="75">
        <v>37119</v>
      </c>
      <c r="B1084" s="76">
        <v>182.28870000000001</v>
      </c>
      <c r="C1084" s="76">
        <v>181.83</v>
      </c>
      <c r="D1084" s="76">
        <v>182.74</v>
      </c>
      <c r="E1084" s="78">
        <f>2840.671/1800.553*100</f>
        <v>157.76658615436477</v>
      </c>
      <c r="F1084" s="76">
        <v>2840.6709999999998</v>
      </c>
      <c r="G1084" s="84">
        <v>7.5196547907580236E-2</v>
      </c>
      <c r="H1084" s="78">
        <v>107.51965479075803</v>
      </c>
      <c r="I1084" s="78">
        <v>124.15004552417368</v>
      </c>
      <c r="J1084" s="79">
        <f t="shared" si="559"/>
        <v>132.62525056304008</v>
      </c>
      <c r="K1084" s="80">
        <v>235851.13</v>
      </c>
      <c r="L1084" s="83">
        <f t="shared" si="558"/>
        <v>42.992995881231003</v>
      </c>
    </row>
    <row r="1085" spans="1:12" ht="20.25" customHeight="1" x14ac:dyDescent="0.25">
      <c r="A1085" s="75">
        <v>37112</v>
      </c>
      <c r="B1085" s="76">
        <v>178.34790000000001</v>
      </c>
      <c r="C1085" s="76">
        <v>177.9</v>
      </c>
      <c r="D1085" s="76">
        <v>178.79</v>
      </c>
      <c r="E1085" s="78">
        <f>2824.165/1800.553*100</f>
        <v>156.84986779061765</v>
      </c>
      <c r="F1085" s="76">
        <v>2824.165</v>
      </c>
      <c r="G1085" s="84">
        <v>5.8203015409298509E-2</v>
      </c>
      <c r="H1085" s="78">
        <v>105.82030154092985</v>
      </c>
      <c r="I1085" s="78">
        <v>124.08064430476875</v>
      </c>
      <c r="J1085" s="79">
        <f t="shared" si="559"/>
        <v>131.18851216194082</v>
      </c>
      <c r="K1085" s="80">
        <v>235012.1569</v>
      </c>
      <c r="L1085" s="83">
        <f t="shared" si="558"/>
        <v>41.913924657585511</v>
      </c>
    </row>
    <row r="1086" spans="1:12" ht="20.25" customHeight="1" x14ac:dyDescent="0.25">
      <c r="A1086" s="75">
        <v>37105</v>
      </c>
      <c r="B1086" s="76">
        <v>175.2381</v>
      </c>
      <c r="C1086" s="76">
        <v>174.36</v>
      </c>
      <c r="D1086" s="76">
        <v>176.11</v>
      </c>
      <c r="E1086" s="78">
        <f>2910.995/1800.553*100</f>
        <v>161.67227512880766</v>
      </c>
      <c r="F1086" s="76">
        <v>2910.9949999999999</v>
      </c>
      <c r="G1086" s="84">
        <v>5.3419425049731517E-2</v>
      </c>
      <c r="H1086" s="78">
        <v>105.34194250497315</v>
      </c>
      <c r="I1086" s="78">
        <v>124.01041879805237</v>
      </c>
      <c r="J1086" s="79">
        <f t="shared" si="559"/>
        <v>132.86845283763665</v>
      </c>
      <c r="K1086" s="80">
        <v>235012.1569</v>
      </c>
      <c r="L1086" s="83">
        <f t="shared" si="558"/>
        <v>41.183083852057891</v>
      </c>
    </row>
    <row r="1087" spans="1:12" ht="20.25" customHeight="1" x14ac:dyDescent="0.25">
      <c r="A1087" s="75">
        <v>37098</v>
      </c>
      <c r="B1087" s="76">
        <v>174.8835</v>
      </c>
      <c r="C1087" s="76">
        <v>174.01</v>
      </c>
      <c r="D1087" s="76">
        <v>175.76</v>
      </c>
      <c r="E1087" s="78">
        <f>2830.013/1800.553*100</f>
        <v>157.17465689707549</v>
      </c>
      <c r="F1087" s="76">
        <v>2830.0129999999999</v>
      </c>
      <c r="G1087" s="84">
        <v>5.0374231734921171E-2</v>
      </c>
      <c r="H1087" s="78">
        <v>105.03742317349212</v>
      </c>
      <c r="I1087" s="78">
        <v>123.93944714869551</v>
      </c>
      <c r="J1087" s="79">
        <f t="shared" si="559"/>
        <v>130.8072853536234</v>
      </c>
      <c r="K1087" s="80">
        <v>235786.6869</v>
      </c>
      <c r="L1087" s="83">
        <f t="shared" si="558"/>
        <v>41.23520105847615</v>
      </c>
    </row>
    <row r="1088" spans="1:12" ht="20.25" customHeight="1" x14ac:dyDescent="0.25">
      <c r="A1088" s="75">
        <v>37091</v>
      </c>
      <c r="B1088" s="76">
        <v>174.56280000000001</v>
      </c>
      <c r="C1088" s="76">
        <v>173.69</v>
      </c>
      <c r="D1088" s="76">
        <v>175.44</v>
      </c>
      <c r="E1088" s="78">
        <f>2867.111/1800.553*100</f>
        <v>159.23502390654426</v>
      </c>
      <c r="F1088" s="76">
        <v>2867.1109999999999</v>
      </c>
      <c r="G1088" s="84">
        <v>4.7448976651266017E-2</v>
      </c>
      <c r="H1088" s="78">
        <v>104.7448976651266</v>
      </c>
      <c r="I1088" s="78">
        <v>123.86723584201383</v>
      </c>
      <c r="J1088" s="79">
        <f t="shared" si="559"/>
        <v>131.47428165899944</v>
      </c>
      <c r="K1088" s="80">
        <v>235786.6869</v>
      </c>
      <c r="L1088" s="83">
        <f t="shared" si="558"/>
        <v>41.159584267987327</v>
      </c>
    </row>
    <row r="1089" spans="1:12" ht="20.25" customHeight="1" x14ac:dyDescent="0.25">
      <c r="A1089" s="75">
        <v>37084</v>
      </c>
      <c r="B1089" s="76">
        <v>172.8467</v>
      </c>
      <c r="C1089" s="76">
        <v>171.98</v>
      </c>
      <c r="D1089" s="76">
        <v>173.71</v>
      </c>
      <c r="E1089" s="78">
        <f>2855.054/1800.553*100</f>
        <v>158.56539629769298</v>
      </c>
      <c r="F1089" s="76">
        <v>2855.0540000000001</v>
      </c>
      <c r="G1089" s="84">
        <v>3.8661581903026709E-2</v>
      </c>
      <c r="H1089" s="78">
        <v>103.86615819030267</v>
      </c>
      <c r="I1089" s="78">
        <v>123.79517498438292</v>
      </c>
      <c r="J1089" s="79">
        <f t="shared" si="559"/>
        <v>130.64576908248381</v>
      </c>
      <c r="K1089" s="80">
        <v>232620.49040000001</v>
      </c>
      <c r="L1089" s="83">
        <f t="shared" si="558"/>
        <v>40.207684118021682</v>
      </c>
    </row>
    <row r="1090" spans="1:12" ht="20.25" customHeight="1" x14ac:dyDescent="0.25">
      <c r="A1090" s="75">
        <v>37077</v>
      </c>
      <c r="B1090" s="76">
        <v>170.54400000000001</v>
      </c>
      <c r="C1090" s="76">
        <v>169.69</v>
      </c>
      <c r="D1090" s="76">
        <v>171.4</v>
      </c>
      <c r="E1090" s="78">
        <f>2878.776/1800.553*100</f>
        <v>159.88288042618015</v>
      </c>
      <c r="F1090" s="76">
        <v>2878.7759999999998</v>
      </c>
      <c r="G1090" s="84">
        <v>2.7532923314285807E-2</v>
      </c>
      <c r="H1090" s="78">
        <v>102.75329233142858</v>
      </c>
      <c r="I1090" s="78">
        <v>123.72197564016514</v>
      </c>
      <c r="J1090" s="79">
        <f t="shared" si="559"/>
        <v>130.4767914238117</v>
      </c>
      <c r="K1090" s="80">
        <v>232328.7751</v>
      </c>
      <c r="L1090" s="83">
        <f t="shared" si="558"/>
        <v>39.622278620654406</v>
      </c>
    </row>
    <row r="1091" spans="1:12" ht="20.25" customHeight="1" x14ac:dyDescent="0.25">
      <c r="A1091" s="75">
        <v>37070</v>
      </c>
      <c r="B1091" s="76">
        <v>170.3125</v>
      </c>
      <c r="C1091" s="76">
        <v>169.46</v>
      </c>
      <c r="D1091" s="76">
        <v>171.16</v>
      </c>
      <c r="E1091" s="78">
        <f>2902.527/1800.553*100</f>
        <v>161.20197517096136</v>
      </c>
      <c r="F1091" s="76">
        <v>2902.527</v>
      </c>
      <c r="G1091" s="84">
        <v>3.3549320708423869E-2</v>
      </c>
      <c r="H1091" s="78">
        <v>103.35493207084238</v>
      </c>
      <c r="I1091" s="78">
        <v>123.64835921816619</v>
      </c>
      <c r="J1091" s="79">
        <f t="shared" si="559"/>
        <v>131.39683025198269</v>
      </c>
      <c r="K1091" s="80">
        <v>228531.1588</v>
      </c>
      <c r="L1091" s="83">
        <f t="shared" si="558"/>
        <v>38.921712983124998</v>
      </c>
    </row>
    <row r="1092" spans="1:12" ht="20.25" customHeight="1" x14ac:dyDescent="0.25">
      <c r="A1092" s="75">
        <v>37063</v>
      </c>
      <c r="B1092" s="76">
        <v>170.69200000000001</v>
      </c>
      <c r="C1092" s="76">
        <v>169.84</v>
      </c>
      <c r="D1092" s="76">
        <v>171.55</v>
      </c>
      <c r="E1092" s="78">
        <f>2927.973/1800.553*100</f>
        <v>162.61520766120185</v>
      </c>
      <c r="F1092" s="76">
        <v>2927.973</v>
      </c>
      <c r="G1092" s="84">
        <v>3.6179015973290651E-2</v>
      </c>
      <c r="H1092" s="78">
        <v>103.61790159732907</v>
      </c>
      <c r="I1092" s="78">
        <v>123.56557874380366</v>
      </c>
      <c r="J1092" s="79">
        <f t="shared" si="559"/>
        <v>132.13869196929789</v>
      </c>
      <c r="K1092" s="80">
        <v>228531.1588</v>
      </c>
      <c r="L1092" s="83">
        <f t="shared" si="558"/>
        <v>39.0084405578896</v>
      </c>
    </row>
    <row r="1093" spans="1:12" ht="20.25" customHeight="1" x14ac:dyDescent="0.25">
      <c r="A1093" s="75">
        <v>37056</v>
      </c>
      <c r="B1093" s="76">
        <v>171.8938</v>
      </c>
      <c r="C1093" s="76">
        <v>171.03</v>
      </c>
      <c r="D1093" s="76">
        <v>172.75</v>
      </c>
      <c r="E1093" s="78">
        <f>2931.104/1800.553*100</f>
        <v>162.78909868246032</v>
      </c>
      <c r="F1093" s="76">
        <v>2931.1039999999998</v>
      </c>
      <c r="G1093" s="84">
        <v>4.4232785441512101E-2</v>
      </c>
      <c r="H1093" s="78">
        <v>104.42327854415122</v>
      </c>
      <c r="I1093" s="78">
        <v>123.49418003381423</v>
      </c>
      <c r="J1093" s="79">
        <f t="shared" si="559"/>
        <v>132.72139310487319</v>
      </c>
      <c r="K1093" s="80">
        <v>227439.42619999999</v>
      </c>
      <c r="L1093" s="83">
        <f t="shared" si="558"/>
        <v>39.095427239337553</v>
      </c>
    </row>
    <row r="1094" spans="1:12" ht="20.25" customHeight="1" x14ac:dyDescent="0.25">
      <c r="A1094" s="75">
        <v>37049</v>
      </c>
      <c r="B1094" s="76">
        <v>167.8904</v>
      </c>
      <c r="C1094" s="76">
        <v>167.05</v>
      </c>
      <c r="D1094" s="76">
        <v>168.73</v>
      </c>
      <c r="E1094" s="78">
        <f>3038.988/1800.553*100</f>
        <v>168.78081345009005</v>
      </c>
      <c r="F1094" s="76">
        <v>3038.9879999999998</v>
      </c>
      <c r="G1094" s="84">
        <v>4.2965863748567701E-2</v>
      </c>
      <c r="H1094" s="78">
        <v>104.29658637485677</v>
      </c>
      <c r="I1094" s="78">
        <v>123.42097987571074</v>
      </c>
      <c r="J1094" s="79">
        <f t="shared" si="559"/>
        <v>135.03626894603252</v>
      </c>
      <c r="K1094" s="80">
        <v>227439.42619999999</v>
      </c>
      <c r="L1094" s="83">
        <f t="shared" si="558"/>
        <v>38.184896240488477</v>
      </c>
    </row>
    <row r="1095" spans="1:12" ht="20.25" customHeight="1" x14ac:dyDescent="0.25">
      <c r="A1095" s="75">
        <v>37042</v>
      </c>
      <c r="B1095" s="76">
        <v>169.154</v>
      </c>
      <c r="C1095" s="76">
        <v>168.31</v>
      </c>
      <c r="D1095" s="76">
        <v>170</v>
      </c>
      <c r="E1095" s="78">
        <f>3006.796/1800.553*100</f>
        <v>166.99291828677076</v>
      </c>
      <c r="F1095" s="76">
        <v>3006.7959999999998</v>
      </c>
      <c r="G1095" s="84">
        <v>4.367731188761792E-2</v>
      </c>
      <c r="H1095" s="78">
        <v>104.36773118876179</v>
      </c>
      <c r="I1095" s="78">
        <v>123.34784811934838</v>
      </c>
      <c r="J1095" s="79">
        <f t="shared" si="559"/>
        <v>134.36279300462746</v>
      </c>
      <c r="K1095" s="80">
        <v>226557.48499999999</v>
      </c>
      <c r="L1095" s="83">
        <f t="shared" si="558"/>
        <v>38.323104817690002</v>
      </c>
    </row>
    <row r="1096" spans="1:12" ht="20.25" customHeight="1" x14ac:dyDescent="0.25">
      <c r="A1096" s="75">
        <v>37035</v>
      </c>
      <c r="B1096" s="76">
        <v>168.4855</v>
      </c>
      <c r="C1096" s="76">
        <v>167.64</v>
      </c>
      <c r="D1096" s="76">
        <v>169.33</v>
      </c>
      <c r="E1096" s="78">
        <f>3093.906/1800.553*100</f>
        <v>171.83087640297174</v>
      </c>
      <c r="F1096" s="76">
        <v>3093.9059999999999</v>
      </c>
      <c r="G1096" s="84">
        <v>4.2775797522708991E-2</v>
      </c>
      <c r="H1096" s="78">
        <v>104.2775797522709</v>
      </c>
      <c r="I1096" s="78">
        <v>123.28384227275693</v>
      </c>
      <c r="J1096" s="79">
        <f t="shared" si="559"/>
        <v>136.2215921189329</v>
      </c>
      <c r="K1096" s="80">
        <v>226557.48499999999</v>
      </c>
      <c r="L1096" s="83">
        <f t="shared" si="558"/>
        <v>38.171651138967498</v>
      </c>
    </row>
    <row r="1097" spans="1:12" ht="20.25" customHeight="1" x14ac:dyDescent="0.25">
      <c r="A1097" s="75">
        <v>37028</v>
      </c>
      <c r="B1097" s="76">
        <v>168.0326</v>
      </c>
      <c r="C1097" s="76">
        <v>167.19</v>
      </c>
      <c r="D1097" s="76">
        <v>168.87</v>
      </c>
      <c r="E1097" s="78">
        <f>3095.865/1800.553*100</f>
        <v>171.93967631055568</v>
      </c>
      <c r="F1097" s="76">
        <v>3095.8649999999998</v>
      </c>
      <c r="G1097" s="84">
        <v>4.7233920845474842E-2</v>
      </c>
      <c r="H1097" s="78">
        <v>104.72339208454748</v>
      </c>
      <c r="I1097" s="78">
        <v>123.19776416369982</v>
      </c>
      <c r="J1097" s="79">
        <f t="shared" si="559"/>
        <v>136.55545832488167</v>
      </c>
      <c r="K1097" s="80">
        <v>226557.48499999999</v>
      </c>
      <c r="L1097" s="83">
        <f t="shared" si="558"/>
        <v>38.069043254011</v>
      </c>
    </row>
    <row r="1098" spans="1:12" ht="20.25" customHeight="1" x14ac:dyDescent="0.25">
      <c r="A1098" s="75">
        <v>37021</v>
      </c>
      <c r="B1098" s="76">
        <v>168.97149999999999</v>
      </c>
      <c r="C1098" s="76">
        <v>168.13</v>
      </c>
      <c r="D1098" s="76">
        <v>169.82</v>
      </c>
      <c r="E1098" s="78">
        <f>3057.422/1800.553*100</f>
        <v>169.80461002814135</v>
      </c>
      <c r="F1098" s="76">
        <v>3057.422</v>
      </c>
      <c r="G1098" s="84">
        <v>4.8138588954892647E-2</v>
      </c>
      <c r="H1098" s="78">
        <v>104.81385889548926</v>
      </c>
      <c r="I1098" s="78">
        <v>123.12247773699596</v>
      </c>
      <c r="J1098" s="79">
        <f t="shared" si="559"/>
        <v>135.76054326690507</v>
      </c>
      <c r="K1098" s="80">
        <v>214780.30919999999</v>
      </c>
      <c r="L1098" s="83">
        <f t="shared" si="558"/>
        <v>36.291751015987799</v>
      </c>
    </row>
    <row r="1099" spans="1:12" ht="20.25" customHeight="1" x14ac:dyDescent="0.25">
      <c r="A1099" s="75">
        <v>37014</v>
      </c>
      <c r="B1099" s="76">
        <v>170.0838</v>
      </c>
      <c r="C1099" s="76">
        <v>169.23</v>
      </c>
      <c r="D1099" s="76">
        <v>170.93</v>
      </c>
      <c r="E1099" s="78">
        <f>3048.697/1800.553*100</f>
        <v>169.32003667762069</v>
      </c>
      <c r="F1099" s="76">
        <v>3048.6970000000001</v>
      </c>
      <c r="G1099" s="84">
        <v>5.5263155771816397E-2</v>
      </c>
      <c r="H1099" s="78">
        <v>105.52631557718163</v>
      </c>
      <c r="I1099" s="78">
        <v>123.04568311419031</v>
      </c>
      <c r="J1099" s="79">
        <f t="shared" si="559"/>
        <v>136.02508358922529</v>
      </c>
      <c r="K1099" s="80">
        <v>214780.30919999999</v>
      </c>
      <c r="L1099" s="83">
        <f t="shared" si="558"/>
        <v>36.530651153910959</v>
      </c>
    </row>
    <row r="1100" spans="1:12" ht="20.25" customHeight="1" x14ac:dyDescent="0.25">
      <c r="A1100" s="75">
        <v>37007</v>
      </c>
      <c r="B1100" s="76">
        <v>168.54599999999999</v>
      </c>
      <c r="C1100" s="76">
        <v>167.7</v>
      </c>
      <c r="D1100" s="76">
        <v>169.39</v>
      </c>
      <c r="E1100" s="78">
        <f>3018.012/1800.553*100</f>
        <v>167.61583802309622</v>
      </c>
      <c r="F1100" s="76">
        <v>3018.0120000000002</v>
      </c>
      <c r="G1100" s="84">
        <v>5.5131510341836165E-2</v>
      </c>
      <c r="H1100" s="78">
        <v>105.51315103418362</v>
      </c>
      <c r="I1100" s="78">
        <v>122.96592777222826</v>
      </c>
      <c r="J1100" s="79">
        <f t="shared" si="559"/>
        <v>135.32867843595113</v>
      </c>
      <c r="K1100" s="80">
        <v>212418.8947</v>
      </c>
      <c r="L1100" s="83">
        <f t="shared" si="558"/>
        <v>35.802355026106198</v>
      </c>
    </row>
    <row r="1101" spans="1:12" ht="20.25" customHeight="1" x14ac:dyDescent="0.25">
      <c r="A1101" s="75">
        <v>37000</v>
      </c>
      <c r="B1101" s="76">
        <v>164.7191</v>
      </c>
      <c r="C1101" s="76">
        <v>163.9</v>
      </c>
      <c r="D1101" s="76">
        <v>165.54</v>
      </c>
      <c r="E1101" s="78">
        <f>3034.861/1800.553*100</f>
        <v>168.55160608990681</v>
      </c>
      <c r="F1101" s="76">
        <v>3034.8609999999999</v>
      </c>
      <c r="G1101" s="84">
        <v>5.0314053776327139E-2</v>
      </c>
      <c r="H1101" s="78">
        <v>105.03140537763271</v>
      </c>
      <c r="I1101" s="78">
        <v>122.88672313468696</v>
      </c>
      <c r="J1101" s="79">
        <f t="shared" si="559"/>
        <v>135.39401534595063</v>
      </c>
      <c r="K1101" s="80">
        <v>211585.25940000001</v>
      </c>
      <c r="L1101" s="83">
        <f t="shared" si="558"/>
        <v>34.85213350163454</v>
      </c>
    </row>
    <row r="1102" spans="1:12" ht="20.25" customHeight="1" x14ac:dyDescent="0.25">
      <c r="A1102" s="75">
        <v>36993</v>
      </c>
      <c r="B1102" s="76">
        <v>166.2433</v>
      </c>
      <c r="C1102" s="76">
        <v>165.41</v>
      </c>
      <c r="D1102" s="76">
        <v>167.07</v>
      </c>
      <c r="E1102" s="78">
        <f>2909.915/1800.553*100</f>
        <v>161.61229355647959</v>
      </c>
      <c r="F1102" s="76">
        <v>2909.915</v>
      </c>
      <c r="G1102" s="84">
        <v>4.7900693281982321E-2</v>
      </c>
      <c r="H1102" s="78">
        <v>104.79006932819823</v>
      </c>
      <c r="I1102" s="78">
        <v>122.80791010693825</v>
      </c>
      <c r="J1102" s="79">
        <f t="shared" si="559"/>
        <v>132.39907757014504</v>
      </c>
      <c r="K1102" s="80">
        <v>211585.25940000001</v>
      </c>
      <c r="L1102" s="83">
        <f t="shared" si="558"/>
        <v>35.174631754012026</v>
      </c>
    </row>
    <row r="1103" spans="1:12" ht="20.25" customHeight="1" x14ac:dyDescent="0.25">
      <c r="A1103" s="75">
        <v>36986</v>
      </c>
      <c r="B1103" s="76">
        <v>167.6328</v>
      </c>
      <c r="C1103" s="76">
        <v>166.79</v>
      </c>
      <c r="D1103" s="76">
        <v>168.47</v>
      </c>
      <c r="E1103" s="78">
        <f>2838.644/1800.553*100</f>
        <v>157.65400962926387</v>
      </c>
      <c r="F1103" s="76">
        <v>2838.6439999999998</v>
      </c>
      <c r="G1103" s="84">
        <v>4.5970956379927763E-2</v>
      </c>
      <c r="H1103" s="78">
        <v>104.59709563799278</v>
      </c>
      <c r="I1103" s="78">
        <v>122.72580975629998</v>
      </c>
      <c r="J1103" s="79">
        <f t="shared" si="559"/>
        <v>130.63857035189139</v>
      </c>
      <c r="K1103" s="80">
        <v>211585.25940000001</v>
      </c>
      <c r="L1103" s="83">
        <f t="shared" si="558"/>
        <v>35.468629471948326</v>
      </c>
    </row>
    <row r="1104" spans="1:12" ht="20.25" customHeight="1" x14ac:dyDescent="0.25">
      <c r="A1104" s="75">
        <v>36979</v>
      </c>
      <c r="B1104" s="76">
        <v>165.31700000000001</v>
      </c>
      <c r="C1104" s="76">
        <v>164.49</v>
      </c>
      <c r="D1104" s="76">
        <v>166.14</v>
      </c>
      <c r="E1104" s="78">
        <f>2818.114/1800.553*100</f>
        <v>156.51380437010184</v>
      </c>
      <c r="F1104" s="76">
        <v>2818.114</v>
      </c>
      <c r="G1104" s="84">
        <v>4.2605155135799988E-2</v>
      </c>
      <c r="H1104" s="78">
        <v>104.26051551358</v>
      </c>
      <c r="I1104" s="78">
        <v>122.63421207940098</v>
      </c>
      <c r="J1104" s="79">
        <f t="shared" si="559"/>
        <v>129.9554417220368</v>
      </c>
      <c r="K1104" s="80">
        <v>211585.25940000001</v>
      </c>
      <c r="L1104" s="83">
        <f t="shared" si="558"/>
        <v>34.978640328229801</v>
      </c>
    </row>
    <row r="1105" spans="1:12" ht="20.25" customHeight="1" x14ac:dyDescent="0.25">
      <c r="A1105" s="75">
        <v>36972</v>
      </c>
      <c r="B1105" s="76">
        <v>166.399</v>
      </c>
      <c r="C1105" s="76">
        <v>165.57</v>
      </c>
      <c r="D1105" s="76">
        <v>167.23</v>
      </c>
      <c r="E1105" s="78">
        <f>2707.417/1800.553*100</f>
        <v>150.3658598219547</v>
      </c>
      <c r="F1105" s="76">
        <v>2707.4169999999999</v>
      </c>
      <c r="G1105" s="84">
        <v>3.9997523339719621E-2</v>
      </c>
      <c r="H1105" s="78">
        <v>103.99975233397197</v>
      </c>
      <c r="I1105" s="78">
        <v>122.5531710669658</v>
      </c>
      <c r="J1105" s="79">
        <f t="shared" si="559"/>
        <v>127.19568233211245</v>
      </c>
      <c r="K1105" s="80">
        <v>211585.25940000001</v>
      </c>
      <c r="L1105" s="83">
        <f t="shared" si="558"/>
        <v>35.207575578900602</v>
      </c>
    </row>
    <row r="1106" spans="1:12" ht="20.25" customHeight="1" x14ac:dyDescent="0.25">
      <c r="A1106" s="75">
        <v>36965</v>
      </c>
      <c r="B1106" s="76">
        <v>166.977</v>
      </c>
      <c r="C1106" s="76">
        <v>166.14</v>
      </c>
      <c r="D1106" s="76">
        <v>167.81</v>
      </c>
      <c r="E1106" s="78">
        <f>2868.285/1800.553*100</f>
        <v>159.30022609720456</v>
      </c>
      <c r="F1106" s="76">
        <v>2868.2849999999999</v>
      </c>
      <c r="G1106" s="84">
        <v>5.378890952517712E-2</v>
      </c>
      <c r="H1106" s="78">
        <v>105.37889095251771</v>
      </c>
      <c r="I1106" s="78">
        <v>122.47213519770162</v>
      </c>
      <c r="J1106" s="79">
        <f t="shared" si="559"/>
        <v>131.75250817138715</v>
      </c>
      <c r="K1106" s="80">
        <v>211585.25940000001</v>
      </c>
      <c r="L1106" s="83">
        <f t="shared" si="558"/>
        <v>35.329871858833805</v>
      </c>
    </row>
    <row r="1107" spans="1:12" ht="20.25" customHeight="1" x14ac:dyDescent="0.25">
      <c r="A1107" s="75">
        <v>36958</v>
      </c>
      <c r="B1107" s="76">
        <v>170.70599999999999</v>
      </c>
      <c r="C1107" s="76">
        <v>169.85</v>
      </c>
      <c r="D1107" s="76">
        <v>171.56</v>
      </c>
      <c r="E1107" s="78">
        <f>3074.256/1800.553*100</f>
        <v>170.73954501755847</v>
      </c>
      <c r="F1107" s="76">
        <v>3074.2559999999999</v>
      </c>
      <c r="G1107" s="84">
        <v>6.7846625012939255E-2</v>
      </c>
      <c r="H1107" s="78">
        <v>106.78466250129392</v>
      </c>
      <c r="I1107" s="78">
        <v>122.38861377072394</v>
      </c>
      <c r="J1107" s="79">
        <f t="shared" si="559"/>
        <v>137.25386222805224</v>
      </c>
      <c r="K1107" s="80">
        <v>210894.80710000001</v>
      </c>
      <c r="L1107" s="83">
        <f t="shared" si="558"/>
        <v>36.001008940812596</v>
      </c>
    </row>
    <row r="1108" spans="1:12" ht="20.25" customHeight="1" x14ac:dyDescent="0.25">
      <c r="A1108" s="75">
        <v>36951</v>
      </c>
      <c r="B1108" s="76">
        <v>170.29900000000001</v>
      </c>
      <c r="C1108" s="76">
        <v>169.45</v>
      </c>
      <c r="D1108" s="76">
        <v>171.15</v>
      </c>
      <c r="E1108" s="78">
        <f>3031.266/1800.553*100</f>
        <v>168.35194520794442</v>
      </c>
      <c r="F1108" s="76">
        <v>3031.2660000000001</v>
      </c>
      <c r="G1108" s="84">
        <v>7.1702279412102055E-2</v>
      </c>
      <c r="H1108" s="78">
        <v>107.1702279412102</v>
      </c>
      <c r="I1108" s="78">
        <v>122.31</v>
      </c>
      <c r="J1108" s="79">
        <f t="shared" si="559"/>
        <v>136.53130433172112</v>
      </c>
      <c r="K1108" s="80">
        <v>207973.39309999999</v>
      </c>
      <c r="L1108" s="83">
        <f t="shared" si="558"/>
        <v>35.417660871536896</v>
      </c>
    </row>
    <row r="1109" spans="1:12" ht="20.25" customHeight="1" x14ac:dyDescent="0.25">
      <c r="A1109" s="75">
        <v>36944</v>
      </c>
      <c r="B1109" s="76">
        <v>167.88200000000001</v>
      </c>
      <c r="C1109" s="76">
        <v>167.04</v>
      </c>
      <c r="D1109" s="76">
        <v>168.72</v>
      </c>
      <c r="E1109" s="78">
        <f>3045.063/1800.553*100</f>
        <v>169.11820979443536</v>
      </c>
      <c r="F1109" s="76">
        <v>3045.0630000000001</v>
      </c>
      <c r="G1109" s="84">
        <v>6.3921516524571675E-2</v>
      </c>
      <c r="H1109" s="78">
        <v>106.39215165245717</v>
      </c>
      <c r="I1109" s="78">
        <v>121.99457169132801</v>
      </c>
      <c r="J1109" s="79">
        <f t="shared" si="559"/>
        <v>136.34162955269818</v>
      </c>
      <c r="K1109" s="80">
        <v>207380.69510000001</v>
      </c>
      <c r="L1109" s="83">
        <f t="shared" si="558"/>
        <v>34.815485854778203</v>
      </c>
    </row>
    <row r="1110" spans="1:12" ht="20.25" customHeight="1" x14ac:dyDescent="0.25">
      <c r="A1110" s="75">
        <v>36937</v>
      </c>
      <c r="B1110" s="76">
        <v>165.22499999999999</v>
      </c>
      <c r="C1110" s="76">
        <v>164.4</v>
      </c>
      <c r="D1110" s="76">
        <v>166.05</v>
      </c>
      <c r="E1110" s="78">
        <f>3186.486/1800.553*100</f>
        <v>176.97263007531575</v>
      </c>
      <c r="F1110" s="76">
        <v>3186.4859999999999</v>
      </c>
      <c r="G1110" s="84">
        <v>6.2823203138067552E-2</v>
      </c>
      <c r="H1110" s="78">
        <v>106.28232031380675</v>
      </c>
      <c r="I1110" s="78">
        <v>121.942344539846</v>
      </c>
      <c r="J1110" s="79">
        <f t="shared" si="559"/>
        <v>139.36221685489153</v>
      </c>
      <c r="K1110" s="80">
        <v>207380.69510000001</v>
      </c>
      <c r="L1110" s="83">
        <f t="shared" si="558"/>
        <v>34.264475347897502</v>
      </c>
    </row>
    <row r="1111" spans="1:12" ht="20.25" customHeight="1" x14ac:dyDescent="0.25">
      <c r="A1111" s="75">
        <v>36930</v>
      </c>
      <c r="B1111" s="76">
        <v>164.24100000000001</v>
      </c>
      <c r="C1111" s="76">
        <v>163.41999999999999</v>
      </c>
      <c r="D1111" s="76">
        <v>165.06</v>
      </c>
      <c r="E1111" s="78">
        <f>3216.737/1800.553*100</f>
        <v>178.65272502392321</v>
      </c>
      <c r="F1111" s="76">
        <v>3216.7370000000001</v>
      </c>
      <c r="G1111" s="84">
        <v>6.7216401064849718E-2</v>
      </c>
      <c r="H1111" s="78">
        <v>106.72164010648497</v>
      </c>
      <c r="I1111" s="78">
        <v>121.890117388364</v>
      </c>
      <c r="J1111" s="79">
        <f t="shared" si="559"/>
        <v>140.31077040863437</v>
      </c>
      <c r="K1111" s="80">
        <v>207168.65100000001</v>
      </c>
      <c r="L1111" s="83">
        <f t="shared" si="558"/>
        <v>34.025586408891009</v>
      </c>
    </row>
    <row r="1112" spans="1:12" ht="20.25" customHeight="1" x14ac:dyDescent="0.25">
      <c r="A1112" s="75">
        <v>36923</v>
      </c>
      <c r="B1112" s="76">
        <v>163.23599999999999</v>
      </c>
      <c r="C1112" s="76">
        <v>162.41999999999999</v>
      </c>
      <c r="D1112" s="76">
        <v>164.05</v>
      </c>
      <c r="E1112" s="78">
        <f>3326.021/1800.553*100</f>
        <v>184.72219368160782</v>
      </c>
      <c r="F1112" s="76">
        <v>3326.0210000000002</v>
      </c>
      <c r="G1112" s="84">
        <v>7.695084201713831E-2</v>
      </c>
      <c r="H1112" s="78">
        <v>107.69508420171383</v>
      </c>
      <c r="I1112" s="78">
        <v>121.837890236882</v>
      </c>
      <c r="J1112" s="79">
        <f t="shared" si="559"/>
        <v>143.31290122465208</v>
      </c>
      <c r="K1112" s="80">
        <v>207948.2126</v>
      </c>
      <c r="L1112" s="83">
        <f t="shared" si="558"/>
        <v>33.944634431973597</v>
      </c>
    </row>
    <row r="1113" spans="1:12" ht="20.25" customHeight="1" x14ac:dyDescent="0.25">
      <c r="A1113" s="75">
        <v>36916</v>
      </c>
      <c r="B1113" s="76">
        <v>160.14400000000001</v>
      </c>
      <c r="C1113" s="76">
        <v>159.34</v>
      </c>
      <c r="D1113" s="76">
        <v>160.94</v>
      </c>
      <c r="E1113" s="78">
        <f>3284.421/1800.553*100</f>
        <v>182.4117923771197</v>
      </c>
      <c r="F1113" s="76">
        <v>3284.4209999999998</v>
      </c>
      <c r="G1113" s="84">
        <v>6.4962145286030726E-2</v>
      </c>
      <c r="H1113" s="78">
        <v>106.49621452860308</v>
      </c>
      <c r="I1113" s="78">
        <v>121.7856630854</v>
      </c>
      <c r="J1113" s="79">
        <f t="shared" si="559"/>
        <v>141.61890912992357</v>
      </c>
      <c r="K1113" s="80">
        <v>217652.13949999999</v>
      </c>
      <c r="L1113" s="83">
        <f t="shared" si="558"/>
        <v>34.855684228088002</v>
      </c>
    </row>
    <row r="1114" spans="1:12" ht="20.25" customHeight="1" x14ac:dyDescent="0.25">
      <c r="A1114" s="75">
        <v>36909</v>
      </c>
      <c r="B1114" s="76">
        <v>160.01</v>
      </c>
      <c r="C1114" s="76">
        <v>159.21</v>
      </c>
      <c r="D1114" s="76">
        <v>160.81</v>
      </c>
      <c r="E1114" s="78">
        <f>3283.916/1800.553*100</f>
        <v>182.38374543820703</v>
      </c>
      <c r="F1114" s="76">
        <v>3283.9160000000002</v>
      </c>
      <c r="G1114" s="84">
        <v>7.0665570014290857E-2</v>
      </c>
      <c r="H1114" s="78">
        <v>107.06655700142909</v>
      </c>
      <c r="I1114" s="78">
        <v>121.733435933918</v>
      </c>
      <c r="J1114" s="79">
        <f t="shared" si="559"/>
        <v>141.98617127976161</v>
      </c>
      <c r="K1114" s="80">
        <v>217652.13949999999</v>
      </c>
      <c r="L1114" s="83">
        <f t="shared" si="558"/>
        <v>34.826518841395</v>
      </c>
    </row>
    <row r="1115" spans="1:12" ht="20.25" customHeight="1" x14ac:dyDescent="0.25">
      <c r="A1115" s="75">
        <v>36902</v>
      </c>
      <c r="B1115" s="76">
        <v>161.74</v>
      </c>
      <c r="C1115" s="76">
        <v>160.93</v>
      </c>
      <c r="D1115" s="76">
        <v>162.55000000000001</v>
      </c>
      <c r="E1115" s="78">
        <f>3228.999/1800.553*100</f>
        <v>179.33373802381823</v>
      </c>
      <c r="F1115" s="76">
        <v>3228.9989999999998</v>
      </c>
      <c r="G1115" s="84">
        <v>7.2993699696040304E-2</v>
      </c>
      <c r="H1115" s="78">
        <v>107.29936996960403</v>
      </c>
      <c r="I1115" s="78">
        <v>121.68120878243531</v>
      </c>
      <c r="J1115" s="79">
        <f t="shared" si="559"/>
        <v>140.94055539762439</v>
      </c>
      <c r="K1115" s="80">
        <v>217652.13949999999</v>
      </c>
      <c r="L1115" s="83">
        <f t="shared" si="558"/>
        <v>35.203057042730002</v>
      </c>
    </row>
    <row r="1116" spans="1:12" ht="20.25" customHeight="1" x14ac:dyDescent="0.25">
      <c r="A1116" s="75">
        <v>36895</v>
      </c>
      <c r="B1116" s="76">
        <v>160.59899999999999</v>
      </c>
      <c r="C1116" s="76">
        <v>159.80000000000001</v>
      </c>
      <c r="D1116" s="76">
        <v>161.4</v>
      </c>
      <c r="E1116" s="78">
        <f>3265.641/1800.553*100</f>
        <v>181.36877948052626</v>
      </c>
      <c r="F1116" s="76">
        <v>3265.6410000000001</v>
      </c>
      <c r="G1116" s="84">
        <v>7.4951995468694799E-2</v>
      </c>
      <c r="H1116" s="78">
        <v>107.49519954686949</v>
      </c>
      <c r="I1116" s="78">
        <v>121.62898163095306</v>
      </c>
      <c r="J1116" s="79">
        <f t="shared" si="559"/>
        <v>141.86567662678078</v>
      </c>
      <c r="K1116" s="80">
        <v>217652.13949999999</v>
      </c>
      <c r="L1116" s="83">
        <f t="shared" si="558"/>
        <v>34.954715951560495</v>
      </c>
    </row>
    <row r="1117" spans="1:12" ht="20.25" customHeight="1" x14ac:dyDescent="0.25">
      <c r="A1117" s="75">
        <v>36888</v>
      </c>
      <c r="B1117" s="76">
        <v>158.85</v>
      </c>
      <c r="C1117" s="76">
        <v>158.05000000000001</v>
      </c>
      <c r="D1117" s="76">
        <v>159.63999999999999</v>
      </c>
      <c r="E1117" s="78">
        <f>3197.338/1800.553*100</f>
        <v>177.57533380022693</v>
      </c>
      <c r="F1117" s="76">
        <v>3197.3380000000002</v>
      </c>
      <c r="G1117" s="84">
        <v>6.7727624176336709E-2</v>
      </c>
      <c r="H1117" s="78">
        <v>106.77276241763367</v>
      </c>
      <c r="I1117" s="78">
        <v>121.49641323293886</v>
      </c>
      <c r="J1117" s="79">
        <f t="shared" si="559"/>
        <v>139.89810928668615</v>
      </c>
      <c r="K1117" s="80">
        <v>217652.13949999999</v>
      </c>
      <c r="L1117" s="83">
        <f t="shared" si="558"/>
        <v>34.574042359574996</v>
      </c>
    </row>
    <row r="1118" spans="1:12" ht="20.25" customHeight="1" x14ac:dyDescent="0.25">
      <c r="A1118" s="75">
        <v>36881</v>
      </c>
      <c r="B1118" s="76">
        <v>157.1</v>
      </c>
      <c r="C1118" s="76">
        <v>156.31</v>
      </c>
      <c r="D1118" s="76">
        <v>157.88</v>
      </c>
      <c r="E1118" s="78">
        <f>3197.338/1800.553*100</f>
        <v>177.57533380022693</v>
      </c>
      <c r="F1118" s="76">
        <v>3197.3380000000002</v>
      </c>
      <c r="G1118" s="84">
        <v>6.8199628807773083E-2</v>
      </c>
      <c r="H1118" s="78">
        <v>106.81996288077731</v>
      </c>
      <c r="I1118" s="78">
        <v>121.39735035590334</v>
      </c>
      <c r="J1118" s="79">
        <f t="shared" si="559"/>
        <v>139.92902445733171</v>
      </c>
      <c r="K1118" s="80">
        <v>217863.28810000001</v>
      </c>
      <c r="L1118" s="83">
        <f t="shared" si="558"/>
        <v>34.226322560509999</v>
      </c>
    </row>
    <row r="1119" spans="1:12" ht="20.25" customHeight="1" x14ac:dyDescent="0.25">
      <c r="A1119" s="75">
        <v>36874</v>
      </c>
      <c r="B1119" s="76">
        <v>150.99625</v>
      </c>
      <c r="C1119" s="76">
        <v>150.24</v>
      </c>
      <c r="D1119" s="76">
        <v>151.75</v>
      </c>
      <c r="E1119" s="78">
        <f>3197.338/1800.553*100</f>
        <v>177.57533380022693</v>
      </c>
      <c r="F1119" s="76">
        <v>3197.3380000000002</v>
      </c>
      <c r="G1119" s="84">
        <v>5.6469500044306287E-2</v>
      </c>
      <c r="H1119" s="78">
        <v>105.64695000443064</v>
      </c>
      <c r="I1119" s="78">
        <v>121.29771088633497</v>
      </c>
      <c r="J1119" s="79">
        <f t="shared" si="559"/>
        <v>139.15648747623592</v>
      </c>
      <c r="K1119" s="80">
        <v>217863.28810000001</v>
      </c>
      <c r="L1119" s="83">
        <f t="shared" si="558"/>
        <v>32.896539515769625</v>
      </c>
    </row>
    <row r="1120" spans="1:12" ht="20.25" customHeight="1" x14ac:dyDescent="0.25">
      <c r="A1120" s="75">
        <v>36867</v>
      </c>
      <c r="B1120" s="76">
        <v>151.95783</v>
      </c>
      <c r="C1120" s="76">
        <v>151.19999999999999</v>
      </c>
      <c r="D1120" s="76">
        <v>152.72</v>
      </c>
      <c r="E1120" s="78">
        <f>3197.338/1800.553*100</f>
        <v>177.57533380022693</v>
      </c>
      <c r="F1120" s="76">
        <v>3197.3380000000002</v>
      </c>
      <c r="G1120" s="84">
        <v>5.9981406766095535E-2</v>
      </c>
      <c r="H1120" s="78">
        <v>105.99814067660955</v>
      </c>
      <c r="I1120" s="78">
        <v>121.19595567507039</v>
      </c>
      <c r="J1120" s="79">
        <f t="shared" si="559"/>
        <v>139.38739507828603</v>
      </c>
      <c r="K1120" s="80">
        <v>217863.28810000001</v>
      </c>
      <c r="L1120" s="83">
        <f t="shared" si="558"/>
        <v>33.106032496340823</v>
      </c>
    </row>
    <row r="1121" spans="1:12" ht="20.25" customHeight="1" x14ac:dyDescent="0.25">
      <c r="A1121" s="75">
        <v>36860</v>
      </c>
      <c r="B1121" s="76">
        <v>150.38</v>
      </c>
      <c r="C1121" s="76">
        <v>149.63</v>
      </c>
      <c r="D1121" s="76">
        <v>151.13999999999999</v>
      </c>
      <c r="E1121" s="78">
        <f>3197.338/1800.553*100</f>
        <v>177.57533380022693</v>
      </c>
      <c r="F1121" s="76">
        <v>3197.3380000000002</v>
      </c>
      <c r="G1121" s="84">
        <v>5.0745337344157315E-2</v>
      </c>
      <c r="H1121" s="78">
        <v>105.07453373441574</v>
      </c>
      <c r="I1121" s="78">
        <v>121.09409294144066</v>
      </c>
      <c r="J1121" s="79">
        <f t="shared" si="559"/>
        <v>138.77746692861982</v>
      </c>
      <c r="K1121" s="80">
        <v>217863.28810000001</v>
      </c>
      <c r="L1121" s="83">
        <f t="shared" si="558"/>
        <v>32.762281264477998</v>
      </c>
    </row>
    <row r="1122" spans="1:12" ht="20.25" customHeight="1" x14ac:dyDescent="0.25">
      <c r="A1122" s="75">
        <v>36853</v>
      </c>
      <c r="B1122" s="76">
        <v>147.83000000000001</v>
      </c>
      <c r="C1122" s="76">
        <v>147.09</v>
      </c>
      <c r="D1122" s="76">
        <v>148.57</v>
      </c>
      <c r="E1122" s="78">
        <f>3403.538/1800.553*100</f>
        <v>189.02737103545411</v>
      </c>
      <c r="F1122" s="76">
        <v>3403.538</v>
      </c>
      <c r="G1122" s="84">
        <v>3.8573130122482757E-2</v>
      </c>
      <c r="H1122" s="78">
        <v>103.85731301224827</v>
      </c>
      <c r="I1122" s="78">
        <v>120.99756009349755</v>
      </c>
      <c r="J1122" s="79">
        <f t="shared" si="559"/>
        <v>142.25298404693996</v>
      </c>
      <c r="K1122" s="80">
        <v>219574.8524</v>
      </c>
      <c r="L1122" s="83">
        <f t="shared" si="558"/>
        <v>32.459750430292004</v>
      </c>
    </row>
    <row r="1123" spans="1:12" ht="20.25" customHeight="1" x14ac:dyDescent="0.25">
      <c r="A1123" s="75">
        <v>36846</v>
      </c>
      <c r="B1123" s="76">
        <v>146.29621900000001</v>
      </c>
      <c r="C1123" s="76">
        <v>145.56</v>
      </c>
      <c r="D1123" s="76">
        <v>147.03</v>
      </c>
      <c r="E1123" s="78">
        <f>3403.538/1800.553*100</f>
        <v>189.02737103545411</v>
      </c>
      <c r="F1123" s="76">
        <v>3403.538</v>
      </c>
      <c r="G1123" s="84">
        <v>4.5956275915046696E-2</v>
      </c>
      <c r="H1123" s="78">
        <v>104.59562759150467</v>
      </c>
      <c r="I1123" s="78">
        <v>120.89215910534168</v>
      </c>
      <c r="J1123" s="79">
        <f t="shared" si="559"/>
        <v>142.75682655336078</v>
      </c>
      <c r="K1123" s="80">
        <v>219574.8524</v>
      </c>
      <c r="L1123" s="83">
        <f t="shared" si="558"/>
        <v>32.122970693603079</v>
      </c>
    </row>
    <row r="1124" spans="1:12" ht="20.25" customHeight="1" x14ac:dyDescent="0.25">
      <c r="A1124" s="75">
        <v>36839</v>
      </c>
      <c r="B1124" s="76">
        <v>145.15</v>
      </c>
      <c r="C1124" s="76">
        <v>144.43</v>
      </c>
      <c r="D1124" s="76">
        <v>145.88</v>
      </c>
      <c r="E1124" s="78">
        <f>3403.538/1800.553*100</f>
        <v>189.02737103545411</v>
      </c>
      <c r="F1124" s="76">
        <v>3403.538</v>
      </c>
      <c r="G1124" s="84">
        <v>5.0718718093376136E-2</v>
      </c>
      <c r="H1124" s="78">
        <v>105.07187180933761</v>
      </c>
      <c r="I1124" s="78">
        <v>120.78667558531409</v>
      </c>
      <c r="J1124" s="79">
        <f t="shared" si="559"/>
        <v>143.08108812654928</v>
      </c>
      <c r="K1124" s="80">
        <v>215230.3107</v>
      </c>
      <c r="L1124" s="83">
        <f t="shared" si="558"/>
        <v>31.240679598105004</v>
      </c>
    </row>
    <row r="1125" spans="1:12" ht="20.25" customHeight="1" x14ac:dyDescent="0.25">
      <c r="A1125" s="75">
        <v>36832</v>
      </c>
      <c r="B1125" s="76">
        <v>143.32</v>
      </c>
      <c r="C1125" s="76">
        <v>142.6</v>
      </c>
      <c r="D1125" s="76">
        <v>144.03</v>
      </c>
      <c r="E1125" s="78">
        <f>3403.538/1800.553*100</f>
        <v>189.02737103545411</v>
      </c>
      <c r="F1125" s="76">
        <v>3403.538</v>
      </c>
      <c r="G1125" s="84">
        <v>4.8171076476865249E-2</v>
      </c>
      <c r="H1125" s="78">
        <v>104.81710764768653</v>
      </c>
      <c r="I1125" s="78">
        <v>120.68057299409547</v>
      </c>
      <c r="J1125" s="79">
        <f t="shared" si="559"/>
        <v>142.90741567571843</v>
      </c>
      <c r="K1125" s="80">
        <v>215230.3107</v>
      </c>
      <c r="L1125" s="83">
        <f t="shared" si="558"/>
        <v>30.846808129524</v>
      </c>
    </row>
    <row r="1126" spans="1:12" ht="20.25" customHeight="1" x14ac:dyDescent="0.25">
      <c r="A1126" s="75">
        <v>36825</v>
      </c>
      <c r="B1126" s="76">
        <v>139.21</v>
      </c>
      <c r="C1126" s="76">
        <v>138.52000000000001</v>
      </c>
      <c r="D1126" s="76">
        <v>139.91</v>
      </c>
      <c r="E1126" s="78">
        <f>3461.095/1800.553*100</f>
        <v>192.22400007108925</v>
      </c>
      <c r="F1126" s="76">
        <v>3461.0949999999998</v>
      </c>
      <c r="G1126" s="84">
        <v>3.3515655354100282E-2</v>
      </c>
      <c r="H1126" s="78">
        <v>103.35156553541003</v>
      </c>
      <c r="I1126" s="78">
        <v>120.57486765036323</v>
      </c>
      <c r="J1126" s="79">
        <f t="shared" si="559"/>
        <v>143.08265935228778</v>
      </c>
      <c r="K1126" s="80">
        <v>215230.3107</v>
      </c>
      <c r="L1126" s="83">
        <f t="shared" ref="L1126:L1189" si="560">(K1126*B1126)/1000000</f>
        <v>29.962211552547</v>
      </c>
    </row>
    <row r="1127" spans="1:12" ht="20.25" customHeight="1" x14ac:dyDescent="0.25">
      <c r="A1127" s="75">
        <v>36818</v>
      </c>
      <c r="B1127" s="76">
        <v>136.96</v>
      </c>
      <c r="C1127" s="76">
        <v>136.28</v>
      </c>
      <c r="D1127" s="76">
        <v>137.65</v>
      </c>
      <c r="E1127" s="78">
        <f>3461.095/1800.553*100</f>
        <v>192.22400007108925</v>
      </c>
      <c r="F1127" s="76">
        <v>3461.0949999999998</v>
      </c>
      <c r="G1127" s="84">
        <v>3.7016037425932513E-2</v>
      </c>
      <c r="H1127" s="78">
        <v>103.70160374259325</v>
      </c>
      <c r="I1127" s="78">
        <v>120.46918420197639</v>
      </c>
      <c r="J1127" s="79">
        <f t="shared" si="559"/>
        <v>143.32455083230388</v>
      </c>
      <c r="K1127" s="80">
        <v>215230.3107</v>
      </c>
      <c r="L1127" s="83">
        <f t="shared" si="560"/>
        <v>29.477943353472003</v>
      </c>
    </row>
    <row r="1128" spans="1:12" ht="20.25" customHeight="1" x14ac:dyDescent="0.25">
      <c r="A1128" s="75">
        <v>36811</v>
      </c>
      <c r="B1128" s="76">
        <v>143.5</v>
      </c>
      <c r="C1128" s="76">
        <v>142.78</v>
      </c>
      <c r="D1128" s="76">
        <v>144.22</v>
      </c>
      <c r="E1128" s="78">
        <f>3461.095/1800.553*100</f>
        <v>192.22400007108925</v>
      </c>
      <c r="F1128" s="76">
        <v>3461.0949999999998</v>
      </c>
      <c r="G1128" s="84">
        <v>4.7463223874953719E-2</v>
      </c>
      <c r="H1128" s="78">
        <v>104.74632238749537</v>
      </c>
      <c r="I1128" s="78">
        <v>120.36438254332388</v>
      </c>
      <c r="J1128" s="79">
        <f t="shared" si="559"/>
        <v>144.04287810620195</v>
      </c>
      <c r="K1128" s="80">
        <v>215230.3107</v>
      </c>
      <c r="L1128" s="83">
        <f t="shared" si="560"/>
        <v>30.885549585450001</v>
      </c>
    </row>
    <row r="1129" spans="1:12" ht="20.25" customHeight="1" x14ac:dyDescent="0.25">
      <c r="A1129" s="75">
        <v>36804</v>
      </c>
      <c r="B1129" s="76">
        <v>140.41</v>
      </c>
      <c r="C1129" s="76">
        <v>139.71</v>
      </c>
      <c r="D1129" s="76">
        <v>141.11000000000001</v>
      </c>
      <c r="E1129" s="78">
        <f>3461.095/1800.553*100</f>
        <v>192.22400007108925</v>
      </c>
      <c r="F1129" s="76">
        <v>3461.0949999999998</v>
      </c>
      <c r="G1129" s="84">
        <v>4.5479534420554302E-2</v>
      </c>
      <c r="H1129" s="78">
        <v>104.54795344205543</v>
      </c>
      <c r="I1129" s="78">
        <v>120.25943374170227</v>
      </c>
      <c r="J1129" s="79">
        <f t="shared" si="559"/>
        <v>143.90635438277565</v>
      </c>
      <c r="K1129" s="80">
        <v>215230.3107</v>
      </c>
      <c r="L1129" s="83">
        <f t="shared" si="560"/>
        <v>30.220487925386998</v>
      </c>
    </row>
    <row r="1130" spans="1:12" ht="20.25" customHeight="1" x14ac:dyDescent="0.25">
      <c r="A1130" s="75">
        <v>36797</v>
      </c>
      <c r="B1130" s="76">
        <v>140.399248</v>
      </c>
      <c r="C1130" s="76">
        <v>139.69999999999999</v>
      </c>
      <c r="D1130" s="76">
        <v>141.1</v>
      </c>
      <c r="E1130" s="78">
        <f>3655.012/1800.553*100</f>
        <v>202.99385799807058</v>
      </c>
      <c r="F1130" s="76">
        <v>3655.0120000000002</v>
      </c>
      <c r="G1130" s="84">
        <v>5.4718297593426835E-2</v>
      </c>
      <c r="H1130" s="78">
        <v>105.47182975934268</v>
      </c>
      <c r="I1130" s="78">
        <v>120.15457352368784</v>
      </c>
      <c r="J1130" s="79">
        <f t="shared" si="559"/>
        <v>148.49596007858031</v>
      </c>
      <c r="K1130" s="80">
        <v>215230.3107</v>
      </c>
      <c r="L1130" s="83">
        <f t="shared" si="560"/>
        <v>30.218173769086352</v>
      </c>
    </row>
    <row r="1131" spans="1:12" ht="20.25" customHeight="1" x14ac:dyDescent="0.25">
      <c r="A1131" s="75">
        <v>36790</v>
      </c>
      <c r="B1131" s="76">
        <v>137.31617800000001</v>
      </c>
      <c r="C1131" s="76">
        <v>136.63</v>
      </c>
      <c r="D1131" s="76">
        <v>138</v>
      </c>
      <c r="E1131" s="78">
        <f>3655.012/1800.553*100</f>
        <v>202.99385799807058</v>
      </c>
      <c r="F1131" s="76">
        <v>3655.0120000000002</v>
      </c>
      <c r="G1131" s="84">
        <v>4.392086491484104E-2</v>
      </c>
      <c r="H1131" s="78">
        <v>104.39208649148411</v>
      </c>
      <c r="I1131" s="78">
        <v>120.049927358697</v>
      </c>
      <c r="J1131" s="79">
        <f t="shared" ref="J1131:J1194" si="561">(E1131/E1132)*0.5*J1132+(H1131/H1132)*0.5*J1132</f>
        <v>147.73195302075237</v>
      </c>
      <c r="K1131" s="80">
        <v>216720.1207</v>
      </c>
      <c r="L1131" s="83">
        <f t="shared" si="560"/>
        <v>29.759178670222685</v>
      </c>
    </row>
    <row r="1132" spans="1:12" ht="20.25" customHeight="1" x14ac:dyDescent="0.25">
      <c r="A1132" s="75">
        <v>36783</v>
      </c>
      <c r="B1132" s="76">
        <v>137.83000000000001</v>
      </c>
      <c r="C1132" s="76">
        <v>137.13999999999999</v>
      </c>
      <c r="D1132" s="76">
        <v>138.52000000000001</v>
      </c>
      <c r="E1132" s="78">
        <f>3655.012/1800.553*100</f>
        <v>202.99385799807058</v>
      </c>
      <c r="F1132" s="76">
        <v>3655.0120000000002</v>
      </c>
      <c r="G1132" s="84">
        <v>4.4452218804869492E-2</v>
      </c>
      <c r="H1132" s="78">
        <v>104.44522188048695</v>
      </c>
      <c r="I1132" s="78">
        <v>119.945281332454</v>
      </c>
      <c r="J1132" s="79">
        <f t="shared" si="561"/>
        <v>147.76954110715849</v>
      </c>
      <c r="K1132" s="80">
        <v>216720.1207</v>
      </c>
      <c r="L1132" s="83">
        <f t="shared" si="560"/>
        <v>29.870534236081003</v>
      </c>
    </row>
    <row r="1133" spans="1:12" ht="20.25" customHeight="1" x14ac:dyDescent="0.25">
      <c r="A1133" s="75">
        <v>36776</v>
      </c>
      <c r="B1133" s="76">
        <v>134.91799900000001</v>
      </c>
      <c r="C1133" s="76">
        <v>134.24</v>
      </c>
      <c r="D1133" s="76">
        <v>135.59</v>
      </c>
      <c r="E1133" s="78">
        <f>3655.012/1800.553*100</f>
        <v>202.99385799807058</v>
      </c>
      <c r="F1133" s="76">
        <v>3655.0120000000002</v>
      </c>
      <c r="G1133" s="84">
        <v>5.2948785919233687E-2</v>
      </c>
      <c r="H1133" s="78">
        <v>105.29487859192336</v>
      </c>
      <c r="I1133" s="78">
        <v>119.840635306211</v>
      </c>
      <c r="J1133" s="79">
        <f t="shared" si="561"/>
        <v>148.3681552113035</v>
      </c>
      <c r="K1133" s="80">
        <v>216720.1207</v>
      </c>
      <c r="L1133" s="83">
        <f t="shared" si="560"/>
        <v>29.239445027882482</v>
      </c>
    </row>
    <row r="1134" spans="1:12" ht="20.25" customHeight="1" x14ac:dyDescent="0.25">
      <c r="A1134" s="75">
        <v>36769</v>
      </c>
      <c r="B1134" s="76">
        <v>135.385999</v>
      </c>
      <c r="C1134" s="76">
        <v>134.71</v>
      </c>
      <c r="D1134" s="76">
        <v>136.06</v>
      </c>
      <c r="E1134" s="78">
        <f>3655.012/1800.553*100</f>
        <v>202.99385799807058</v>
      </c>
      <c r="F1134" s="76">
        <v>3655.0120000000002</v>
      </c>
      <c r="G1134" s="84">
        <v>5.5565549884353027E-2</v>
      </c>
      <c r="H1134" s="78">
        <v>105.55655498843531</v>
      </c>
      <c r="I1134" s="78">
        <v>119.735989279968</v>
      </c>
      <c r="J1134" s="79">
        <f t="shared" si="561"/>
        <v>148.55228696489684</v>
      </c>
      <c r="K1134" s="80">
        <v>216720.1207</v>
      </c>
      <c r="L1134" s="83">
        <f t="shared" si="560"/>
        <v>29.340870044370078</v>
      </c>
    </row>
    <row r="1135" spans="1:12" ht="20.25" customHeight="1" x14ac:dyDescent="0.25">
      <c r="A1135" s="75">
        <v>36762</v>
      </c>
      <c r="B1135" s="76">
        <v>137.58000000000001</v>
      </c>
      <c r="C1135" s="76">
        <v>136.88999999999999</v>
      </c>
      <c r="D1135" s="76">
        <v>138.27000000000001</v>
      </c>
      <c r="E1135" s="78">
        <f>3539.433/1800.553*100</f>
        <v>196.57477452760347</v>
      </c>
      <c r="F1135" s="76">
        <v>3539.433</v>
      </c>
      <c r="G1135" s="84">
        <v>5.949188527830418E-2</v>
      </c>
      <c r="H1135" s="78">
        <v>105.94918852783042</v>
      </c>
      <c r="I1135" s="78">
        <v>119.63134325372501</v>
      </c>
      <c r="J1135" s="79">
        <f t="shared" si="561"/>
        <v>146.43276069440466</v>
      </c>
      <c r="K1135" s="80">
        <v>216720.1207</v>
      </c>
      <c r="L1135" s="83">
        <f t="shared" si="560"/>
        <v>29.816354205906002</v>
      </c>
    </row>
    <row r="1136" spans="1:12" ht="20.25" customHeight="1" x14ac:dyDescent="0.25">
      <c r="A1136" s="75">
        <v>36755</v>
      </c>
      <c r="B1136" s="76">
        <v>140.07681299999999</v>
      </c>
      <c r="C1136" s="76">
        <v>139.38</v>
      </c>
      <c r="D1136" s="76">
        <v>140.78</v>
      </c>
      <c r="E1136" s="78">
        <f>3539.433/1800.553*100</f>
        <v>196.57477452760347</v>
      </c>
      <c r="F1136" s="76">
        <v>3539.433</v>
      </c>
      <c r="G1136" s="84">
        <v>5.9400675882023135E-2</v>
      </c>
      <c r="H1136" s="78">
        <v>105.94006758820231</v>
      </c>
      <c r="I1136" s="78">
        <v>119.5266972274825</v>
      </c>
      <c r="J1136" s="79">
        <f t="shared" si="561"/>
        <v>146.42645738108735</v>
      </c>
      <c r="K1136" s="80">
        <v>216720.1207</v>
      </c>
      <c r="L1136" s="83">
        <f t="shared" si="560"/>
        <v>30.357463820631324</v>
      </c>
    </row>
    <row r="1137" spans="1:12" ht="20.25" customHeight="1" x14ac:dyDescent="0.25">
      <c r="A1137" s="75">
        <v>36748</v>
      </c>
      <c r="B1137" s="76">
        <v>139.27000000000001</v>
      </c>
      <c r="C1137" s="76">
        <f>0.995*B1137</f>
        <v>138.57365000000001</v>
      </c>
      <c r="D1137" s="76">
        <v>139.97</v>
      </c>
      <c r="E1137" s="78">
        <f>3539.433/1800.553*100</f>
        <v>196.57477452760347</v>
      </c>
      <c r="F1137" s="76">
        <v>3539.433</v>
      </c>
      <c r="G1137" s="84">
        <v>5.6193595144642616E-2</v>
      </c>
      <c r="H1137" s="78">
        <v>105.61935951446426</v>
      </c>
      <c r="I1137" s="78">
        <v>119.42205120123965</v>
      </c>
      <c r="J1137" s="79">
        <f t="shared" si="561"/>
        <v>146.20448595804987</v>
      </c>
      <c r="K1137" s="80">
        <v>216181.4338</v>
      </c>
      <c r="L1137" s="83">
        <f t="shared" si="560"/>
        <v>30.107588285325999</v>
      </c>
    </row>
    <row r="1138" spans="1:12" ht="20.25" customHeight="1" x14ac:dyDescent="0.25">
      <c r="A1138" s="75">
        <v>36741</v>
      </c>
      <c r="B1138" s="76">
        <v>138.77000000000001</v>
      </c>
      <c r="C1138" s="76">
        <v>138.08000000000001</v>
      </c>
      <c r="D1138" s="76">
        <v>139.46</v>
      </c>
      <c r="E1138" s="78">
        <f>3539.433/1800.553*100</f>
        <v>196.57477452760347</v>
      </c>
      <c r="F1138" s="76">
        <v>3539.433</v>
      </c>
      <c r="G1138" s="84">
        <v>5.4605652527581094E-2</v>
      </c>
      <c r="H1138" s="78">
        <v>105.46056525275812</v>
      </c>
      <c r="I1138" s="78">
        <v>119.31920009389572</v>
      </c>
      <c r="J1138" s="79">
        <f t="shared" si="561"/>
        <v>146.09449713068301</v>
      </c>
      <c r="K1138" s="80">
        <v>216181.4338</v>
      </c>
      <c r="L1138" s="83">
        <f t="shared" si="560"/>
        <v>29.999497568426001</v>
      </c>
    </row>
    <row r="1139" spans="1:12" ht="20.25" customHeight="1" x14ac:dyDescent="0.25">
      <c r="A1139" s="75">
        <v>36734</v>
      </c>
      <c r="B1139" s="76">
        <v>140.96</v>
      </c>
      <c r="C1139" s="76">
        <v>140.26</v>
      </c>
      <c r="D1139" s="76">
        <v>141.66999999999999</v>
      </c>
      <c r="E1139" s="78">
        <f>3641.498/1800.553*100</f>
        <v>202.24331080506931</v>
      </c>
      <c r="F1139" s="76">
        <v>3641.498</v>
      </c>
      <c r="G1139" s="84">
        <v>6.4725952680471321E-2</v>
      </c>
      <c r="H1139" s="78">
        <v>106.47259526804713</v>
      </c>
      <c r="I1139" s="78">
        <v>119.21595213868885</v>
      </c>
      <c r="J1139" s="79">
        <f t="shared" si="561"/>
        <v>148.8886438227124</v>
      </c>
      <c r="K1139" s="80">
        <v>216375.06709999999</v>
      </c>
      <c r="L1139" s="83">
        <f t="shared" si="560"/>
        <v>30.500229458416001</v>
      </c>
    </row>
    <row r="1140" spans="1:12" ht="20.25" customHeight="1" x14ac:dyDescent="0.25">
      <c r="A1140" s="75">
        <v>36727</v>
      </c>
      <c r="B1140" s="76">
        <v>138.61000000000001</v>
      </c>
      <c r="C1140" s="76">
        <v>137.91999999999999</v>
      </c>
      <c r="D1140" s="76">
        <v>139.30000000000001</v>
      </c>
      <c r="E1140" s="78">
        <f>3641.498/1800.553*100</f>
        <v>202.24331080506931</v>
      </c>
      <c r="F1140" s="76">
        <v>3641.498</v>
      </c>
      <c r="G1140" s="84">
        <v>6.0362525564713998E-2</v>
      </c>
      <c r="H1140" s="78">
        <v>106.0362525564714</v>
      </c>
      <c r="I1140" s="78">
        <v>119.11284928337469</v>
      </c>
      <c r="J1140" s="79">
        <f t="shared" si="561"/>
        <v>148.58293196537795</v>
      </c>
      <c r="K1140" s="80">
        <v>216375.06709999999</v>
      </c>
      <c r="L1140" s="83">
        <f t="shared" si="560"/>
        <v>29.991748050731001</v>
      </c>
    </row>
    <row r="1141" spans="1:12" ht="20.25" customHeight="1" x14ac:dyDescent="0.25">
      <c r="A1141" s="75">
        <v>36720</v>
      </c>
      <c r="B1141" s="76">
        <v>140.87</v>
      </c>
      <c r="C1141" s="76">
        <v>140.16999999999999</v>
      </c>
      <c r="D1141" s="76">
        <v>141.58000000000001</v>
      </c>
      <c r="E1141" s="78">
        <f>3641.498/1800.553*100</f>
        <v>202.24331080506931</v>
      </c>
      <c r="F1141" s="76">
        <v>3641.498</v>
      </c>
      <c r="G1141" s="84">
        <v>6.4131211592531656E-2</v>
      </c>
      <c r="H1141" s="78">
        <v>106.41312115925317</v>
      </c>
      <c r="I1141" s="78">
        <v>119.00937796542827</v>
      </c>
      <c r="J1141" s="79">
        <f t="shared" si="561"/>
        <v>148.84650648662807</v>
      </c>
      <c r="K1141" s="80">
        <v>216375.06709999999</v>
      </c>
      <c r="L1141" s="83">
        <f t="shared" si="560"/>
        <v>30.480755702376999</v>
      </c>
    </row>
    <row r="1142" spans="1:12" ht="20.25" customHeight="1" x14ac:dyDescent="0.25">
      <c r="A1142" s="75">
        <v>36713</v>
      </c>
      <c r="B1142" s="76">
        <v>141.79563400000001</v>
      </c>
      <c r="C1142" s="76">
        <v>141.09</v>
      </c>
      <c r="D1142" s="76">
        <v>142.5</v>
      </c>
      <c r="E1142" s="78">
        <f>3641.498/1800.553*100</f>
        <v>202.24331080506931</v>
      </c>
      <c r="F1142" s="76">
        <v>3641.498</v>
      </c>
      <c r="G1142" s="84">
        <v>7.2608915688371578E-2</v>
      </c>
      <c r="H1142" s="78">
        <v>107.26089156883715</v>
      </c>
      <c r="I1142" s="78">
        <v>118.90688084496293</v>
      </c>
      <c r="J1142" s="79">
        <f t="shared" si="561"/>
        <v>149.43706807228</v>
      </c>
      <c r="K1142" s="80">
        <v>216375.06709999999</v>
      </c>
      <c r="L1142" s="83">
        <f t="shared" si="560"/>
        <v>30.681039821237043</v>
      </c>
    </row>
    <row r="1143" spans="1:12" ht="20.25" customHeight="1" x14ac:dyDescent="0.25">
      <c r="A1143" s="75">
        <v>36706</v>
      </c>
      <c r="B1143" s="76">
        <v>142.13555199999999</v>
      </c>
      <c r="C1143" s="76">
        <v>141.41999999999999</v>
      </c>
      <c r="D1143" s="76">
        <v>142.85</v>
      </c>
      <c r="E1143" s="78">
        <f>3522.404/1800.553*100</f>
        <v>195.62900953207151</v>
      </c>
      <c r="F1143" s="76">
        <v>3522.404</v>
      </c>
      <c r="G1143" s="84">
        <v>7.6618084458666802E-2</v>
      </c>
      <c r="H1143" s="78">
        <v>107.66180844586668</v>
      </c>
      <c r="I1143" s="78">
        <v>118.80469036072154</v>
      </c>
      <c r="J1143" s="79">
        <f t="shared" si="561"/>
        <v>147.22235960306361</v>
      </c>
      <c r="K1143" s="80">
        <v>216025.0496</v>
      </c>
      <c r="L1143" s="83">
        <f t="shared" si="560"/>
        <v>30.704839670723377</v>
      </c>
    </row>
    <row r="1144" spans="1:12" ht="20.25" customHeight="1" x14ac:dyDescent="0.25">
      <c r="A1144" s="75">
        <v>36699</v>
      </c>
      <c r="B1144" s="76">
        <v>137.83693600000001</v>
      </c>
      <c r="C1144" s="76">
        <v>137.15</v>
      </c>
      <c r="D1144" s="76">
        <v>138.53</v>
      </c>
      <c r="E1144" s="78">
        <f>3522.404/1800.553*100</f>
        <v>195.62900953207151</v>
      </c>
      <c r="F1144" s="76">
        <v>3522.404</v>
      </c>
      <c r="G1144" s="84">
        <v>7.1769441095216768E-2</v>
      </c>
      <c r="H1144" s="78">
        <v>107.17694410952167</v>
      </c>
      <c r="I1144" s="78">
        <v>118.70174186523789</v>
      </c>
      <c r="J1144" s="79">
        <f t="shared" si="561"/>
        <v>146.89009705343034</v>
      </c>
      <c r="K1144" s="80">
        <v>216025.0496</v>
      </c>
      <c r="L1144" s="83">
        <f t="shared" si="560"/>
        <v>29.776230936112029</v>
      </c>
    </row>
    <row r="1145" spans="1:12" ht="20.25" customHeight="1" x14ac:dyDescent="0.25">
      <c r="A1145" s="75">
        <v>36692</v>
      </c>
      <c r="B1145" s="76">
        <v>137.756033</v>
      </c>
      <c r="C1145" s="76">
        <v>137.07</v>
      </c>
      <c r="D1145" s="76">
        <v>138.44</v>
      </c>
      <c r="E1145" s="78">
        <f>3522.404/1800.553*100</f>
        <v>195.62900953207151</v>
      </c>
      <c r="F1145" s="76">
        <v>3522.404</v>
      </c>
      <c r="G1145" s="84">
        <v>7.0951494327607056E-2</v>
      </c>
      <c r="H1145" s="78">
        <v>107.09514943276071</v>
      </c>
      <c r="I1145" s="78">
        <v>118.60065093837679</v>
      </c>
      <c r="J1145" s="79">
        <f t="shared" si="561"/>
        <v>146.83402429188101</v>
      </c>
      <c r="K1145" s="80">
        <v>216025.0496</v>
      </c>
      <c r="L1145" s="83">
        <f t="shared" si="560"/>
        <v>29.758753861524234</v>
      </c>
    </row>
    <row r="1146" spans="1:12" ht="20.25" customHeight="1" x14ac:dyDescent="0.25">
      <c r="A1146" s="75">
        <v>36685</v>
      </c>
      <c r="B1146" s="76">
        <v>134.79622699999999</v>
      </c>
      <c r="C1146" s="76">
        <v>134.12</v>
      </c>
      <c r="D1146" s="76">
        <v>135.47</v>
      </c>
      <c r="E1146" s="78">
        <f>3522.404/1800.553*100</f>
        <v>195.62900953207151</v>
      </c>
      <c r="F1146" s="76">
        <v>3522.404</v>
      </c>
      <c r="G1146" s="84">
        <v>7.1030353129010848E-2</v>
      </c>
      <c r="H1146" s="78">
        <v>107.10303531290108</v>
      </c>
      <c r="I1146" s="78">
        <v>118.51426134752809</v>
      </c>
      <c r="J1146" s="79">
        <f t="shared" si="561"/>
        <v>146.83943010574197</v>
      </c>
      <c r="K1146" s="80">
        <v>216025.0496</v>
      </c>
      <c r="L1146" s="83">
        <f t="shared" si="560"/>
        <v>29.119361623567858</v>
      </c>
    </row>
    <row r="1147" spans="1:12" ht="20.25" customHeight="1" x14ac:dyDescent="0.25">
      <c r="A1147" s="75">
        <v>36679</v>
      </c>
      <c r="B1147" s="76">
        <v>134.88999999999999</v>
      </c>
      <c r="C1147" s="76">
        <v>134.22</v>
      </c>
      <c r="D1147" s="76">
        <v>135.57</v>
      </c>
      <c r="E1147" s="78">
        <f>3522.404/1800.553*100</f>
        <v>195.62900953207151</v>
      </c>
      <c r="F1147" s="76">
        <v>3522.404</v>
      </c>
      <c r="G1147" s="84">
        <v>6.1577646283415E-2</v>
      </c>
      <c r="H1147" s="78">
        <v>106.1577646283415</v>
      </c>
      <c r="I1147" s="78">
        <v>118.39942440285836</v>
      </c>
      <c r="J1147" s="79">
        <f t="shared" si="561"/>
        <v>146.18856971013884</v>
      </c>
      <c r="K1147" s="80">
        <v>222996.9203</v>
      </c>
      <c r="L1147" s="83">
        <f t="shared" si="560"/>
        <v>30.080054579266996</v>
      </c>
    </row>
    <row r="1148" spans="1:12" ht="20.25" customHeight="1" x14ac:dyDescent="0.25">
      <c r="A1148" s="75">
        <v>36671</v>
      </c>
      <c r="B1148" s="76">
        <v>137.55000000000001</v>
      </c>
      <c r="C1148" s="76">
        <v>136.86000000000001</v>
      </c>
      <c r="D1148" s="76">
        <v>138.24</v>
      </c>
      <c r="E1148" s="78">
        <f>3613.441/1800.553*100</f>
        <v>200.68506730987644</v>
      </c>
      <c r="F1148" s="76">
        <v>3613.4409999999998</v>
      </c>
      <c r="G1148" s="84">
        <v>4.6820162865631509E-2</v>
      </c>
      <c r="H1148" s="78">
        <v>104.68201628656315</v>
      </c>
      <c r="I1148" s="78">
        <v>118.297844984611</v>
      </c>
      <c r="J1148" s="79">
        <f t="shared" si="561"/>
        <v>147.00418952415021</v>
      </c>
      <c r="K1148" s="80">
        <v>222996.9203</v>
      </c>
      <c r="L1148" s="83">
        <f t="shared" si="560"/>
        <v>30.673226387265</v>
      </c>
    </row>
    <row r="1149" spans="1:12" ht="20.25" customHeight="1" x14ac:dyDescent="0.25">
      <c r="A1149" s="75">
        <v>36664</v>
      </c>
      <c r="B1149" s="76">
        <v>133.12</v>
      </c>
      <c r="C1149" s="76">
        <v>132.46</v>
      </c>
      <c r="D1149" s="76">
        <v>133.79</v>
      </c>
      <c r="E1149" s="78">
        <f>3613.441/1800.553*100</f>
        <v>200.68506730987644</v>
      </c>
      <c r="F1149" s="76">
        <v>3613.4409999999998</v>
      </c>
      <c r="G1149" s="84">
        <v>3.7598160529072056E-2</v>
      </c>
      <c r="H1149" s="78">
        <v>103.75981605290721</v>
      </c>
      <c r="I1149" s="78">
        <v>118.19661248102841</v>
      </c>
      <c r="J1149" s="79">
        <f t="shared" si="561"/>
        <v>146.35380521114539</v>
      </c>
      <c r="K1149" s="80">
        <v>222996.9203</v>
      </c>
      <c r="L1149" s="83">
        <f t="shared" si="560"/>
        <v>29.685350030336</v>
      </c>
    </row>
    <row r="1150" spans="1:12" ht="20.25" customHeight="1" x14ac:dyDescent="0.25">
      <c r="A1150" s="75">
        <v>36657</v>
      </c>
      <c r="B1150" s="76">
        <v>134.96</v>
      </c>
      <c r="C1150" s="76">
        <v>134.28</v>
      </c>
      <c r="D1150" s="76">
        <v>135.63</v>
      </c>
      <c r="E1150" s="78">
        <f>3613.441/1800.553*100</f>
        <v>200.68506730987644</v>
      </c>
      <c r="F1150" s="76">
        <v>3613.4409999999998</v>
      </c>
      <c r="G1150" s="84">
        <v>4.138322828680252E-2</v>
      </c>
      <c r="H1150" s="78">
        <v>104.13832282868026</v>
      </c>
      <c r="I1150" s="78">
        <v>118.09528698848453</v>
      </c>
      <c r="J1150" s="79">
        <f t="shared" si="561"/>
        <v>146.6202621752654</v>
      </c>
      <c r="K1150" s="80">
        <v>222996.9203</v>
      </c>
      <c r="L1150" s="83">
        <f t="shared" si="560"/>
        <v>30.095664363688002</v>
      </c>
    </row>
    <row r="1151" spans="1:12" ht="20.25" customHeight="1" x14ac:dyDescent="0.25">
      <c r="A1151" s="75">
        <v>36650</v>
      </c>
      <c r="B1151" s="76">
        <v>130.04</v>
      </c>
      <c r="C1151" s="76">
        <v>129.38999999999999</v>
      </c>
      <c r="D1151" s="76">
        <v>130.69</v>
      </c>
      <c r="E1151" s="78">
        <f>3613.441/1800.553*100</f>
        <v>200.68506730987644</v>
      </c>
      <c r="F1151" s="76">
        <v>3613.4409999999998</v>
      </c>
      <c r="G1151" s="84">
        <v>3.7129106634193443E-2</v>
      </c>
      <c r="H1151" s="78">
        <v>103.71291066341935</v>
      </c>
      <c r="I1151" s="78">
        <v>118.0186853796686</v>
      </c>
      <c r="J1151" s="79">
        <f t="shared" si="561"/>
        <v>146.32017233622446</v>
      </c>
      <c r="K1151" s="80">
        <v>223296.9203</v>
      </c>
      <c r="L1151" s="83">
        <f t="shared" si="560"/>
        <v>29.037531515811999</v>
      </c>
    </row>
    <row r="1152" spans="1:12" ht="20.25" customHeight="1" x14ac:dyDescent="0.25">
      <c r="A1152" s="75">
        <v>36643</v>
      </c>
      <c r="B1152" s="76">
        <v>128.18814699999999</v>
      </c>
      <c r="C1152" s="76">
        <v>127.55</v>
      </c>
      <c r="D1152" s="76">
        <v>128.83000000000001</v>
      </c>
      <c r="E1152" s="78">
        <f>3772.522/1800.553*100</f>
        <v>209.52018629832057</v>
      </c>
      <c r="F1152" s="76">
        <v>3772.5219999999999</v>
      </c>
      <c r="G1152" s="84">
        <v>4.8171060049216674E-2</v>
      </c>
      <c r="H1152" s="78">
        <v>104.81710600492167</v>
      </c>
      <c r="I1152" s="78">
        <v>117.92043288447749</v>
      </c>
      <c r="J1152" s="79">
        <f t="shared" si="561"/>
        <v>150.28027072907383</v>
      </c>
      <c r="K1152" s="80">
        <v>224080.92660000001</v>
      </c>
      <c r="L1152" s="83">
        <f t="shared" si="560"/>
        <v>28.724518758897005</v>
      </c>
    </row>
    <row r="1153" spans="1:12" ht="20.25" customHeight="1" x14ac:dyDescent="0.25">
      <c r="A1153" s="75">
        <v>36636</v>
      </c>
      <c r="B1153" s="76">
        <v>128.44538900000001</v>
      </c>
      <c r="C1153" s="76">
        <v>127.8</v>
      </c>
      <c r="D1153" s="76">
        <v>129.09</v>
      </c>
      <c r="E1153" s="78">
        <f>3772.522/1800.553*100</f>
        <v>209.52018629832057</v>
      </c>
      <c r="F1153" s="76">
        <v>3772.5219999999999</v>
      </c>
      <c r="G1153" s="84">
        <v>6.0881025837408176E-2</v>
      </c>
      <c r="H1153" s="78">
        <v>106.08810258374082</v>
      </c>
      <c r="I1153" s="78">
        <v>117.82657816399254</v>
      </c>
      <c r="J1153" s="79">
        <f t="shared" si="561"/>
        <v>151.18591792118843</v>
      </c>
      <c r="K1153" s="80">
        <v>273358.11450000003</v>
      </c>
      <c r="L1153" s="83">
        <f t="shared" si="560"/>
        <v>35.111589353259042</v>
      </c>
    </row>
    <row r="1154" spans="1:12" ht="20.25" customHeight="1" x14ac:dyDescent="0.25">
      <c r="A1154" s="75">
        <v>36629</v>
      </c>
      <c r="B1154" s="76">
        <v>130.63957199999999</v>
      </c>
      <c r="C1154" s="76">
        <v>129.99</v>
      </c>
      <c r="D1154" s="76">
        <v>131.29</v>
      </c>
      <c r="E1154" s="78">
        <f>3772.522/1800.553*100</f>
        <v>209.52018629832057</v>
      </c>
      <c r="F1154" s="76">
        <v>3772.5219999999999</v>
      </c>
      <c r="G1154" s="84">
        <v>6.4936711462559193E-2</v>
      </c>
      <c r="H1154" s="78">
        <v>106.49367114625592</v>
      </c>
      <c r="I1154" s="78">
        <v>117.73421099351724</v>
      </c>
      <c r="J1154" s="79">
        <f t="shared" si="561"/>
        <v>151.47435401017179</v>
      </c>
      <c r="K1154" s="80">
        <v>273358.11450000003</v>
      </c>
      <c r="L1154" s="83">
        <f t="shared" si="560"/>
        <v>35.711387081006997</v>
      </c>
    </row>
    <row r="1155" spans="1:12" ht="20.25" customHeight="1" x14ac:dyDescent="0.25">
      <c r="A1155" s="75">
        <v>36622</v>
      </c>
      <c r="B1155" s="76">
        <v>123.661348</v>
      </c>
      <c r="C1155" s="76">
        <v>123.04</v>
      </c>
      <c r="D1155" s="76">
        <v>124.28</v>
      </c>
      <c r="E1155" s="78">
        <f>3772.522/1800.553*100</f>
        <v>209.52018629832057</v>
      </c>
      <c r="F1155" s="76">
        <v>3772.5219999999999</v>
      </c>
      <c r="G1155" s="84">
        <v>6.8172648492559773E-2</v>
      </c>
      <c r="H1155" s="78">
        <v>106.81726484925598</v>
      </c>
      <c r="I1155" s="78">
        <v>117.64227275159287</v>
      </c>
      <c r="J1155" s="79">
        <f t="shared" si="561"/>
        <v>151.70414132461462</v>
      </c>
      <c r="K1155" s="80">
        <v>273358.11450000003</v>
      </c>
      <c r="L1155" s="83">
        <f t="shared" si="560"/>
        <v>33.803832925808351</v>
      </c>
    </row>
    <row r="1156" spans="1:12" ht="20.25" customHeight="1" x14ac:dyDescent="0.25">
      <c r="A1156" s="75">
        <v>36615</v>
      </c>
      <c r="B1156" s="76">
        <v>121.32040000000001</v>
      </c>
      <c r="C1156" s="76">
        <v>120.71</v>
      </c>
      <c r="D1156" s="76">
        <v>121.93</v>
      </c>
      <c r="E1156" s="78">
        <f>3528.217/1800.553*100</f>
        <v>195.95185479127801</v>
      </c>
      <c r="F1156" s="76">
        <v>3528.2170000000001</v>
      </c>
      <c r="G1156" s="84">
        <v>6.4801910501282478E-2</v>
      </c>
      <c r="H1156" s="78">
        <v>106.48019105012824</v>
      </c>
      <c r="I1156" s="78">
        <v>117.55125808616047</v>
      </c>
      <c r="J1156" s="79">
        <f t="shared" si="561"/>
        <v>146.40368443276395</v>
      </c>
      <c r="K1156" s="80">
        <v>273358.11450000003</v>
      </c>
      <c r="L1156" s="83">
        <f t="shared" si="560"/>
        <v>33.163915794385808</v>
      </c>
    </row>
    <row r="1157" spans="1:12" ht="20.25" customHeight="1" x14ac:dyDescent="0.25">
      <c r="A1157" s="75">
        <v>36608</v>
      </c>
      <c r="B1157" s="76">
        <v>116.7295</v>
      </c>
      <c r="C1157" s="76">
        <v>116.15</v>
      </c>
      <c r="D1157" s="76">
        <v>117.31</v>
      </c>
      <c r="E1157" s="78">
        <f>3528.217/1800.553*100</f>
        <v>195.95185479127801</v>
      </c>
      <c r="F1157" s="76">
        <v>3528.2170000000001</v>
      </c>
      <c r="G1157" s="84">
        <v>6.423296314311977E-2</v>
      </c>
      <c r="H1157" s="78">
        <v>106.42329631431198</v>
      </c>
      <c r="I1157" s="78">
        <v>117.45985024822518</v>
      </c>
      <c r="J1157" s="79">
        <f t="shared" si="561"/>
        <v>146.36456060698055</v>
      </c>
      <c r="K1157" s="80">
        <v>273358.11450000003</v>
      </c>
      <c r="L1157" s="83">
        <f t="shared" si="560"/>
        <v>31.908956026527754</v>
      </c>
    </row>
    <row r="1158" spans="1:12" ht="20.25" customHeight="1" x14ac:dyDescent="0.25">
      <c r="A1158" s="75">
        <v>36601</v>
      </c>
      <c r="B1158" s="76">
        <v>120.08969999999999</v>
      </c>
      <c r="C1158" s="76">
        <v>119.49</v>
      </c>
      <c r="D1158" s="76">
        <v>120.69</v>
      </c>
      <c r="E1158" s="78">
        <f>3528.217/1800.553*100</f>
        <v>195.95185479127801</v>
      </c>
      <c r="F1158" s="76">
        <v>3528.2170000000001</v>
      </c>
      <c r="G1158" s="84">
        <v>6.9034517916039428E-2</v>
      </c>
      <c r="H1158" s="78">
        <v>106.90345179160394</v>
      </c>
      <c r="I1158" s="78">
        <v>117.36973019201869</v>
      </c>
      <c r="J1158" s="79">
        <f t="shared" si="561"/>
        <v>146.69399770795758</v>
      </c>
      <c r="K1158" s="80">
        <v>273358.11450000003</v>
      </c>
      <c r="L1158" s="83">
        <f t="shared" si="560"/>
        <v>32.827493962870648</v>
      </c>
    </row>
    <row r="1159" spans="1:12" ht="20.25" customHeight="1" x14ac:dyDescent="0.25">
      <c r="A1159" s="75">
        <v>36594</v>
      </c>
      <c r="B1159" s="76">
        <v>115.0733</v>
      </c>
      <c r="C1159" s="76">
        <v>114.5</v>
      </c>
      <c r="D1159" s="76">
        <v>115.65</v>
      </c>
      <c r="E1159" s="78">
        <f>3528.217/1800.553*100</f>
        <v>195.95185479127801</v>
      </c>
      <c r="F1159" s="76">
        <v>3528.2170000000001</v>
      </c>
      <c r="G1159" s="84">
        <v>6.5141015674548441E-2</v>
      </c>
      <c r="H1159" s="78">
        <v>106.51410156745484</v>
      </c>
      <c r="I1159" s="78">
        <v>117.27975298559208</v>
      </c>
      <c r="J1159" s="79">
        <f t="shared" si="561"/>
        <v>146.4263751999213</v>
      </c>
      <c r="K1159" s="80">
        <v>274745.43810000003</v>
      </c>
      <c r="L1159" s="83">
        <f t="shared" si="560"/>
        <v>31.615864222112734</v>
      </c>
    </row>
    <row r="1160" spans="1:12" ht="20.25" customHeight="1" x14ac:dyDescent="0.25">
      <c r="A1160" s="75">
        <v>36587</v>
      </c>
      <c r="B1160" s="76">
        <v>118.0596</v>
      </c>
      <c r="C1160" s="76">
        <v>117.47</v>
      </c>
      <c r="D1160" s="76">
        <v>118.65</v>
      </c>
      <c r="E1160" s="78">
        <f>3528.217/1800.553*100</f>
        <v>195.95185479127801</v>
      </c>
      <c r="F1160" s="76">
        <v>3528.2170000000001</v>
      </c>
      <c r="G1160" s="84">
        <v>5.9628115448777663E-2</v>
      </c>
      <c r="H1160" s="78">
        <v>105.96281154487777</v>
      </c>
      <c r="I1160" s="78">
        <v>117.19094592757146</v>
      </c>
      <c r="J1160" s="79">
        <f t="shared" si="561"/>
        <v>146.04645910217957</v>
      </c>
      <c r="K1160" s="80">
        <v>274691.91930000001</v>
      </c>
      <c r="L1160" s="83">
        <f t="shared" si="560"/>
        <v>32.430018115790283</v>
      </c>
    </row>
    <row r="1161" spans="1:12" ht="20.25" customHeight="1" x14ac:dyDescent="0.25">
      <c r="A1161" s="75">
        <v>36580</v>
      </c>
      <c r="B1161" s="76">
        <v>121.0942</v>
      </c>
      <c r="C1161" s="76">
        <v>120.49</v>
      </c>
      <c r="D1161" s="76">
        <v>121.7</v>
      </c>
      <c r="E1161" s="78">
        <f>3518.29/1800.553*100</f>
        <v>195.40052417229595</v>
      </c>
      <c r="F1161" s="76">
        <v>3518.29</v>
      </c>
      <c r="G1161" s="84">
        <v>6.1725708572262894E-2</v>
      </c>
      <c r="H1161" s="78">
        <v>106.17257085722629</v>
      </c>
      <c r="I1161" s="78">
        <v>117.10295789310329</v>
      </c>
      <c r="J1161" s="79">
        <f t="shared" si="561"/>
        <v>145.98471515066237</v>
      </c>
      <c r="K1161" s="80">
        <v>274691.91930000001</v>
      </c>
      <c r="L1161" s="83">
        <f t="shared" si="560"/>
        <v>33.26359821409806</v>
      </c>
    </row>
    <row r="1162" spans="1:12" ht="20.25" customHeight="1" x14ac:dyDescent="0.25">
      <c r="A1162" s="75">
        <v>36573</v>
      </c>
      <c r="B1162" s="76">
        <v>123.5847</v>
      </c>
      <c r="C1162" s="76">
        <v>122.97</v>
      </c>
      <c r="D1162" s="76">
        <v>124.2</v>
      </c>
      <c r="E1162" s="78">
        <f>3518.29/1800.553*100</f>
        <v>195.40052417229595</v>
      </c>
      <c r="F1162" s="76">
        <v>3518.29</v>
      </c>
      <c r="G1162" s="84">
        <v>5.8781443248134169E-2</v>
      </c>
      <c r="H1162" s="78">
        <v>105.87814432481342</v>
      </c>
      <c r="I1162" s="78">
        <v>117.01515505055322</v>
      </c>
      <c r="J1162" s="79">
        <f t="shared" si="561"/>
        <v>145.78201942558456</v>
      </c>
      <c r="K1162" s="80">
        <v>274168.5699</v>
      </c>
      <c r="L1162" s="83">
        <f t="shared" si="560"/>
        <v>33.883040460520526</v>
      </c>
    </row>
    <row r="1163" spans="1:12" ht="20.25" customHeight="1" x14ac:dyDescent="0.25">
      <c r="A1163" s="75">
        <v>36566</v>
      </c>
      <c r="B1163" s="76">
        <v>121.4046</v>
      </c>
      <c r="C1163" s="76">
        <v>120.8</v>
      </c>
      <c r="D1163" s="76">
        <v>122.01</v>
      </c>
      <c r="E1163" s="78">
        <f>3518.29/1800.553*100</f>
        <v>195.40052417229595</v>
      </c>
      <c r="F1163" s="76">
        <v>3518.29</v>
      </c>
      <c r="G1163" s="84">
        <v>6.217792646617526E-2</v>
      </c>
      <c r="H1163" s="78">
        <v>106.21779264661753</v>
      </c>
      <c r="I1163" s="78">
        <v>116.92856644379937</v>
      </c>
      <c r="J1163" s="79">
        <f t="shared" si="561"/>
        <v>146.01547330006298</v>
      </c>
      <c r="K1163" s="80">
        <v>274168.5699</v>
      </c>
      <c r="L1163" s="83">
        <f t="shared" si="560"/>
        <v>33.285325561281539</v>
      </c>
    </row>
    <row r="1164" spans="1:12" ht="20.25" customHeight="1" x14ac:dyDescent="0.25">
      <c r="A1164" s="75">
        <v>36559</v>
      </c>
      <c r="B1164" s="76">
        <v>124.1801</v>
      </c>
      <c r="C1164" s="76">
        <v>123.56</v>
      </c>
      <c r="D1164" s="76">
        <v>124.8</v>
      </c>
      <c r="E1164" s="78">
        <f>3518.29/1800.553*100</f>
        <v>195.40052417229595</v>
      </c>
      <c r="F1164" s="76">
        <v>3518.29</v>
      </c>
      <c r="G1164" s="84">
        <v>6.1713890984517628E-2</v>
      </c>
      <c r="H1164" s="78">
        <v>106.17138909845177</v>
      </c>
      <c r="I1164" s="78">
        <v>116.84209509047712</v>
      </c>
      <c r="J1164" s="79">
        <f t="shared" si="561"/>
        <v>145.98357131714391</v>
      </c>
      <c r="K1164" s="80">
        <v>274168.5699</v>
      </c>
      <c r="L1164" s="83">
        <f t="shared" si="560"/>
        <v>34.046280427038987</v>
      </c>
    </row>
    <row r="1165" spans="1:12" ht="20.25" customHeight="1" x14ac:dyDescent="0.25">
      <c r="A1165" s="75">
        <v>36552</v>
      </c>
      <c r="B1165" s="76">
        <v>127.946</v>
      </c>
      <c r="C1165" s="76">
        <v>127.31</v>
      </c>
      <c r="D1165" s="76">
        <v>128.59</v>
      </c>
      <c r="E1165" s="78">
        <f>3731.559/1800.553*100</f>
        <v>207.24516301380743</v>
      </c>
      <c r="F1165" s="76">
        <v>3731.5590000000002</v>
      </c>
      <c r="G1165" s="84">
        <v>7.0450173548101569E-2</v>
      </c>
      <c r="H1165" s="78">
        <v>107.04501735481016</v>
      </c>
      <c r="I1165" s="78">
        <v>116.75561636461504</v>
      </c>
      <c r="J1165" s="79">
        <f t="shared" si="561"/>
        <v>150.9119094120702</v>
      </c>
      <c r="K1165" s="80">
        <v>334945.75790000003</v>
      </c>
      <c r="L1165" s="83">
        <f t="shared" si="560"/>
        <v>42.854969940273406</v>
      </c>
    </row>
    <row r="1166" spans="1:12" ht="20.25" customHeight="1" x14ac:dyDescent="0.25">
      <c r="A1166" s="75">
        <v>36545</v>
      </c>
      <c r="B1166" s="76">
        <v>129.5198</v>
      </c>
      <c r="C1166" s="76">
        <v>128.87</v>
      </c>
      <c r="D1166" s="76">
        <v>130.16999999999999</v>
      </c>
      <c r="E1166" s="78">
        <f>3731.559/1800.553*100</f>
        <v>207.24516301380743</v>
      </c>
      <c r="F1166" s="76">
        <v>3731.5590000000002</v>
      </c>
      <c r="G1166" s="84">
        <v>7.6391291432984509E-2</v>
      </c>
      <c r="H1166" s="78">
        <v>107.63912914329845</v>
      </c>
      <c r="I1166" s="78">
        <v>116.67064657112252</v>
      </c>
      <c r="J1166" s="79">
        <f t="shared" si="561"/>
        <v>151.32953943211353</v>
      </c>
      <c r="K1166" s="80">
        <v>334945.75790000003</v>
      </c>
      <c r="L1166" s="83">
        <f t="shared" si="560"/>
        <v>43.382107574056427</v>
      </c>
    </row>
    <row r="1167" spans="1:12" ht="20.25" customHeight="1" x14ac:dyDescent="0.25">
      <c r="A1167" s="75">
        <v>36538</v>
      </c>
      <c r="B1167" s="76">
        <v>130.13130000000001</v>
      </c>
      <c r="C1167" s="76">
        <v>129.47999999999999</v>
      </c>
      <c r="D1167" s="76">
        <v>130.78</v>
      </c>
      <c r="E1167" s="78">
        <f>3731.559/1800.553*100</f>
        <v>207.24516301380743</v>
      </c>
      <c r="F1167" s="76">
        <v>3731.5590000000002</v>
      </c>
      <c r="G1167" s="84">
        <v>8.0193683258279469E-2</v>
      </c>
      <c r="H1167" s="78">
        <v>108.01936832582794</v>
      </c>
      <c r="I1167" s="78">
        <v>116.5864005194239</v>
      </c>
      <c r="J1167" s="79">
        <f t="shared" si="561"/>
        <v>151.5963567430079</v>
      </c>
      <c r="K1167" s="80">
        <v>334945.75790000003</v>
      </c>
      <c r="L1167" s="83">
        <f t="shared" si="560"/>
        <v>43.586926905012277</v>
      </c>
    </row>
    <row r="1168" spans="1:12" ht="20.25" customHeight="1" x14ac:dyDescent="0.25">
      <c r="A1168" s="75">
        <v>36531</v>
      </c>
      <c r="B1168" s="76">
        <v>132.70590000000001</v>
      </c>
      <c r="C1168" s="76">
        <v>132.04</v>
      </c>
      <c r="D1168" s="76">
        <v>133.37</v>
      </c>
      <c r="E1168" s="78">
        <f>3731.559/1800.553*100</f>
        <v>207.24516301380743</v>
      </c>
      <c r="F1168" s="76">
        <v>3731.5590000000002</v>
      </c>
      <c r="G1168" s="84">
        <v>8.4659645283759799E-2</v>
      </c>
      <c r="H1168" s="78">
        <v>108.46596452837598</v>
      </c>
      <c r="I1168" s="78">
        <v>116.50200106447915</v>
      </c>
      <c r="J1168" s="79">
        <f t="shared" si="561"/>
        <v>151.90909089616707</v>
      </c>
      <c r="K1168" s="80">
        <v>335345.75790000003</v>
      </c>
      <c r="L1168" s="83">
        <f t="shared" si="560"/>
        <v>44.502360613301619</v>
      </c>
    </row>
    <row r="1169" spans="1:12" ht="20.25" customHeight="1" x14ac:dyDescent="0.25">
      <c r="A1169" s="75">
        <v>36524</v>
      </c>
      <c r="B1169" s="76">
        <v>124.1283</v>
      </c>
      <c r="C1169" s="76">
        <v>123.51</v>
      </c>
      <c r="D1169" s="76">
        <v>124.75</v>
      </c>
      <c r="E1169" s="78">
        <f>3451.734/1800.553*100</f>
        <v>191.70410423908652</v>
      </c>
      <c r="F1169" s="76">
        <v>3451.7339999999999</v>
      </c>
      <c r="G1169" s="84">
        <v>7.9041655367179997E-2</v>
      </c>
      <c r="H1169" s="78">
        <v>107.904165536718</v>
      </c>
      <c r="I1169" s="78">
        <v>116.41783077348431</v>
      </c>
      <c r="J1169" s="79">
        <f t="shared" si="561"/>
        <v>145.62714278776718</v>
      </c>
      <c r="K1169" s="80">
        <v>335345.75790000003</v>
      </c>
      <c r="L1169" s="83">
        <f t="shared" si="560"/>
        <v>41.625898840338571</v>
      </c>
    </row>
    <row r="1170" spans="1:12" ht="20.25" customHeight="1" x14ac:dyDescent="0.25">
      <c r="A1170" s="75">
        <v>36517</v>
      </c>
      <c r="B1170" s="76">
        <v>126.0159</v>
      </c>
      <c r="C1170" s="76">
        <v>125.39</v>
      </c>
      <c r="D1170" s="76">
        <v>126.65</v>
      </c>
      <c r="E1170" s="78">
        <f>3451.734/1800.553*100</f>
        <v>191.70410423908652</v>
      </c>
      <c r="F1170" s="76">
        <v>3451.7339999999999</v>
      </c>
      <c r="G1170" s="84">
        <v>8.4583269385381854E-2</v>
      </c>
      <c r="H1170" s="78">
        <v>108.45832693853819</v>
      </c>
      <c r="I1170" s="78">
        <v>116.33436365639831</v>
      </c>
      <c r="J1170" s="79">
        <f t="shared" si="561"/>
        <v>146.0001323048831</v>
      </c>
      <c r="K1170" s="80">
        <v>335345.75790000003</v>
      </c>
      <c r="L1170" s="83">
        <f t="shared" si="560"/>
        <v>42.258897492950609</v>
      </c>
    </row>
    <row r="1171" spans="1:12" ht="20.25" customHeight="1" x14ac:dyDescent="0.25">
      <c r="A1171" s="75">
        <v>36510</v>
      </c>
      <c r="B1171" s="76">
        <v>126.9753</v>
      </c>
      <c r="C1171" s="76">
        <v>126.34</v>
      </c>
      <c r="D1171" s="76">
        <v>127.61</v>
      </c>
      <c r="E1171" s="78">
        <f>3451.734/1800.553*100</f>
        <v>191.70410423908652</v>
      </c>
      <c r="F1171" s="76">
        <v>3451.7339999999999</v>
      </c>
      <c r="G1171" s="84">
        <v>8.1767335679604036E-2</v>
      </c>
      <c r="H1171" s="78">
        <v>108.1767335679604</v>
      </c>
      <c r="I1171" s="78">
        <v>116.24958625693031</v>
      </c>
      <c r="J1171" s="79">
        <f t="shared" si="561"/>
        <v>145.8103538393641</v>
      </c>
      <c r="K1171" s="80">
        <v>335345.75790000003</v>
      </c>
      <c r="L1171" s="83">
        <f t="shared" si="560"/>
        <v>42.580628213079876</v>
      </c>
    </row>
    <row r="1172" spans="1:12" ht="20.25" customHeight="1" x14ac:dyDescent="0.25">
      <c r="A1172" s="75">
        <v>36503</v>
      </c>
      <c r="B1172" s="76">
        <v>127.8302</v>
      </c>
      <c r="C1172" s="76">
        <v>127.19</v>
      </c>
      <c r="D1172" s="76">
        <v>128.47</v>
      </c>
      <c r="E1172" s="78">
        <f>3451.734/1800.553*100</f>
        <v>191.70410423908652</v>
      </c>
      <c r="F1172" s="76">
        <v>3451.7339999999999</v>
      </c>
      <c r="G1172" s="84">
        <v>8.1218850302355428E-2</v>
      </c>
      <c r="H1172" s="78">
        <v>108.12188503023555</v>
      </c>
      <c r="I1172" s="78">
        <v>116.16628011547279</v>
      </c>
      <c r="J1172" s="79">
        <f t="shared" si="561"/>
        <v>145.77337956396161</v>
      </c>
      <c r="K1172" s="80">
        <v>336585.01120000001</v>
      </c>
      <c r="L1172" s="83">
        <f t="shared" si="560"/>
        <v>43.025729298698238</v>
      </c>
    </row>
    <row r="1173" spans="1:12" ht="20.25" customHeight="1" x14ac:dyDescent="0.25">
      <c r="A1173" s="75">
        <v>36496</v>
      </c>
      <c r="B1173" s="76">
        <v>128.7963</v>
      </c>
      <c r="C1173" s="76">
        <v>128.15</v>
      </c>
      <c r="D1173" s="76">
        <v>129.44</v>
      </c>
      <c r="E1173" s="78">
        <f>3451.734/1800.553*100</f>
        <v>191.70410423908652</v>
      </c>
      <c r="F1173" s="76">
        <v>3451.7339999999999</v>
      </c>
      <c r="G1173" s="84">
        <v>7.5558335940921539E-2</v>
      </c>
      <c r="H1173" s="78">
        <v>107.55583359409215</v>
      </c>
      <c r="I1173" s="78">
        <v>116.08355851529149</v>
      </c>
      <c r="J1173" s="79">
        <f t="shared" si="561"/>
        <v>145.39079377169725</v>
      </c>
      <c r="K1173" s="80">
        <v>336585.01120000001</v>
      </c>
      <c r="L1173" s="83">
        <f t="shared" si="560"/>
        <v>43.350904078018559</v>
      </c>
    </row>
    <row r="1174" spans="1:12" ht="20.25" customHeight="1" x14ac:dyDescent="0.25">
      <c r="A1174" s="75">
        <v>36489</v>
      </c>
      <c r="B1174" s="76">
        <v>129.8347</v>
      </c>
      <c r="C1174" s="76">
        <v>129.19</v>
      </c>
      <c r="D1174" s="76">
        <v>130.47999999999999</v>
      </c>
      <c r="E1174" s="78">
        <f>3356.86/1800.553*100</f>
        <v>186.43494526403833</v>
      </c>
      <c r="F1174" s="76">
        <v>3356.86</v>
      </c>
      <c r="G1174" s="84">
        <v>7.6244139337832584E-2</v>
      </c>
      <c r="H1174" s="78">
        <v>107.62441393378326</v>
      </c>
      <c r="I1174" s="78">
        <v>116.00101531211035</v>
      </c>
      <c r="J1174" s="79">
        <f t="shared" si="561"/>
        <v>143.40990837759358</v>
      </c>
      <c r="K1174" s="80">
        <v>336585.01120000001</v>
      </c>
      <c r="L1174" s="83">
        <f t="shared" si="560"/>
        <v>43.700413953648642</v>
      </c>
    </row>
    <row r="1175" spans="1:12" ht="20.25" customHeight="1" x14ac:dyDescent="0.25">
      <c r="A1175" s="75">
        <v>36482</v>
      </c>
      <c r="B1175" s="76">
        <v>132.83269999999999</v>
      </c>
      <c r="C1175" s="76">
        <v>132.16999999999999</v>
      </c>
      <c r="D1175" s="76">
        <v>133.5</v>
      </c>
      <c r="E1175" s="78">
        <f>3356.86/1800.553*100</f>
        <v>186.43494526403833</v>
      </c>
      <c r="F1175" s="76">
        <v>3356.86</v>
      </c>
      <c r="G1175" s="84">
        <v>7.6381846220197502E-2</v>
      </c>
      <c r="H1175" s="78">
        <v>107.63818462201975</v>
      </c>
      <c r="I1175" s="78">
        <v>115.91897955032226</v>
      </c>
      <c r="J1175" s="79">
        <f t="shared" si="561"/>
        <v>143.41908253581494</v>
      </c>
      <c r="K1175" s="80">
        <v>336585.01120000001</v>
      </c>
      <c r="L1175" s="83">
        <f t="shared" si="560"/>
        <v>44.709495817226241</v>
      </c>
    </row>
    <row r="1176" spans="1:12" ht="20.25" customHeight="1" x14ac:dyDescent="0.25">
      <c r="A1176" s="75">
        <v>36475</v>
      </c>
      <c r="B1176" s="76">
        <v>134.1481</v>
      </c>
      <c r="C1176" s="76">
        <v>133.47999999999999</v>
      </c>
      <c r="D1176" s="76">
        <v>134.82</v>
      </c>
      <c r="E1176" s="78">
        <f>3356.86/1800.553*100</f>
        <v>186.43494526403833</v>
      </c>
      <c r="F1176" s="76">
        <v>3356.86</v>
      </c>
      <c r="G1176" s="84">
        <v>8.0979992731414985E-2</v>
      </c>
      <c r="H1176" s="78">
        <v>108.0979992731415</v>
      </c>
      <c r="I1176" s="78">
        <v>115.83714655681823</v>
      </c>
      <c r="J1176" s="79">
        <f t="shared" si="561"/>
        <v>143.72476234441143</v>
      </c>
      <c r="K1176" s="80">
        <v>335592.4951</v>
      </c>
      <c r="L1176" s="83">
        <f t="shared" si="560"/>
        <v>45.019095591924312</v>
      </c>
    </row>
    <row r="1177" spans="1:12" ht="20.25" customHeight="1" x14ac:dyDescent="0.25">
      <c r="A1177" s="75">
        <v>36468</v>
      </c>
      <c r="B1177" s="76">
        <v>137.01050000000001</v>
      </c>
      <c r="C1177" s="76">
        <v>136.33000000000001</v>
      </c>
      <c r="D1177" s="76">
        <v>137.69999999999999</v>
      </c>
      <c r="E1177" s="78">
        <f>3356.86/1800.553*100</f>
        <v>186.43494526403833</v>
      </c>
      <c r="F1177" s="76">
        <v>3356.86</v>
      </c>
      <c r="G1177" s="84">
        <v>8.2524877090523807E-2</v>
      </c>
      <c r="H1177" s="78">
        <v>108.25248770905237</v>
      </c>
      <c r="I1177" s="78">
        <v>115.75531098179981</v>
      </c>
      <c r="J1177" s="79">
        <f t="shared" si="561"/>
        <v>143.82739125015584</v>
      </c>
      <c r="K1177" s="80">
        <v>335156.76530000003</v>
      </c>
      <c r="L1177" s="83">
        <f t="shared" si="560"/>
        <v>45.919995992135661</v>
      </c>
    </row>
    <row r="1178" spans="1:12" ht="20.25" customHeight="1" x14ac:dyDescent="0.25">
      <c r="A1178" s="75">
        <v>36461</v>
      </c>
      <c r="B1178" s="76">
        <v>136.97659999999999</v>
      </c>
      <c r="C1178" s="76">
        <v>136.29</v>
      </c>
      <c r="D1178" s="76">
        <v>137.66</v>
      </c>
      <c r="E1178" s="78">
        <f>3190.575/1800.553*100</f>
        <v>177.1997269727689</v>
      </c>
      <c r="F1178" s="76">
        <v>3190.5749999999998</v>
      </c>
      <c r="G1178" s="84">
        <v>8.3615700030004847E-2</v>
      </c>
      <c r="H1178" s="78">
        <v>108.36157000300048</v>
      </c>
      <c r="I1178" s="78">
        <v>115.67247608042632</v>
      </c>
      <c r="J1178" s="79">
        <f t="shared" si="561"/>
        <v>140.24340690165616</v>
      </c>
      <c r="K1178" s="80">
        <v>330536.68680000002</v>
      </c>
      <c r="L1178" s="83">
        <f t="shared" si="560"/>
        <v>45.275791533128881</v>
      </c>
    </row>
    <row r="1179" spans="1:12" ht="20.25" customHeight="1" x14ac:dyDescent="0.25">
      <c r="A1179" s="75">
        <v>36454</v>
      </c>
      <c r="B1179" s="76">
        <v>140.63220000000001</v>
      </c>
      <c r="C1179" s="76">
        <v>139.93</v>
      </c>
      <c r="D1179" s="76">
        <v>141.34</v>
      </c>
      <c r="E1179" s="78">
        <f>3190.575/1800.553*100</f>
        <v>177.1997269727689</v>
      </c>
      <c r="F1179" s="76">
        <v>3190.5749999999998</v>
      </c>
      <c r="G1179" s="84">
        <v>9.0000330238577675E-2</v>
      </c>
      <c r="H1179" s="78">
        <v>109.00003302385777</v>
      </c>
      <c r="I1179" s="78">
        <v>115.58916465638998</v>
      </c>
      <c r="J1179" s="79">
        <f t="shared" si="561"/>
        <v>140.65534823802312</v>
      </c>
      <c r="K1179" s="80">
        <v>329829.17300000001</v>
      </c>
      <c r="L1179" s="83">
        <f t="shared" si="560"/>
        <v>46.38460222317061</v>
      </c>
    </row>
    <row r="1180" spans="1:12" ht="20.25" customHeight="1" x14ac:dyDescent="0.25">
      <c r="A1180" s="75">
        <v>36447</v>
      </c>
      <c r="B1180" s="76">
        <v>141.25</v>
      </c>
      <c r="C1180" s="76">
        <v>140.54</v>
      </c>
      <c r="D1180" s="76">
        <v>141.96</v>
      </c>
      <c r="E1180" s="78">
        <f>3190.575/1800.553*100</f>
        <v>177.1997269727689</v>
      </c>
      <c r="F1180" s="76">
        <v>3190.5749999999998</v>
      </c>
      <c r="G1180" s="84">
        <v>8.5894339024393807E-2</v>
      </c>
      <c r="H1180" s="78">
        <v>108.58943390243938</v>
      </c>
      <c r="I1180" s="78">
        <v>115.50600454671209</v>
      </c>
      <c r="J1180" s="79">
        <f t="shared" si="561"/>
        <v>140.38992655550717</v>
      </c>
      <c r="K1180" s="80">
        <v>329829.17300000001</v>
      </c>
      <c r="L1180" s="83">
        <f t="shared" si="560"/>
        <v>46.588370686250002</v>
      </c>
    </row>
    <row r="1181" spans="1:12" ht="20.25" customHeight="1" x14ac:dyDescent="0.25">
      <c r="A1181" s="75">
        <v>36440</v>
      </c>
      <c r="B1181" s="76">
        <v>140.37</v>
      </c>
      <c r="C1181" s="76">
        <v>139.66999999999999</v>
      </c>
      <c r="D1181" s="76">
        <v>141.07</v>
      </c>
      <c r="E1181" s="78">
        <f>3190.575/1800.553*100</f>
        <v>177.1997269727689</v>
      </c>
      <c r="F1181" s="76">
        <v>3190.5749999999998</v>
      </c>
      <c r="G1181" s="84">
        <v>8.1742988155151242E-2</v>
      </c>
      <c r="H1181" s="78">
        <v>108.17429881551513</v>
      </c>
      <c r="I1181" s="78">
        <v>115.42382298239215</v>
      </c>
      <c r="J1181" s="79">
        <f t="shared" si="561"/>
        <v>140.12105877198482</v>
      </c>
      <c r="K1181" s="80">
        <v>330612.13660000003</v>
      </c>
      <c r="L1181" s="83">
        <f t="shared" si="560"/>
        <v>46.408025614542005</v>
      </c>
    </row>
    <row r="1182" spans="1:12" ht="20.25" customHeight="1" x14ac:dyDescent="0.25">
      <c r="A1182" s="75">
        <v>36433</v>
      </c>
      <c r="B1182" s="76">
        <v>142.05000000000001</v>
      </c>
      <c r="C1182" s="76">
        <v>141.34</v>
      </c>
      <c r="D1182" s="76">
        <v>142.76</v>
      </c>
      <c r="E1182" s="78">
        <f>3190.575/1800.553*100</f>
        <v>177.1997269727689</v>
      </c>
      <c r="F1182" s="76">
        <v>3190.5749999999998</v>
      </c>
      <c r="G1182" s="84">
        <v>8.0939278252017299E-2</v>
      </c>
      <c r="H1182" s="78">
        <v>108.09392782520173</v>
      </c>
      <c r="I1182" s="78">
        <v>115.34236855722435</v>
      </c>
      <c r="J1182" s="79">
        <f t="shared" si="561"/>
        <v>140.06898608228744</v>
      </c>
      <c r="K1182" s="80">
        <v>330612.13660000003</v>
      </c>
      <c r="L1182" s="83">
        <f t="shared" si="560"/>
        <v>46.963454004030005</v>
      </c>
    </row>
    <row r="1183" spans="1:12" ht="20.25" customHeight="1" x14ac:dyDescent="0.25">
      <c r="A1183" s="75">
        <v>36426</v>
      </c>
      <c r="B1183" s="76">
        <v>139.84</v>
      </c>
      <c r="C1183" s="76">
        <v>139.13999999999999</v>
      </c>
      <c r="D1183" s="76">
        <v>140.54</v>
      </c>
      <c r="E1183" s="78">
        <f>3221.377/1800.553*100</f>
        <v>178.91042363096227</v>
      </c>
      <c r="F1183" s="76">
        <v>3221.377</v>
      </c>
      <c r="G1183" s="84">
        <v>7.8521547828688254E-2</v>
      </c>
      <c r="H1183" s="78">
        <v>107.85215478286882</v>
      </c>
      <c r="I1183" s="78">
        <v>115.26425748311945</v>
      </c>
      <c r="J1183" s="79">
        <f t="shared" si="561"/>
        <v>140.58352469886202</v>
      </c>
      <c r="K1183" s="80">
        <v>330256.36599999998</v>
      </c>
      <c r="L1183" s="83">
        <f t="shared" si="560"/>
        <v>46.183050221439991</v>
      </c>
    </row>
    <row r="1184" spans="1:12" ht="20.25" customHeight="1" x14ac:dyDescent="0.25">
      <c r="A1184" s="75">
        <v>36419</v>
      </c>
      <c r="B1184" s="76">
        <v>139.25</v>
      </c>
      <c r="C1184" s="76">
        <v>138.56</v>
      </c>
      <c r="D1184" s="76">
        <v>139.94999999999999</v>
      </c>
      <c r="E1184" s="78">
        <f>3221.377/1800.553*100</f>
        <v>178.91042363096227</v>
      </c>
      <c r="F1184" s="76">
        <v>3221.377</v>
      </c>
      <c r="G1184" s="84">
        <v>7.4768054210875068E-2</v>
      </c>
      <c r="H1184" s="78">
        <v>107.47680542108751</v>
      </c>
      <c r="I1184" s="78">
        <v>115.18649511971157</v>
      </c>
      <c r="J1184" s="79">
        <f t="shared" si="561"/>
        <v>140.33846738644706</v>
      </c>
      <c r="K1184" s="80">
        <v>330256.36599999998</v>
      </c>
      <c r="L1184" s="83">
        <f t="shared" si="560"/>
        <v>45.988198965499997</v>
      </c>
    </row>
    <row r="1185" spans="1:12" ht="20.25" customHeight="1" x14ac:dyDescent="0.25">
      <c r="A1185" s="75">
        <v>36412</v>
      </c>
      <c r="B1185" s="76">
        <v>140.04</v>
      </c>
      <c r="C1185" s="76">
        <v>139.34</v>
      </c>
      <c r="D1185" s="76">
        <v>140.74</v>
      </c>
      <c r="E1185" s="78">
        <f>3221.377/1800.553*100</f>
        <v>178.91042363096227</v>
      </c>
      <c r="F1185" s="76">
        <v>3221.377</v>
      </c>
      <c r="G1185" s="84">
        <v>7.0233101679936905E-2</v>
      </c>
      <c r="H1185" s="78">
        <v>107.02331016799369</v>
      </c>
      <c r="I1185" s="78">
        <v>115.10873503001484</v>
      </c>
      <c r="J1185" s="79">
        <f t="shared" si="561"/>
        <v>140.04176438182895</v>
      </c>
      <c r="K1185" s="80">
        <v>330256.36599999998</v>
      </c>
      <c r="L1185" s="83">
        <f t="shared" si="560"/>
        <v>46.249101494639994</v>
      </c>
    </row>
    <row r="1186" spans="1:12" ht="20.25" customHeight="1" x14ac:dyDescent="0.25">
      <c r="A1186" s="75">
        <v>36405</v>
      </c>
      <c r="B1186" s="76">
        <v>141.37</v>
      </c>
      <c r="C1186" s="76">
        <v>140.66999999999999</v>
      </c>
      <c r="D1186" s="76">
        <v>142.08000000000001</v>
      </c>
      <c r="E1186" s="78">
        <f>3221.377/1800.553*100</f>
        <v>178.91042363096227</v>
      </c>
      <c r="F1186" s="76">
        <v>3221.377</v>
      </c>
      <c r="G1186" s="84">
        <v>7.323221199433938E-2</v>
      </c>
      <c r="H1186" s="78">
        <v>107.32322119943393</v>
      </c>
      <c r="I1186" s="78">
        <v>115.03115347086835</v>
      </c>
      <c r="J1186" s="79">
        <f t="shared" si="561"/>
        <v>140.237709096831</v>
      </c>
      <c r="K1186" s="80">
        <v>329763.68589999998</v>
      </c>
      <c r="L1186" s="83">
        <f t="shared" si="560"/>
        <v>46.618692275683003</v>
      </c>
    </row>
    <row r="1187" spans="1:12" ht="20.25" customHeight="1" x14ac:dyDescent="0.25">
      <c r="A1187" s="75">
        <v>36398</v>
      </c>
      <c r="B1187" s="76">
        <v>137.64699999999999</v>
      </c>
      <c r="C1187" s="76">
        <v>136.96</v>
      </c>
      <c r="D1187" s="76">
        <v>138.34</v>
      </c>
      <c r="E1187" s="78">
        <f>3226.654/1800.553*100</f>
        <v>179.20350025797629</v>
      </c>
      <c r="F1187" s="76">
        <v>3226.654</v>
      </c>
      <c r="G1187" s="84">
        <v>5.6273516648412514E-2</v>
      </c>
      <c r="H1187" s="78">
        <v>105.62735166484126</v>
      </c>
      <c r="I1187" s="78">
        <v>114.95377336189077</v>
      </c>
      <c r="J1187" s="79">
        <f t="shared" si="561"/>
        <v>139.23384893287988</v>
      </c>
      <c r="K1187" s="80">
        <v>327667.40139999997</v>
      </c>
      <c r="L1187" s="83">
        <f t="shared" si="560"/>
        <v>45.102434800505797</v>
      </c>
    </row>
    <row r="1188" spans="1:12" ht="20.25" customHeight="1" x14ac:dyDescent="0.25">
      <c r="A1188" s="75">
        <v>36391</v>
      </c>
      <c r="B1188" s="76">
        <v>139.94</v>
      </c>
      <c r="C1188" s="76">
        <v>139.24</v>
      </c>
      <c r="D1188" s="76">
        <v>140.63999999999999</v>
      </c>
      <c r="E1188" s="78">
        <f>3226.654/1800.553*100</f>
        <v>179.20350025797629</v>
      </c>
      <c r="F1188" s="76">
        <v>3226.654</v>
      </c>
      <c r="G1188" s="84">
        <v>6.301224661008975E-2</v>
      </c>
      <c r="H1188" s="78">
        <v>106.30122466100897</v>
      </c>
      <c r="I1188" s="78">
        <v>114.8772732227376</v>
      </c>
      <c r="J1188" s="79">
        <f t="shared" si="561"/>
        <v>139.67657323450544</v>
      </c>
      <c r="K1188" s="80">
        <v>326601.06180000002</v>
      </c>
      <c r="L1188" s="83">
        <f t="shared" si="560"/>
        <v>45.704552588292003</v>
      </c>
    </row>
    <row r="1189" spans="1:12" ht="20.25" customHeight="1" x14ac:dyDescent="0.25">
      <c r="A1189" s="75">
        <v>36384</v>
      </c>
      <c r="B1189" s="76">
        <v>139.97999999999999</v>
      </c>
      <c r="C1189" s="76">
        <v>139.28</v>
      </c>
      <c r="D1189" s="76">
        <v>140.68</v>
      </c>
      <c r="E1189" s="78">
        <f>3226.654/1800.553*100</f>
        <v>179.20350025797629</v>
      </c>
      <c r="F1189" s="76">
        <v>3226.654</v>
      </c>
      <c r="G1189" s="84">
        <v>5.3008686012434358E-2</v>
      </c>
      <c r="H1189" s="78">
        <v>105.30086860124344</v>
      </c>
      <c r="I1189" s="78">
        <v>114.80084672137755</v>
      </c>
      <c r="J1189" s="79">
        <f t="shared" si="561"/>
        <v>139.01624750573654</v>
      </c>
      <c r="K1189" s="80">
        <v>326601.06180000002</v>
      </c>
      <c r="L1189" s="83">
        <f t="shared" si="560"/>
        <v>45.717616630763999</v>
      </c>
    </row>
    <row r="1190" spans="1:12" ht="20.25" customHeight="1" x14ac:dyDescent="0.25">
      <c r="A1190" s="75">
        <v>36377</v>
      </c>
      <c r="B1190" s="76">
        <v>141.43</v>
      </c>
      <c r="C1190" s="76">
        <v>140.72</v>
      </c>
      <c r="D1190" s="76">
        <v>142.13999999999999</v>
      </c>
      <c r="E1190" s="78">
        <f>3226.654/1800.553*100</f>
        <v>179.20350025797629</v>
      </c>
      <c r="F1190" s="76">
        <v>3226.654</v>
      </c>
      <c r="G1190" s="84">
        <v>6.1786260865076326E-2</v>
      </c>
      <c r="H1190" s="78">
        <v>106.17862608650763</v>
      </c>
      <c r="I1190" s="78">
        <v>114.72430268705511</v>
      </c>
      <c r="J1190" s="79">
        <f t="shared" si="561"/>
        <v>139.59324222572897</v>
      </c>
      <c r="K1190" s="80">
        <v>324068.7696</v>
      </c>
      <c r="L1190" s="83">
        <f t="shared" ref="L1190:L1253" si="562">(K1190*B1190)/1000000</f>
        <v>45.833046084528</v>
      </c>
    </row>
    <row r="1191" spans="1:12" ht="20.25" customHeight="1" x14ac:dyDescent="0.25">
      <c r="A1191" s="75">
        <v>36370</v>
      </c>
      <c r="B1191" s="76">
        <v>139.464</v>
      </c>
      <c r="C1191" s="76">
        <v>138.77000000000001</v>
      </c>
      <c r="D1191" s="76">
        <v>140.16</v>
      </c>
      <c r="E1191" s="78">
        <f>3235.914/1800.553*100</f>
        <v>179.71778670219649</v>
      </c>
      <c r="F1191" s="76">
        <v>3235.9140000000002</v>
      </c>
      <c r="G1191" s="84">
        <v>5.5169219038626593E-2</v>
      </c>
      <c r="H1191" s="78">
        <v>105.51692190386265</v>
      </c>
      <c r="I1191" s="78">
        <v>114.64905280166569</v>
      </c>
      <c r="J1191" s="79">
        <f t="shared" si="561"/>
        <v>139.35567993859576</v>
      </c>
      <c r="K1191" s="80">
        <v>321571.62349999999</v>
      </c>
      <c r="L1191" s="83">
        <f t="shared" si="562"/>
        <v>44.847664899803995</v>
      </c>
    </row>
    <row r="1192" spans="1:12" ht="20.25" customHeight="1" x14ac:dyDescent="0.25">
      <c r="A1192" s="75">
        <v>36363</v>
      </c>
      <c r="B1192" s="76">
        <v>137.137</v>
      </c>
      <c r="C1192" s="76">
        <v>136.44999999999999</v>
      </c>
      <c r="D1192" s="76">
        <v>137.82</v>
      </c>
      <c r="E1192" s="78">
        <f>3235.914/1800.553*100</f>
        <v>179.71778670219649</v>
      </c>
      <c r="F1192" s="76">
        <v>3235.9140000000002</v>
      </c>
      <c r="G1192" s="84">
        <v>4.1624481175663197E-2</v>
      </c>
      <c r="H1192" s="78">
        <v>104.16244811756631</v>
      </c>
      <c r="I1192" s="78">
        <v>114.57568767379145</v>
      </c>
      <c r="J1192" s="79">
        <f t="shared" si="561"/>
        <v>138.45547876272883</v>
      </c>
      <c r="K1192" s="80">
        <v>321571.62349999999</v>
      </c>
      <c r="L1192" s="83">
        <f t="shared" si="562"/>
        <v>44.0993677319195</v>
      </c>
    </row>
    <row r="1193" spans="1:12" ht="20.25" customHeight="1" x14ac:dyDescent="0.25">
      <c r="A1193" s="75">
        <v>36356</v>
      </c>
      <c r="B1193" s="76">
        <v>133.13300000000001</v>
      </c>
      <c r="C1193" s="76">
        <v>132.47</v>
      </c>
      <c r="D1193" s="76">
        <v>133.80000000000001</v>
      </c>
      <c r="E1193" s="78">
        <f>3235.914/1800.553*100</f>
        <v>179.71778670219649</v>
      </c>
      <c r="F1193" s="76">
        <v>3235.9140000000002</v>
      </c>
      <c r="G1193" s="84">
        <v>2.5903660037781107E-2</v>
      </c>
      <c r="H1193" s="78">
        <v>102.59036600377812</v>
      </c>
      <c r="I1193" s="78">
        <v>114.50332137861284</v>
      </c>
      <c r="J1193" s="79">
        <f t="shared" si="561"/>
        <v>137.40270769093524</v>
      </c>
      <c r="K1193" s="80">
        <v>319254.73259999999</v>
      </c>
      <c r="L1193" s="83">
        <f t="shared" si="562"/>
        <v>42.503340315235803</v>
      </c>
    </row>
    <row r="1194" spans="1:12" ht="20.25" customHeight="1" x14ac:dyDescent="0.25">
      <c r="A1194" s="75">
        <v>36349</v>
      </c>
      <c r="B1194" s="76">
        <v>132.459203</v>
      </c>
      <c r="C1194" s="76">
        <v>131.80000000000001</v>
      </c>
      <c r="D1194" s="76">
        <v>133.12</v>
      </c>
      <c r="E1194" s="78">
        <f>3235.914/1800.553*100</f>
        <v>179.71778670219649</v>
      </c>
      <c r="F1194" s="76">
        <v>3235.9140000000002</v>
      </c>
      <c r="G1194" s="84">
        <v>1.853106468780541E-2</v>
      </c>
      <c r="H1194" s="78">
        <v>101.85310646878054</v>
      </c>
      <c r="I1194" s="78">
        <v>114.43123381613046</v>
      </c>
      <c r="J1194" s="79">
        <f t="shared" si="561"/>
        <v>136.90720908119988</v>
      </c>
      <c r="K1194" s="80">
        <v>318879.13160000002</v>
      </c>
      <c r="L1194" s="83">
        <f t="shared" si="562"/>
        <v>42.238475625068119</v>
      </c>
    </row>
    <row r="1195" spans="1:12" ht="20.25" customHeight="1" x14ac:dyDescent="0.25">
      <c r="A1195" s="75">
        <v>36342</v>
      </c>
      <c r="B1195" s="76">
        <v>133.70715300000001</v>
      </c>
      <c r="C1195" s="76">
        <v>133.04</v>
      </c>
      <c r="D1195" s="76">
        <v>134.38</v>
      </c>
      <c r="E1195" s="78">
        <f>3235.914/1800.553*100</f>
        <v>179.71778670219649</v>
      </c>
      <c r="F1195" s="76">
        <v>3235.9140000000002</v>
      </c>
      <c r="G1195" s="84">
        <v>2.4285372967708163E-2</v>
      </c>
      <c r="H1195" s="78">
        <v>102.42853729677081</v>
      </c>
      <c r="I1195" s="78">
        <v>114.42091222695747</v>
      </c>
      <c r="J1195" s="79">
        <f t="shared" ref="J1195:J1258" si="563">(E1195/E1196)*0.5*J1196+(H1195/H1196)*0.5*J1196</f>
        <v>137.2928562065473</v>
      </c>
      <c r="K1195" s="80">
        <v>316795.59970000002</v>
      </c>
      <c r="L1195" s="83">
        <f t="shared" si="562"/>
        <v>42.357837718814658</v>
      </c>
    </row>
    <row r="1196" spans="1:12" ht="20.25" customHeight="1" x14ac:dyDescent="0.25">
      <c r="A1196" s="75">
        <v>36335</v>
      </c>
      <c r="B1196" s="76">
        <v>133.50584599999999</v>
      </c>
      <c r="C1196" s="76">
        <v>132.84</v>
      </c>
      <c r="D1196" s="76">
        <v>134.16999999999999</v>
      </c>
      <c r="E1196" s="78">
        <f>3091.297/1800.553*100</f>
        <v>171.68597647500516</v>
      </c>
      <c r="F1196" s="76">
        <v>3091.297</v>
      </c>
      <c r="G1196" s="84">
        <v>2.3491063304417859E-2</v>
      </c>
      <c r="H1196" s="78">
        <v>102.34910633044178</v>
      </c>
      <c r="I1196" s="78">
        <v>114.28713868500503</v>
      </c>
      <c r="J1196" s="79">
        <f t="shared" si="563"/>
        <v>134.10399329005469</v>
      </c>
      <c r="K1196" s="80">
        <v>314932.29200000002</v>
      </c>
      <c r="L1196" s="83">
        <f t="shared" si="562"/>
        <v>42.045302076179034</v>
      </c>
    </row>
    <row r="1197" spans="1:12" ht="20.25" customHeight="1" x14ac:dyDescent="0.25">
      <c r="A1197" s="75">
        <v>36328</v>
      </c>
      <c r="B1197" s="76">
        <v>131.22016400000001</v>
      </c>
      <c r="C1197" s="76">
        <v>130.56</v>
      </c>
      <c r="D1197" s="76">
        <v>131.88</v>
      </c>
      <c r="E1197" s="78">
        <f>3091.297/1800.553*100</f>
        <v>171.68597647500516</v>
      </c>
      <c r="F1197" s="76">
        <v>3091.297</v>
      </c>
      <c r="G1197" s="84">
        <v>2.7307735372200659E-2</v>
      </c>
      <c r="H1197" s="78">
        <v>102.73077353722006</v>
      </c>
      <c r="I1197" s="78">
        <v>114.21831008671744</v>
      </c>
      <c r="J1197" s="79">
        <f t="shared" si="563"/>
        <v>134.35356968228712</v>
      </c>
      <c r="K1197" s="80">
        <v>300676.90840000001</v>
      </c>
      <c r="L1197" s="83">
        <f t="shared" si="562"/>
        <v>39.454873231260983</v>
      </c>
    </row>
    <row r="1198" spans="1:12" ht="20.25" customHeight="1" x14ac:dyDescent="0.25">
      <c r="A1198" s="75">
        <v>36321</v>
      </c>
      <c r="B1198" s="76">
        <v>131.06534500000001</v>
      </c>
      <c r="C1198" s="76">
        <v>130.41</v>
      </c>
      <c r="D1198" s="76">
        <v>131.72</v>
      </c>
      <c r="E1198" s="78">
        <f>3091.297/1800.553*100</f>
        <v>171.68597647500516</v>
      </c>
      <c r="F1198" s="76">
        <v>3091.297</v>
      </c>
      <c r="G1198" s="84">
        <v>3.4324897327386639E-2</v>
      </c>
      <c r="H1198" s="78">
        <v>103.43248973273866</v>
      </c>
      <c r="I1198" s="78">
        <v>114.15024565719133</v>
      </c>
      <c r="J1198" s="79">
        <f t="shared" si="563"/>
        <v>134.81086781715581</v>
      </c>
      <c r="K1198" s="80">
        <v>300676.90840000001</v>
      </c>
      <c r="L1198" s="83">
        <f t="shared" si="562"/>
        <v>39.4083227329794</v>
      </c>
    </row>
    <row r="1199" spans="1:12" ht="20.25" customHeight="1" x14ac:dyDescent="0.25">
      <c r="A1199" s="75">
        <v>36314</v>
      </c>
      <c r="B1199" s="76">
        <v>128.57968500000001</v>
      </c>
      <c r="C1199" s="76">
        <v>127.94</v>
      </c>
      <c r="D1199" s="76">
        <v>129.22</v>
      </c>
      <c r="E1199" s="78">
        <f>3091.297/1800.553*100</f>
        <v>171.68597647500516</v>
      </c>
      <c r="F1199" s="76">
        <v>3091.297</v>
      </c>
      <c r="G1199" s="84">
        <v>2.3325848474830657E-2</v>
      </c>
      <c r="H1199" s="78">
        <v>102.33258484748306</v>
      </c>
      <c r="I1199" s="78">
        <v>114.08264199478486</v>
      </c>
      <c r="J1199" s="79">
        <f t="shared" si="563"/>
        <v>134.09024439551763</v>
      </c>
      <c r="K1199" s="80">
        <v>300676.90840000001</v>
      </c>
      <c r="L1199" s="83">
        <f t="shared" si="562"/>
        <v>38.660942168845864</v>
      </c>
    </row>
    <row r="1200" spans="1:12" ht="20.25" customHeight="1" x14ac:dyDescent="0.25">
      <c r="A1200" s="75">
        <v>36307</v>
      </c>
      <c r="B1200" s="76">
        <v>128.04666800000001</v>
      </c>
      <c r="C1200" s="76">
        <v>127.41</v>
      </c>
      <c r="D1200" s="76">
        <v>128.69</v>
      </c>
      <c r="E1200" s="78">
        <f>3208.093/1800.553*100</f>
        <v>178.17265029132713</v>
      </c>
      <c r="F1200" s="76">
        <v>3208.0929999999998</v>
      </c>
      <c r="G1200" s="84">
        <v>2.556404930312528E-2</v>
      </c>
      <c r="H1200" s="78">
        <v>102.55640493031252</v>
      </c>
      <c r="I1200" s="78">
        <v>113.98718130557772</v>
      </c>
      <c r="J1200" s="79">
        <f t="shared" si="563"/>
        <v>136.72835545007581</v>
      </c>
      <c r="K1200" s="80">
        <v>300676.90840000001</v>
      </c>
      <c r="L1200" s="83">
        <f t="shared" si="562"/>
        <v>38.500676265161218</v>
      </c>
    </row>
    <row r="1201" spans="1:12" ht="20.25" customHeight="1" x14ac:dyDescent="0.25">
      <c r="A1201" s="75">
        <v>36300</v>
      </c>
      <c r="B1201" s="76">
        <v>126.636161</v>
      </c>
      <c r="C1201" s="76">
        <v>126</v>
      </c>
      <c r="D1201" s="76">
        <v>127.27</v>
      </c>
      <c r="E1201" s="78">
        <f>3208.093/1800.553*100</f>
        <v>178.17265029132713</v>
      </c>
      <c r="F1201" s="76">
        <v>3208.0929999999998</v>
      </c>
      <c r="G1201" s="84">
        <v>2.5934290834924045E-2</v>
      </c>
      <c r="H1201" s="78">
        <v>102.59342908349241</v>
      </c>
      <c r="I1201" s="78">
        <v>113.94957622837396</v>
      </c>
      <c r="J1201" s="79">
        <f t="shared" si="563"/>
        <v>136.75303132466547</v>
      </c>
      <c r="K1201" s="80">
        <v>300394.04519999999</v>
      </c>
      <c r="L1201" s="83">
        <f t="shared" si="562"/>
        <v>38.040748671388478</v>
      </c>
    </row>
    <row r="1202" spans="1:12" ht="20.25" customHeight="1" x14ac:dyDescent="0.25">
      <c r="A1202" s="75">
        <v>36294</v>
      </c>
      <c r="B1202" s="76">
        <v>127.400994</v>
      </c>
      <c r="C1202" s="76">
        <v>126.76</v>
      </c>
      <c r="D1202" s="76">
        <v>128.04</v>
      </c>
      <c r="E1202" s="78">
        <f>3208.093/1800.553*100</f>
        <v>178.17265029132713</v>
      </c>
      <c r="F1202" s="76">
        <v>3208.0929999999998</v>
      </c>
      <c r="G1202" s="84">
        <v>3.2215962643320495E-2</v>
      </c>
      <c r="H1202" s="78">
        <v>103.22159626433205</v>
      </c>
      <c r="I1202" s="78">
        <v>113.88385034821933</v>
      </c>
      <c r="J1202" s="79">
        <f t="shared" si="563"/>
        <v>137.17041468146033</v>
      </c>
      <c r="K1202" s="80">
        <v>300394.04519999999</v>
      </c>
      <c r="L1202" s="83">
        <f t="shared" si="562"/>
        <v>38.270499950160925</v>
      </c>
    </row>
    <row r="1203" spans="1:12" ht="20.25" customHeight="1" x14ac:dyDescent="0.25">
      <c r="A1203" s="75">
        <v>36286</v>
      </c>
      <c r="B1203" s="76">
        <v>128.46816100000001</v>
      </c>
      <c r="C1203" s="76">
        <v>127.83</v>
      </c>
      <c r="D1203" s="76">
        <v>129.11000000000001</v>
      </c>
      <c r="E1203" s="78">
        <f>3208.093/1800.553*100</f>
        <v>178.17265029132713</v>
      </c>
      <c r="F1203" s="76">
        <v>3208.0929999999998</v>
      </c>
      <c r="G1203" s="84">
        <v>3.692640165759431E-2</v>
      </c>
      <c r="H1203" s="78">
        <v>103.69264016575943</v>
      </c>
      <c r="I1203" s="78">
        <v>113.8283560308126</v>
      </c>
      <c r="J1203" s="79">
        <f t="shared" si="563"/>
        <v>137.4826855450159</v>
      </c>
      <c r="K1203" s="80">
        <v>276755.52029999997</v>
      </c>
      <c r="L1203" s="83">
        <f t="shared" si="562"/>
        <v>35.554272739539172</v>
      </c>
    </row>
    <row r="1204" spans="1:12" ht="20.25" customHeight="1" x14ac:dyDescent="0.25">
      <c r="A1204" s="75">
        <v>36279</v>
      </c>
      <c r="B1204" s="76">
        <v>124.09</v>
      </c>
      <c r="C1204" s="76">
        <v>123.47</v>
      </c>
      <c r="D1204" s="76">
        <v>124.71</v>
      </c>
      <c r="E1204" s="78">
        <f>3086.008/1800.553*100</f>
        <v>171.39223338607636</v>
      </c>
      <c r="F1204" s="76">
        <v>3086.0079999999998</v>
      </c>
      <c r="G1204" s="84">
        <v>3.3459024182731945E-2</v>
      </c>
      <c r="H1204" s="78">
        <v>103.3459024182732</v>
      </c>
      <c r="I1204" s="78">
        <v>113.69895696239433</v>
      </c>
      <c r="J1204" s="79">
        <f t="shared" si="563"/>
        <v>134.5945597740141</v>
      </c>
      <c r="K1204" s="80">
        <v>275235.6287</v>
      </c>
      <c r="L1204" s="83">
        <f t="shared" si="562"/>
        <v>34.153989165383003</v>
      </c>
    </row>
    <row r="1205" spans="1:12" ht="20.25" customHeight="1" x14ac:dyDescent="0.25">
      <c r="A1205" s="75">
        <v>36272</v>
      </c>
      <c r="B1205" s="76">
        <v>122.651481</v>
      </c>
      <c r="C1205" s="76">
        <v>122.04</v>
      </c>
      <c r="D1205" s="76">
        <v>123.26</v>
      </c>
      <c r="E1205" s="78">
        <f>3086.008/1800.553*100</f>
        <v>171.39223338607636</v>
      </c>
      <c r="F1205" s="76">
        <v>3086.0079999999998</v>
      </c>
      <c r="G1205" s="84">
        <v>3.2055315030676157E-2</v>
      </c>
      <c r="H1205" s="78">
        <v>103.20553150306762</v>
      </c>
      <c r="I1205" s="78">
        <v>113.68968480391864</v>
      </c>
      <c r="J1205" s="79">
        <f t="shared" si="563"/>
        <v>134.50309024907068</v>
      </c>
      <c r="K1205" s="80">
        <v>273613.04229999997</v>
      </c>
      <c r="L1205" s="83">
        <f t="shared" si="562"/>
        <v>33.559044859010648</v>
      </c>
    </row>
    <row r="1206" spans="1:12" ht="20.25" customHeight="1" x14ac:dyDescent="0.25">
      <c r="A1206" s="75">
        <v>36265</v>
      </c>
      <c r="B1206" s="76">
        <v>121.159488</v>
      </c>
      <c r="C1206" s="76">
        <v>120.55</v>
      </c>
      <c r="D1206" s="76">
        <v>121.77</v>
      </c>
      <c r="E1206" s="78">
        <f>3086.008/1800.553*100</f>
        <v>171.39223338607636</v>
      </c>
      <c r="F1206" s="76">
        <v>3086.0079999999998</v>
      </c>
      <c r="G1206" s="84">
        <v>3.6942992206397518E-2</v>
      </c>
      <c r="H1206" s="78">
        <v>103.69429922063975</v>
      </c>
      <c r="I1206" s="78">
        <v>113.62477943169714</v>
      </c>
      <c r="J1206" s="79">
        <f t="shared" si="563"/>
        <v>134.82083226073635</v>
      </c>
      <c r="K1206" s="80">
        <v>273613.04229999997</v>
      </c>
      <c r="L1206" s="83">
        <f t="shared" si="562"/>
        <v>33.150816115190338</v>
      </c>
    </row>
    <row r="1207" spans="1:12" ht="20.25" customHeight="1" x14ac:dyDescent="0.25">
      <c r="A1207" s="75">
        <v>36258</v>
      </c>
      <c r="B1207" s="76">
        <v>116.82</v>
      </c>
      <c r="C1207" s="76">
        <v>116.24</v>
      </c>
      <c r="D1207" s="76">
        <v>117.41</v>
      </c>
      <c r="E1207" s="78">
        <f>3086.008/1800.553*100</f>
        <v>171.39223338607636</v>
      </c>
      <c r="F1207" s="76">
        <v>3086.0079999999998</v>
      </c>
      <c r="G1207" s="84">
        <v>3.5932217308773051E-2</v>
      </c>
      <c r="H1207" s="78">
        <v>103.5932217308773</v>
      </c>
      <c r="I1207" s="78">
        <v>113.55969249482536</v>
      </c>
      <c r="J1207" s="79">
        <f t="shared" si="563"/>
        <v>134.75509095981266</v>
      </c>
      <c r="K1207" s="80">
        <v>273613.04229999997</v>
      </c>
      <c r="L1207" s="83">
        <f t="shared" si="562"/>
        <v>31.963475601485992</v>
      </c>
    </row>
    <row r="1208" spans="1:12" ht="20.25" customHeight="1" x14ac:dyDescent="0.25">
      <c r="A1208" s="75">
        <v>36251</v>
      </c>
      <c r="B1208" s="76">
        <v>119.61337</v>
      </c>
      <c r="C1208" s="76">
        <v>119.02</v>
      </c>
      <c r="D1208" s="76">
        <v>120.21</v>
      </c>
      <c r="E1208" s="78">
        <f>3086.008/1800.553*100</f>
        <v>171.39223338607636</v>
      </c>
      <c r="F1208" s="76">
        <v>3086.0079999999998</v>
      </c>
      <c r="G1208" s="84">
        <v>3.7584342310307939E-2</v>
      </c>
      <c r="H1208" s="78">
        <v>103.75843423103079</v>
      </c>
      <c r="I1208" s="78">
        <v>113.49265110319627</v>
      </c>
      <c r="J1208" s="79">
        <f t="shared" si="563"/>
        <v>134.86246037233363</v>
      </c>
      <c r="K1208" s="80">
        <v>273613.04229999997</v>
      </c>
      <c r="L1208" s="83">
        <f t="shared" si="562"/>
        <v>32.727778065455546</v>
      </c>
    </row>
    <row r="1209" spans="1:12" ht="20.25" customHeight="1" x14ac:dyDescent="0.25">
      <c r="A1209" s="75">
        <v>36244</v>
      </c>
      <c r="B1209" s="76">
        <v>119.28</v>
      </c>
      <c r="C1209" s="76">
        <v>118.68</v>
      </c>
      <c r="D1209" s="76">
        <v>119.88</v>
      </c>
      <c r="E1209" s="78">
        <f>2962.236/1800.553*100</f>
        <v>164.51812304330946</v>
      </c>
      <c r="F1209" s="76">
        <v>2962.2359999999999</v>
      </c>
      <c r="G1209" s="84">
        <v>4.2053150069709444E-2</v>
      </c>
      <c r="H1209" s="78">
        <v>104.20531500697095</v>
      </c>
      <c r="I1209" s="78">
        <v>113.41563524929059</v>
      </c>
      <c r="J1209" s="79">
        <f t="shared" si="563"/>
        <v>132.38066463733614</v>
      </c>
      <c r="K1209" s="80">
        <v>273613.04229999997</v>
      </c>
      <c r="L1209" s="83">
        <f t="shared" si="562"/>
        <v>32.636563685543997</v>
      </c>
    </row>
    <row r="1210" spans="1:12" ht="20.25" customHeight="1" x14ac:dyDescent="0.25">
      <c r="A1210" s="75">
        <v>36237</v>
      </c>
      <c r="B1210" s="76">
        <v>118.12</v>
      </c>
      <c r="C1210" s="76">
        <v>117.53</v>
      </c>
      <c r="D1210" s="76">
        <v>118.71</v>
      </c>
      <c r="E1210" s="78">
        <f>2962.236/1800.553*100</f>
        <v>164.51812304330946</v>
      </c>
      <c r="F1210" s="76">
        <v>2962.2359999999999</v>
      </c>
      <c r="G1210" s="84">
        <v>4.6026088457167491E-2</v>
      </c>
      <c r="H1210" s="78">
        <v>104.60260884571674</v>
      </c>
      <c r="I1210" s="78">
        <v>113.35760042819194</v>
      </c>
      <c r="J1210" s="79">
        <f t="shared" si="563"/>
        <v>132.63254215931462</v>
      </c>
      <c r="K1210" s="80">
        <v>273613.04229999997</v>
      </c>
      <c r="L1210" s="83">
        <f t="shared" si="562"/>
        <v>32.319172556475998</v>
      </c>
    </row>
    <row r="1211" spans="1:12" ht="20.25" customHeight="1" x14ac:dyDescent="0.25">
      <c r="A1211" s="75">
        <v>36230</v>
      </c>
      <c r="B1211" s="76">
        <v>117.21</v>
      </c>
      <c r="C1211" s="76">
        <v>116.62</v>
      </c>
      <c r="D1211" s="76">
        <v>117.8</v>
      </c>
      <c r="E1211" s="78">
        <f>2962.236/1800.553*100</f>
        <v>164.51812304330946</v>
      </c>
      <c r="F1211" s="76">
        <v>2962.2359999999999</v>
      </c>
      <c r="G1211" s="84">
        <v>3.5151902219720421E-2</v>
      </c>
      <c r="H1211" s="78">
        <v>103.51519022197205</v>
      </c>
      <c r="I1211" s="78">
        <v>113.28974491470953</v>
      </c>
      <c r="J1211" s="79">
        <f t="shared" si="563"/>
        <v>131.9395351358657</v>
      </c>
      <c r="K1211" s="80">
        <v>273613.04229999997</v>
      </c>
      <c r="L1211" s="83">
        <f t="shared" si="562"/>
        <v>32.070184687982994</v>
      </c>
    </row>
    <row r="1212" spans="1:12" ht="20.25" customHeight="1" x14ac:dyDescent="0.25">
      <c r="A1212" s="75">
        <v>36223</v>
      </c>
      <c r="B1212" s="76">
        <v>117.08329999999999</v>
      </c>
      <c r="C1212" s="76">
        <v>116.5</v>
      </c>
      <c r="D1212" s="76">
        <v>117.67</v>
      </c>
      <c r="E1212" s="78">
        <f>2962.236/1800.553*100</f>
        <v>164.51812304330946</v>
      </c>
      <c r="F1212" s="76">
        <v>2962.2359999999999</v>
      </c>
      <c r="G1212" s="84">
        <v>2.7326642408766144E-2</v>
      </c>
      <c r="H1212" s="78">
        <v>102.73266424087662</v>
      </c>
      <c r="I1212" s="78">
        <v>113.2214182734488</v>
      </c>
      <c r="J1212" s="79">
        <f t="shared" si="563"/>
        <v>131.43894270814633</v>
      </c>
      <c r="K1212" s="80">
        <v>273613.04229999997</v>
      </c>
      <c r="L1212" s="83">
        <f t="shared" si="562"/>
        <v>32.035517915523585</v>
      </c>
    </row>
    <row r="1213" spans="1:12" ht="20.25" customHeight="1" x14ac:dyDescent="0.25">
      <c r="A1213" s="75">
        <v>36216</v>
      </c>
      <c r="B1213" s="76">
        <v>116.87225100000001</v>
      </c>
      <c r="C1213" s="76">
        <v>116.29</v>
      </c>
      <c r="D1213" s="76">
        <v>117.46</v>
      </c>
      <c r="E1213" s="78">
        <f>3042.756/1800.553*100</f>
        <v>168.99008249132348</v>
      </c>
      <c r="F1213" s="76">
        <v>3042.7559999999999</v>
      </c>
      <c r="G1213" s="84">
        <v>4.0872238898196578E-2</v>
      </c>
      <c r="H1213" s="78">
        <v>104.08722388981965</v>
      </c>
      <c r="I1213" s="78">
        <v>113.1128626404893</v>
      </c>
      <c r="J1213" s="79">
        <f t="shared" si="563"/>
        <v>134.08556030227641</v>
      </c>
      <c r="K1213" s="80">
        <v>268760.32650000002</v>
      </c>
      <c r="L1213" s="83">
        <f t="shared" si="562"/>
        <v>31.410624337549955</v>
      </c>
    </row>
    <row r="1214" spans="1:12" ht="20.25" customHeight="1" x14ac:dyDescent="0.25">
      <c r="A1214" s="75">
        <v>36209</v>
      </c>
      <c r="B1214" s="76">
        <v>118.86002499999999</v>
      </c>
      <c r="C1214" s="76">
        <v>118.27</v>
      </c>
      <c r="D1214" s="76">
        <v>119.45</v>
      </c>
      <c r="E1214" s="78">
        <f>3042.756/1800.553*100</f>
        <v>168.99008249132348</v>
      </c>
      <c r="F1214" s="76">
        <v>3042.7559999999999</v>
      </c>
      <c r="G1214" s="84">
        <v>4.6444670424364176E-2</v>
      </c>
      <c r="H1214" s="78">
        <v>104.64446704243642</v>
      </c>
      <c r="I1214" s="78">
        <v>113.08329007129596</v>
      </c>
      <c r="J1214" s="79">
        <f t="shared" si="563"/>
        <v>134.44352348462553</v>
      </c>
      <c r="K1214" s="80">
        <v>264760.52649999998</v>
      </c>
      <c r="L1214" s="83">
        <f t="shared" si="562"/>
        <v>31.469442798803158</v>
      </c>
    </row>
    <row r="1215" spans="1:12" ht="20.25" customHeight="1" x14ac:dyDescent="0.25">
      <c r="A1215" s="75">
        <v>36202</v>
      </c>
      <c r="B1215" s="76">
        <v>118.56655000000001</v>
      </c>
      <c r="C1215" s="76">
        <v>117.97</v>
      </c>
      <c r="D1215" s="76">
        <v>119.16</v>
      </c>
      <c r="E1215" s="78">
        <f>3042.756/1800.553*100</f>
        <v>168.99008249132348</v>
      </c>
      <c r="F1215" s="76">
        <v>3042.7559999999999</v>
      </c>
      <c r="G1215" s="84">
        <v>6.0504542192059363E-2</v>
      </c>
      <c r="H1215" s="78">
        <v>106.05045421920593</v>
      </c>
      <c r="I1215" s="78">
        <v>113.0146613871545</v>
      </c>
      <c r="J1215" s="79">
        <f t="shared" si="563"/>
        <v>135.3406778578169</v>
      </c>
      <c r="K1215" s="80">
        <v>264760.52649999998</v>
      </c>
      <c r="L1215" s="83">
        <f t="shared" si="562"/>
        <v>31.391742203288572</v>
      </c>
    </row>
    <row r="1216" spans="1:12" ht="20.25" customHeight="1" x14ac:dyDescent="0.25">
      <c r="A1216" s="75">
        <v>36195</v>
      </c>
      <c r="B1216" s="76">
        <v>118.683965</v>
      </c>
      <c r="C1216" s="76">
        <v>118.09</v>
      </c>
      <c r="D1216" s="76">
        <v>119.28</v>
      </c>
      <c r="E1216" s="78">
        <f>3042.756/1800.553*100</f>
        <v>168.99008249132348</v>
      </c>
      <c r="F1216" s="76">
        <v>3042.7559999999999</v>
      </c>
      <c r="G1216" s="84">
        <v>6.4428241375684481E-2</v>
      </c>
      <c r="H1216" s="78">
        <v>106.44282413756845</v>
      </c>
      <c r="I1216" s="78">
        <v>112.94550696825848</v>
      </c>
      <c r="J1216" s="79">
        <f t="shared" si="563"/>
        <v>135.59058510727368</v>
      </c>
      <c r="K1216" s="80">
        <v>264760.52649999998</v>
      </c>
      <c r="L1216" s="83">
        <f t="shared" si="562"/>
        <v>31.422829060507571</v>
      </c>
    </row>
    <row r="1217" spans="1:12" ht="20.25" customHeight="1" x14ac:dyDescent="0.25">
      <c r="A1217" s="75">
        <v>36188</v>
      </c>
      <c r="B1217" s="76">
        <v>117.65</v>
      </c>
      <c r="C1217" s="76">
        <v>117.06</v>
      </c>
      <c r="D1217" s="76">
        <v>118.24</v>
      </c>
      <c r="E1217" s="78">
        <f>2977.153/1800.553*100</f>
        <v>165.34659074184427</v>
      </c>
      <c r="F1217" s="76">
        <v>2977.1529999999998</v>
      </c>
      <c r="G1217" s="84">
        <v>5.8518019584789194E-2</v>
      </c>
      <c r="H1217" s="78">
        <v>105.85180195847892</v>
      </c>
      <c r="I1217" s="78">
        <v>112.83747217601869</v>
      </c>
      <c r="J1217" s="79">
        <f t="shared" si="563"/>
        <v>133.74365420574873</v>
      </c>
      <c r="K1217" s="80">
        <v>263914.78899999999</v>
      </c>
      <c r="L1217" s="83">
        <f t="shared" si="562"/>
        <v>31.049574925849999</v>
      </c>
    </row>
    <row r="1218" spans="1:12" ht="20.25" customHeight="1" x14ac:dyDescent="0.25">
      <c r="A1218" s="75">
        <v>36181</v>
      </c>
      <c r="B1218" s="76">
        <v>119.04</v>
      </c>
      <c r="C1218" s="76">
        <v>118.44</v>
      </c>
      <c r="D1218" s="76">
        <v>119.64</v>
      </c>
      <c r="E1218" s="78">
        <f>2977.153/1800.553*100</f>
        <v>165.34659074184427</v>
      </c>
      <c r="F1218" s="76">
        <v>2977.1529999999998</v>
      </c>
      <c r="G1218" s="84">
        <v>7.0139647982784048E-2</v>
      </c>
      <c r="H1218" s="78">
        <v>107.01396479827841</v>
      </c>
      <c r="I1218" s="78">
        <v>112.80816196377603</v>
      </c>
      <c r="J1218" s="79">
        <f t="shared" si="563"/>
        <v>134.47384162547849</v>
      </c>
      <c r="K1218" s="80">
        <v>263914.78899999999</v>
      </c>
      <c r="L1218" s="83">
        <f t="shared" si="562"/>
        <v>31.416416482560003</v>
      </c>
    </row>
    <row r="1219" spans="1:12" ht="20.25" customHeight="1" x14ac:dyDescent="0.25">
      <c r="A1219" s="75">
        <v>36174</v>
      </c>
      <c r="B1219" s="76">
        <v>119.55866899999999</v>
      </c>
      <c r="C1219" s="76">
        <v>118.96</v>
      </c>
      <c r="D1219" s="76">
        <v>120.16</v>
      </c>
      <c r="E1219" s="78">
        <f>2977.153/1800.553*100</f>
        <v>165.34659074184427</v>
      </c>
      <c r="F1219" s="76">
        <v>2977.1529999999998</v>
      </c>
      <c r="G1219" s="84">
        <v>7.2988667763508763E-2</v>
      </c>
      <c r="H1219" s="78">
        <v>107.29886677635088</v>
      </c>
      <c r="I1219" s="78">
        <v>112.73970483201302</v>
      </c>
      <c r="J1219" s="79">
        <f t="shared" si="563"/>
        <v>134.65260769933701</v>
      </c>
      <c r="K1219" s="80">
        <v>263498.67709999997</v>
      </c>
      <c r="L1219" s="83">
        <f t="shared" si="562"/>
        <v>31.503551117336777</v>
      </c>
    </row>
    <row r="1220" spans="1:12" ht="20.25" customHeight="1" x14ac:dyDescent="0.25">
      <c r="A1220" s="75">
        <v>36167</v>
      </c>
      <c r="B1220" s="76">
        <v>116.579998</v>
      </c>
      <c r="C1220" s="76">
        <v>116</v>
      </c>
      <c r="D1220" s="76">
        <v>117.16</v>
      </c>
      <c r="E1220" s="78">
        <f>2977.153/1800.553*100</f>
        <v>165.34659074184427</v>
      </c>
      <c r="F1220" s="76">
        <v>2977.1529999999998</v>
      </c>
      <c r="G1220" s="84">
        <v>7.6548715396062894E-2</v>
      </c>
      <c r="H1220" s="78">
        <v>107.65487153960629</v>
      </c>
      <c r="I1220" s="78">
        <v>112.66991623392792</v>
      </c>
      <c r="J1220" s="79">
        <f t="shared" si="563"/>
        <v>134.87561833456152</v>
      </c>
      <c r="K1220" s="80">
        <v>263498.67709999997</v>
      </c>
      <c r="L1220" s="83">
        <f t="shared" si="562"/>
        <v>30.718675249320643</v>
      </c>
    </row>
    <row r="1221" spans="1:12" ht="20.25" customHeight="1" x14ac:dyDescent="0.25">
      <c r="A1221" s="75">
        <v>36160</v>
      </c>
      <c r="B1221" s="76">
        <v>116.35136</v>
      </c>
      <c r="C1221" s="76">
        <v>115.77</v>
      </c>
      <c r="D1221" s="76">
        <v>116.93</v>
      </c>
      <c r="E1221" s="78">
        <f>2977.153/1800.553*100</f>
        <v>165.34659074184427</v>
      </c>
      <c r="F1221" s="76">
        <v>2977.1529999999998</v>
      </c>
      <c r="G1221" s="84">
        <v>7.4147014681294143E-2</v>
      </c>
      <c r="H1221" s="78">
        <v>107.41470146812941</v>
      </c>
      <c r="I1221" s="78">
        <v>112.59922264288579</v>
      </c>
      <c r="J1221" s="79">
        <f t="shared" si="563"/>
        <v>134.72500155301086</v>
      </c>
      <c r="K1221" s="80">
        <v>263498.67709999997</v>
      </c>
      <c r="L1221" s="83">
        <f t="shared" si="562"/>
        <v>30.658429438785852</v>
      </c>
    </row>
    <row r="1222" spans="1:12" ht="20.25" customHeight="1" x14ac:dyDescent="0.25">
      <c r="A1222" s="75">
        <v>36153</v>
      </c>
      <c r="B1222" s="76">
        <v>114.24438600000001</v>
      </c>
      <c r="C1222" s="76">
        <v>113.67</v>
      </c>
      <c r="D1222" s="76">
        <v>114.82</v>
      </c>
      <c r="E1222" s="78">
        <f>2838.074/1800.553*100</f>
        <v>157.62235268831296</v>
      </c>
      <c r="F1222" s="76">
        <v>2838.0740000000001</v>
      </c>
      <c r="G1222" s="84">
        <v>6.3932071530135026E-2</v>
      </c>
      <c r="H1222" s="78">
        <v>106.39320715301351</v>
      </c>
      <c r="I1222" s="78">
        <v>112.52819837560676</v>
      </c>
      <c r="J1222" s="79">
        <f t="shared" si="563"/>
        <v>130.88955565039032</v>
      </c>
      <c r="K1222" s="80">
        <v>258498.52710000001</v>
      </c>
      <c r="L1222" s="83">
        <f t="shared" si="562"/>
        <v>29.532005510443863</v>
      </c>
    </row>
    <row r="1223" spans="1:12" ht="20.25" customHeight="1" x14ac:dyDescent="0.25">
      <c r="A1223" s="75">
        <v>36146</v>
      </c>
      <c r="B1223" s="76">
        <v>116.373544</v>
      </c>
      <c r="C1223" s="76">
        <v>115.79</v>
      </c>
      <c r="D1223" s="76">
        <v>116.96</v>
      </c>
      <c r="E1223" s="78">
        <f>2838.074/1800.553*100</f>
        <v>157.62235268831296</v>
      </c>
      <c r="F1223" s="76">
        <v>2838.0740000000001</v>
      </c>
      <c r="G1223" s="84">
        <v>6.7112661751361324E-2</v>
      </c>
      <c r="H1223" s="78">
        <v>106.71126617513613</v>
      </c>
      <c r="I1223" s="78">
        <v>112.4562701621095</v>
      </c>
      <c r="J1223" s="79">
        <f t="shared" si="563"/>
        <v>131.08490867806759</v>
      </c>
      <c r="K1223" s="80">
        <v>258498.52710000001</v>
      </c>
      <c r="L1223" s="83">
        <f t="shared" si="562"/>
        <v>30.08238971740704</v>
      </c>
    </row>
    <row r="1224" spans="1:12" ht="20.25" customHeight="1" x14ac:dyDescent="0.25">
      <c r="A1224" s="75">
        <v>36139</v>
      </c>
      <c r="B1224" s="76">
        <v>118.11853600000001</v>
      </c>
      <c r="C1224" s="76">
        <v>117.53</v>
      </c>
      <c r="D1224" s="76">
        <v>118.71</v>
      </c>
      <c r="E1224" s="78">
        <f>2838.074/1800.553*100</f>
        <v>157.62235268831296</v>
      </c>
      <c r="F1224" s="76">
        <v>2838.0740000000001</v>
      </c>
      <c r="G1224" s="84">
        <v>6.3975012638109563E-2</v>
      </c>
      <c r="H1224" s="78">
        <v>106.39750126381095</v>
      </c>
      <c r="I1224" s="78">
        <v>112.38521826423036</v>
      </c>
      <c r="J1224" s="79">
        <f t="shared" si="563"/>
        <v>130.89190936958431</v>
      </c>
      <c r="K1224" s="80">
        <v>258498.52710000001</v>
      </c>
      <c r="L1224" s="83">
        <f t="shared" si="562"/>
        <v>30.533467579208331</v>
      </c>
    </row>
    <row r="1225" spans="1:12" ht="20.25" customHeight="1" x14ac:dyDescent="0.25">
      <c r="A1225" s="75">
        <v>36132</v>
      </c>
      <c r="B1225" s="76">
        <v>114.661272</v>
      </c>
      <c r="C1225" s="76">
        <v>114.09</v>
      </c>
      <c r="D1225" s="76">
        <v>115.23</v>
      </c>
      <c r="E1225" s="78">
        <f>2838.074/1800.553*100</f>
        <v>157.62235268831296</v>
      </c>
      <c r="F1225" s="76">
        <v>2838.0740000000001</v>
      </c>
      <c r="G1225" s="84">
        <v>5.6955713431192212E-2</v>
      </c>
      <c r="H1225" s="78">
        <v>105.69557134311923</v>
      </c>
      <c r="I1225" s="78">
        <v>112.31364706190641</v>
      </c>
      <c r="J1225" s="79">
        <f t="shared" si="563"/>
        <v>130.45871772200391</v>
      </c>
      <c r="K1225" s="80">
        <v>258498.52710000001</v>
      </c>
      <c r="L1225" s="83">
        <f t="shared" si="562"/>
        <v>29.639769927412473</v>
      </c>
    </row>
    <row r="1226" spans="1:12" ht="20.25" customHeight="1" x14ac:dyDescent="0.25">
      <c r="A1226" s="75">
        <v>36125</v>
      </c>
      <c r="B1226" s="76">
        <v>112.545419</v>
      </c>
      <c r="C1226" s="76">
        <v>111.98</v>
      </c>
      <c r="D1226" s="76">
        <v>113.11</v>
      </c>
      <c r="E1226" s="78">
        <f>2678.373/1800.553*100</f>
        <v>148.75279983427313</v>
      </c>
      <c r="F1226" s="76">
        <v>2678.373</v>
      </c>
      <c r="G1226" s="84">
        <v>4.2630055630973551E-2</v>
      </c>
      <c r="H1226" s="78">
        <v>104.26300556309735</v>
      </c>
      <c r="I1226" s="78">
        <v>112.20820732033712</v>
      </c>
      <c r="J1226" s="79">
        <f t="shared" si="563"/>
        <v>125.84243660954434</v>
      </c>
      <c r="K1226" s="80">
        <v>258498.52710000001</v>
      </c>
      <c r="L1226" s="83">
        <f t="shared" si="562"/>
        <v>29.092825043352356</v>
      </c>
    </row>
    <row r="1227" spans="1:12" ht="20.25" customHeight="1" x14ac:dyDescent="0.25">
      <c r="A1227" s="75">
        <v>36118</v>
      </c>
      <c r="B1227" s="76">
        <v>110.667124</v>
      </c>
      <c r="C1227" s="76">
        <v>110.11</v>
      </c>
      <c r="D1227" s="76">
        <v>111.22</v>
      </c>
      <c r="E1227" s="78">
        <f>2678.373/1800.553*100</f>
        <v>148.75279983427313</v>
      </c>
      <c r="F1227" s="76">
        <v>2678.373</v>
      </c>
      <c r="G1227" s="84">
        <v>5.4845199530285216E-2</v>
      </c>
      <c r="H1227" s="78">
        <v>105.48451995302852</v>
      </c>
      <c r="I1227" s="78">
        <v>112.16590165496827</v>
      </c>
      <c r="J1227" s="79">
        <f t="shared" si="563"/>
        <v>126.5753098427532</v>
      </c>
      <c r="K1227" s="80">
        <v>258273.74739999999</v>
      </c>
      <c r="L1227" s="83">
        <f t="shared" si="562"/>
        <v>28.582412829460477</v>
      </c>
    </row>
    <row r="1228" spans="1:12" ht="20.25" customHeight="1" x14ac:dyDescent="0.25">
      <c r="A1228" s="75">
        <v>36111</v>
      </c>
      <c r="B1228" s="76">
        <v>109.96780699999999</v>
      </c>
      <c r="C1228" s="76">
        <v>109.42</v>
      </c>
      <c r="D1228" s="76">
        <v>110.52</v>
      </c>
      <c r="E1228" s="78">
        <f>2678.373/1800.553*100</f>
        <v>148.75279983427313</v>
      </c>
      <c r="F1228" s="76">
        <v>2678.373</v>
      </c>
      <c r="G1228" s="84">
        <v>4.0317561635070609E-2</v>
      </c>
      <c r="H1228" s="78">
        <v>104.03175616350705</v>
      </c>
      <c r="I1228" s="78">
        <v>112.09226905571063</v>
      </c>
      <c r="J1228" s="79">
        <f t="shared" si="563"/>
        <v>125.69764997691664</v>
      </c>
      <c r="K1228" s="80">
        <v>254202.08619999999</v>
      </c>
      <c r="L1228" s="83">
        <f t="shared" si="562"/>
        <v>27.954045954238964</v>
      </c>
    </row>
    <row r="1229" spans="1:12" ht="20.25" customHeight="1" x14ac:dyDescent="0.25">
      <c r="A1229" s="75">
        <v>36104</v>
      </c>
      <c r="B1229" s="76">
        <v>110.880424</v>
      </c>
      <c r="C1229" s="76">
        <v>110.33</v>
      </c>
      <c r="D1229" s="76">
        <v>111.43</v>
      </c>
      <c r="E1229" s="78">
        <f>2678.373/1800.553*100</f>
        <v>148.75279983427313</v>
      </c>
      <c r="F1229" s="76">
        <v>2678.373</v>
      </c>
      <c r="G1229" s="84">
        <v>6.1195379091235402E-2</v>
      </c>
      <c r="H1229" s="78">
        <v>106.11953790912354</v>
      </c>
      <c r="I1229" s="78">
        <v>112.01826962874071</v>
      </c>
      <c r="J1229" s="79">
        <f t="shared" si="563"/>
        <v>126.94641344633405</v>
      </c>
      <c r="K1229" s="80">
        <v>254202.08619999999</v>
      </c>
      <c r="L1229" s="83">
        <f t="shared" si="562"/>
        <v>28.18603509954055</v>
      </c>
    </row>
    <row r="1230" spans="1:12" ht="20.25" customHeight="1" x14ac:dyDescent="0.25">
      <c r="A1230" s="75">
        <v>36097</v>
      </c>
      <c r="B1230" s="76">
        <v>108.378677</v>
      </c>
      <c r="C1230" s="76">
        <v>107.84</v>
      </c>
      <c r="D1230" s="76">
        <v>108.92</v>
      </c>
      <c r="E1230" s="78">
        <f>2455.929/1800.553*100</f>
        <v>136.39859532043766</v>
      </c>
      <c r="F1230" s="76">
        <v>2455.9290000000001</v>
      </c>
      <c r="G1230" s="84">
        <v>6.3694702161381622E-2</v>
      </c>
      <c r="H1230" s="78">
        <v>106.36947021613817</v>
      </c>
      <c r="I1230" s="78">
        <v>111.89200625528488</v>
      </c>
      <c r="J1230" s="79">
        <f t="shared" si="563"/>
        <v>121.58310210243538</v>
      </c>
      <c r="K1230" s="80">
        <v>254202.08619999999</v>
      </c>
      <c r="L1230" s="83">
        <f t="shared" si="562"/>
        <v>27.550085792995954</v>
      </c>
    </row>
    <row r="1231" spans="1:12" ht="20.25" customHeight="1" x14ac:dyDescent="0.25">
      <c r="A1231" s="75">
        <v>36090</v>
      </c>
      <c r="B1231" s="76">
        <v>107.57802700000001</v>
      </c>
      <c r="C1231" s="76">
        <v>107.04</v>
      </c>
      <c r="D1231" s="76">
        <v>108.12</v>
      </c>
      <c r="E1231" s="78">
        <f>2455.929/1800.553*100</f>
        <v>136.39859532043766</v>
      </c>
      <c r="F1231" s="76">
        <v>2455.9290000000001</v>
      </c>
      <c r="G1231" s="84">
        <v>6.3346999926117364E-2</v>
      </c>
      <c r="H1231" s="78">
        <v>106.33469999261173</v>
      </c>
      <c r="I1231" s="78">
        <v>111.8715142688155</v>
      </c>
      <c r="J1231" s="79">
        <f t="shared" si="563"/>
        <v>121.56322721407287</v>
      </c>
      <c r="K1231" s="80">
        <v>254202.08619999999</v>
      </c>
      <c r="L1231" s="83">
        <f t="shared" si="562"/>
        <v>27.34655889267993</v>
      </c>
    </row>
    <row r="1232" spans="1:12" ht="20.25" customHeight="1" x14ac:dyDescent="0.25">
      <c r="A1232" s="75">
        <v>36083</v>
      </c>
      <c r="B1232" s="76">
        <v>106.386388</v>
      </c>
      <c r="C1232" s="76">
        <v>105.85</v>
      </c>
      <c r="D1232" s="76">
        <v>106.92</v>
      </c>
      <c r="E1232" s="78">
        <f>2455.929/1800.553*100</f>
        <v>136.39859532043766</v>
      </c>
      <c r="F1232" s="76">
        <v>2455.9290000000001</v>
      </c>
      <c r="G1232" s="84">
        <v>6.7142083251618523E-2</v>
      </c>
      <c r="H1232" s="78">
        <v>106.71420832516185</v>
      </c>
      <c r="I1232" s="78">
        <v>111.79842690026678</v>
      </c>
      <c r="J1232" s="79">
        <f t="shared" si="563"/>
        <v>121.77977025117968</v>
      </c>
      <c r="K1232" s="80">
        <v>254202.08619999999</v>
      </c>
      <c r="L1232" s="83">
        <f t="shared" si="562"/>
        <v>27.043641772882644</v>
      </c>
    </row>
    <row r="1233" spans="1:12" ht="20.25" customHeight="1" x14ac:dyDescent="0.25">
      <c r="A1233" s="75">
        <v>36076</v>
      </c>
      <c r="B1233" s="76">
        <v>108.43</v>
      </c>
      <c r="C1233" s="76">
        <v>107.89</v>
      </c>
      <c r="D1233" s="76">
        <v>108.97</v>
      </c>
      <c r="E1233" s="78">
        <f>2455.929/1800.553*100</f>
        <v>136.39859532043766</v>
      </c>
      <c r="F1233" s="76">
        <v>2455.9290000000001</v>
      </c>
      <c r="G1233" s="84">
        <v>6.7563405633761064E-2</v>
      </c>
      <c r="H1233" s="78">
        <v>106.75634056337611</v>
      </c>
      <c r="I1233" s="78">
        <v>111.72298124186125</v>
      </c>
      <c r="J1233" s="79">
        <f t="shared" si="563"/>
        <v>121.8038056711316</v>
      </c>
      <c r="K1233" s="80">
        <v>254202.08619999999</v>
      </c>
      <c r="L1233" s="83">
        <f t="shared" si="562"/>
        <v>27.563132206666001</v>
      </c>
    </row>
    <row r="1234" spans="1:12" ht="20.25" customHeight="1" x14ac:dyDescent="0.25">
      <c r="A1234" s="75">
        <v>36069</v>
      </c>
      <c r="B1234" s="76">
        <v>106.33739300000001</v>
      </c>
      <c r="C1234" s="76">
        <v>105.81</v>
      </c>
      <c r="D1234" s="76">
        <v>106.87</v>
      </c>
      <c r="E1234" s="78">
        <f>2455.929/1800.553*100</f>
        <v>136.39859532043766</v>
      </c>
      <c r="F1234" s="76">
        <v>2455.9290000000001</v>
      </c>
      <c r="G1234" s="84">
        <v>2.0094780434789072E-2</v>
      </c>
      <c r="H1234" s="78">
        <v>102.00947804347891</v>
      </c>
      <c r="I1234" s="78">
        <v>111.64739160961092</v>
      </c>
      <c r="J1234" s="79">
        <f t="shared" si="563"/>
        <v>119.03426263109031</v>
      </c>
      <c r="K1234" s="80">
        <v>254202.08619999999</v>
      </c>
      <c r="L1234" s="83">
        <f t="shared" si="562"/>
        <v>27.031187141669278</v>
      </c>
    </row>
    <row r="1235" spans="1:12" ht="20.25" customHeight="1" x14ac:dyDescent="0.25">
      <c r="A1235" s="75">
        <v>36062</v>
      </c>
      <c r="B1235" s="76">
        <v>102.766564</v>
      </c>
      <c r="C1235" s="76">
        <v>102.25</v>
      </c>
      <c r="D1235" s="76">
        <v>103.28</v>
      </c>
      <c r="E1235" s="78">
        <f>2412.838/1800.553*100</f>
        <v>134.00538612304109</v>
      </c>
      <c r="F1235" s="76">
        <v>2412.8380000000002</v>
      </c>
      <c r="G1235" s="84">
        <v>1.2733033398010241E-2</v>
      </c>
      <c r="H1235" s="78">
        <v>101.27330333980102</v>
      </c>
      <c r="I1235" s="78">
        <v>111.5599276388147</v>
      </c>
      <c r="J1235" s="79">
        <f t="shared" si="563"/>
        <v>117.55725909122347</v>
      </c>
      <c r="K1235" s="80">
        <v>254202.08619999999</v>
      </c>
      <c r="L1235" s="83">
        <f t="shared" si="562"/>
        <v>26.123474960405815</v>
      </c>
    </row>
    <row r="1236" spans="1:12" ht="20.25" customHeight="1" x14ac:dyDescent="0.25">
      <c r="A1236" s="75">
        <v>36055</v>
      </c>
      <c r="B1236" s="76">
        <v>101.97474800000001</v>
      </c>
      <c r="C1236" s="76">
        <v>101.46</v>
      </c>
      <c r="D1236" s="76">
        <v>102.48</v>
      </c>
      <c r="E1236" s="78">
        <f>2412.838/1800.553*100</f>
        <v>134.00538612304109</v>
      </c>
      <c r="F1236" s="76">
        <v>2412.8380000000002</v>
      </c>
      <c r="G1236" s="84">
        <v>1.7939138067317062E-2</v>
      </c>
      <c r="H1236" s="78">
        <v>101.79391380673171</v>
      </c>
      <c r="I1236" s="78">
        <v>111.49333947587601</v>
      </c>
      <c r="J1236" s="79">
        <f t="shared" si="563"/>
        <v>117.85864471321882</v>
      </c>
      <c r="K1236" s="80">
        <v>254202.08619999999</v>
      </c>
      <c r="L1236" s="83">
        <f t="shared" si="562"/>
        <v>25.922193681319278</v>
      </c>
    </row>
    <row r="1237" spans="1:12" ht="20.25" customHeight="1" x14ac:dyDescent="0.25">
      <c r="A1237" s="75">
        <v>36048</v>
      </c>
      <c r="B1237" s="76">
        <v>103.187585</v>
      </c>
      <c r="C1237" s="76">
        <v>102.67</v>
      </c>
      <c r="D1237" s="76">
        <v>103.7</v>
      </c>
      <c r="E1237" s="78">
        <f>2412.838/1800.553*100</f>
        <v>134.00538612304109</v>
      </c>
      <c r="F1237" s="76">
        <v>2412.8380000000002</v>
      </c>
      <c r="G1237" s="84">
        <v>1.1766699847126638E-2</v>
      </c>
      <c r="H1237" s="78">
        <v>101.17666998471266</v>
      </c>
      <c r="I1237" s="78">
        <v>111.41489413076189</v>
      </c>
      <c r="J1237" s="79">
        <f t="shared" si="563"/>
        <v>117.50023060728354</v>
      </c>
      <c r="K1237" s="80">
        <v>259088.44839999999</v>
      </c>
      <c r="L1237" s="83">
        <f t="shared" si="562"/>
        <v>26.734711291793111</v>
      </c>
    </row>
    <row r="1238" spans="1:12" ht="20.25" customHeight="1" x14ac:dyDescent="0.25">
      <c r="A1238" s="75">
        <v>36041</v>
      </c>
      <c r="B1238" s="76">
        <v>102.48779399999999</v>
      </c>
      <c r="C1238" s="76">
        <v>101.98</v>
      </c>
      <c r="D1238" s="76">
        <v>103</v>
      </c>
      <c r="E1238" s="78">
        <f>2412.838/1800.553*100</f>
        <v>134.00538612304109</v>
      </c>
      <c r="F1238" s="76">
        <v>2412.8380000000002</v>
      </c>
      <c r="G1238" s="84">
        <v>4.35237246054343E-3</v>
      </c>
      <c r="H1238" s="78">
        <v>100.43523724605434</v>
      </c>
      <c r="I1238" s="78">
        <v>111.33513292167127</v>
      </c>
      <c r="J1238" s="79">
        <f t="shared" si="563"/>
        <v>117.06812062445189</v>
      </c>
      <c r="K1238" s="80">
        <v>279088.44839999999</v>
      </c>
      <c r="L1238" s="83">
        <f t="shared" si="562"/>
        <v>28.603159407398827</v>
      </c>
    </row>
    <row r="1239" spans="1:12" ht="20.25" customHeight="1" x14ac:dyDescent="0.25">
      <c r="A1239" s="75">
        <v>36034</v>
      </c>
      <c r="B1239" s="76">
        <v>97.966892000000001</v>
      </c>
      <c r="C1239" s="76">
        <v>97.48</v>
      </c>
      <c r="D1239" s="76">
        <v>98.46</v>
      </c>
      <c r="E1239" s="78">
        <f>2783.643/1800.553*100</f>
        <v>154.59933698147179</v>
      </c>
      <c r="F1239" s="76">
        <v>2783.643</v>
      </c>
      <c r="G1239" s="84">
        <v>-2.6283507421361207E-2</v>
      </c>
      <c r="H1239" s="78">
        <v>97.371649257863879</v>
      </c>
      <c r="I1239" s="78">
        <v>111.21918552777382</v>
      </c>
      <c r="J1239" s="79">
        <f t="shared" si="563"/>
        <v>123.34292679774617</v>
      </c>
      <c r="K1239" s="80">
        <v>279088.44839999999</v>
      </c>
      <c r="L1239" s="83">
        <f t="shared" si="562"/>
        <v>27.341427882850372</v>
      </c>
    </row>
    <row r="1240" spans="1:12" ht="20.25" customHeight="1" x14ac:dyDescent="0.25">
      <c r="A1240" s="75">
        <v>36027</v>
      </c>
      <c r="B1240" s="76">
        <v>98.675532000000004</v>
      </c>
      <c r="C1240" s="76">
        <v>98.18</v>
      </c>
      <c r="D1240" s="76">
        <v>99.17</v>
      </c>
      <c r="E1240" s="78">
        <f>2783.643/1800.553*100</f>
        <v>154.59933698147179</v>
      </c>
      <c r="F1240" s="76">
        <v>2783.643</v>
      </c>
      <c r="G1240" s="84">
        <v>-2.527212791046074E-2</v>
      </c>
      <c r="H1240" s="78">
        <v>97.472787208953932</v>
      </c>
      <c r="I1240" s="78">
        <v>111.17220622457673</v>
      </c>
      <c r="J1240" s="79">
        <f t="shared" si="563"/>
        <v>123.40695044206458</v>
      </c>
      <c r="K1240" s="80">
        <v>279088.44839999999</v>
      </c>
      <c r="L1240" s="83">
        <f t="shared" si="562"/>
        <v>27.539201120924552</v>
      </c>
    </row>
    <row r="1241" spans="1:12" ht="20.25" customHeight="1" x14ac:dyDescent="0.25">
      <c r="A1241" s="75">
        <v>36020</v>
      </c>
      <c r="B1241" s="76">
        <v>101.164209</v>
      </c>
      <c r="C1241" s="76">
        <v>100.66</v>
      </c>
      <c r="D1241" s="76">
        <v>101.67</v>
      </c>
      <c r="E1241" s="78">
        <f>2783.643/1800.553*100</f>
        <v>154.59933698147179</v>
      </c>
      <c r="F1241" s="76">
        <v>2783.643</v>
      </c>
      <c r="G1241" s="84">
        <v>-2.8647229125866591E-2</v>
      </c>
      <c r="H1241" s="78">
        <v>97.135277087413343</v>
      </c>
      <c r="I1241" s="78">
        <v>111.08949185748335</v>
      </c>
      <c r="J1241" s="79">
        <f t="shared" si="563"/>
        <v>123.19292490826541</v>
      </c>
      <c r="K1241" s="80">
        <v>279088.44839999999</v>
      </c>
      <c r="L1241" s="83">
        <f t="shared" si="562"/>
        <v>28.233762123423315</v>
      </c>
    </row>
    <row r="1242" spans="1:12" ht="20.25" customHeight="1" x14ac:dyDescent="0.25">
      <c r="A1242" s="75">
        <v>36013</v>
      </c>
      <c r="B1242" s="76">
        <v>101.52036099999999</v>
      </c>
      <c r="C1242" s="76">
        <v>101.01</v>
      </c>
      <c r="D1242" s="76">
        <v>102.03</v>
      </c>
      <c r="E1242" s="78">
        <f>2783.643/1800.553*100</f>
        <v>154.59933698147179</v>
      </c>
      <c r="F1242" s="76">
        <v>2783.643</v>
      </c>
      <c r="G1242" s="84">
        <v>-2.539181667161472E-2</v>
      </c>
      <c r="H1242" s="78">
        <v>97.460818332838528</v>
      </c>
      <c r="I1242" s="78">
        <v>111.00665208348062</v>
      </c>
      <c r="J1242" s="79">
        <f t="shared" si="563"/>
        <v>123.39901526231695</v>
      </c>
      <c r="K1242" s="80">
        <v>279088.44839999999</v>
      </c>
      <c r="L1242" s="83">
        <f t="shared" si="562"/>
        <v>28.333160032497872</v>
      </c>
    </row>
    <row r="1243" spans="1:12" ht="20.25" customHeight="1" x14ac:dyDescent="0.25">
      <c r="A1243" s="75">
        <v>36006</v>
      </c>
      <c r="B1243" s="76">
        <v>101.466026</v>
      </c>
      <c r="C1243" s="76">
        <v>100.96</v>
      </c>
      <c r="D1243" s="76">
        <v>101.97</v>
      </c>
      <c r="E1243" s="78">
        <f>2787.712/1800.553*100</f>
        <v>154.82532310906706</v>
      </c>
      <c r="F1243" s="76">
        <v>2787.712</v>
      </c>
      <c r="G1243" s="84">
        <v>-2.4253358841411776E-2</v>
      </c>
      <c r="H1243" s="78">
        <v>97.574664115858823</v>
      </c>
      <c r="I1243" s="78">
        <v>110.85235041535077</v>
      </c>
      <c r="J1243" s="79">
        <f t="shared" si="563"/>
        <v>123.56127441448783</v>
      </c>
      <c r="K1243" s="80">
        <v>281172.76630000002</v>
      </c>
      <c r="L1243" s="83">
        <f t="shared" si="562"/>
        <v>28.529483215887726</v>
      </c>
    </row>
    <row r="1244" spans="1:12" ht="20.25" customHeight="1" x14ac:dyDescent="0.25">
      <c r="A1244" s="75">
        <v>35999</v>
      </c>
      <c r="B1244" s="76">
        <v>103.74663</v>
      </c>
      <c r="C1244" s="76">
        <v>103.23</v>
      </c>
      <c r="D1244" s="76">
        <v>104.27</v>
      </c>
      <c r="E1244" s="78">
        <f>2787.712/1800.553*100</f>
        <v>154.82532310906706</v>
      </c>
      <c r="F1244" s="76">
        <v>2787.712</v>
      </c>
      <c r="G1244" s="84">
        <v>-2.5345445267728528E-2</v>
      </c>
      <c r="H1244" s="78">
        <v>97.465455473227152</v>
      </c>
      <c r="I1244" s="78">
        <v>110.84047753262092</v>
      </c>
      <c r="J1244" s="79">
        <f t="shared" si="563"/>
        <v>123.49208885877202</v>
      </c>
      <c r="K1244" s="80">
        <v>281172.76630000002</v>
      </c>
      <c r="L1244" s="83">
        <f t="shared" si="562"/>
        <v>29.170726951402571</v>
      </c>
    </row>
    <row r="1245" spans="1:12" ht="20.25" customHeight="1" x14ac:dyDescent="0.25">
      <c r="A1245" s="75">
        <v>35992</v>
      </c>
      <c r="B1245" s="76">
        <v>103.046362</v>
      </c>
      <c r="C1245" s="76">
        <v>102.53</v>
      </c>
      <c r="D1245" s="76">
        <v>103.56</v>
      </c>
      <c r="E1245" s="78">
        <f>2787.712/1800.553*100</f>
        <v>154.82532310906706</v>
      </c>
      <c r="F1245" s="76">
        <v>2787.712</v>
      </c>
      <c r="G1245" s="84">
        <v>-2.3107597025722737E-2</v>
      </c>
      <c r="H1245" s="78">
        <v>97.68924029742773</v>
      </c>
      <c r="I1245" s="78">
        <v>110.75736743441772</v>
      </c>
      <c r="J1245" s="79">
        <f t="shared" si="563"/>
        <v>123.63369782844754</v>
      </c>
      <c r="K1245" s="80">
        <v>281172.76630000002</v>
      </c>
      <c r="L1245" s="83">
        <f t="shared" si="562"/>
        <v>28.973830660691203</v>
      </c>
    </row>
    <row r="1246" spans="1:12" ht="20.25" customHeight="1" x14ac:dyDescent="0.25">
      <c r="A1246" s="75">
        <v>35985</v>
      </c>
      <c r="B1246" s="76">
        <v>103.597978</v>
      </c>
      <c r="C1246" s="76">
        <v>103.08</v>
      </c>
      <c r="D1246" s="76">
        <v>104.12</v>
      </c>
      <c r="E1246" s="78">
        <f>2787.712/1800.553*100</f>
        <v>154.82532310906706</v>
      </c>
      <c r="F1246" s="76">
        <v>2787.712</v>
      </c>
      <c r="G1246" s="84">
        <v>-3.2748615533251479E-2</v>
      </c>
      <c r="H1246" s="78">
        <v>96.725138446674848</v>
      </c>
      <c r="I1246" s="78">
        <v>110.67448535147749</v>
      </c>
      <c r="J1246" s="79">
        <f t="shared" si="563"/>
        <v>123.02059771897098</v>
      </c>
      <c r="K1246" s="80">
        <v>281172.76630000002</v>
      </c>
      <c r="L1246" s="83">
        <f t="shared" si="562"/>
        <v>29.12893005734654</v>
      </c>
    </row>
    <row r="1247" spans="1:12" ht="20.25" customHeight="1" x14ac:dyDescent="0.25">
      <c r="A1247" s="75">
        <v>35978</v>
      </c>
      <c r="B1247" s="76">
        <v>102.4988</v>
      </c>
      <c r="C1247" s="76">
        <v>101.99</v>
      </c>
      <c r="D1247" s="76">
        <v>103.01</v>
      </c>
      <c r="E1247" s="78">
        <f>2787.712/1800.553*100</f>
        <v>154.82532310906706</v>
      </c>
      <c r="F1247" s="76">
        <v>2787.712</v>
      </c>
      <c r="G1247" s="84">
        <v>-3.1622175203133818E-2</v>
      </c>
      <c r="H1247" s="78">
        <v>96.837782479686624</v>
      </c>
      <c r="I1247" s="78">
        <v>110.59149140924708</v>
      </c>
      <c r="J1247" s="79">
        <f t="shared" si="563"/>
        <v>123.09218961376294</v>
      </c>
      <c r="K1247" s="80">
        <v>281172.76630000002</v>
      </c>
      <c r="L1247" s="83">
        <f t="shared" si="562"/>
        <v>28.819871138430443</v>
      </c>
    </row>
    <row r="1248" spans="1:12" ht="20.25" customHeight="1" x14ac:dyDescent="0.25">
      <c r="A1248" s="75">
        <v>35971</v>
      </c>
      <c r="B1248" s="76">
        <v>102.487133</v>
      </c>
      <c r="C1248" s="76">
        <v>101.97</v>
      </c>
      <c r="D1248" s="76">
        <v>103</v>
      </c>
      <c r="E1248" s="78">
        <f>2722.7/1800.553*100</f>
        <v>151.21465460888959</v>
      </c>
      <c r="F1248" s="76">
        <v>2722.7</v>
      </c>
      <c r="G1248" s="84">
        <v>-2.8086663192447348E-2</v>
      </c>
      <c r="H1248" s="78">
        <v>97.191333680755264</v>
      </c>
      <c r="I1248" s="78">
        <v>110.48414263861139</v>
      </c>
      <c r="J1248" s="79">
        <f t="shared" si="563"/>
        <v>121.85897158012929</v>
      </c>
      <c r="K1248" s="80">
        <v>235360.2101</v>
      </c>
      <c r="L1248" s="83">
        <f t="shared" si="562"/>
        <v>24.121393155426645</v>
      </c>
    </row>
    <row r="1249" spans="1:12" ht="20.25" customHeight="1" x14ac:dyDescent="0.25">
      <c r="A1249" s="75">
        <v>35964</v>
      </c>
      <c r="B1249" s="76">
        <v>105.05</v>
      </c>
      <c r="C1249" s="76">
        <v>104.53</v>
      </c>
      <c r="D1249" s="76">
        <v>105.58</v>
      </c>
      <c r="E1249" s="78">
        <f>2722.7/1800.553*100</f>
        <v>151.21465460888959</v>
      </c>
      <c r="F1249" s="76">
        <v>2722.7</v>
      </c>
      <c r="G1249" s="84">
        <v>-2.1019049304590864E-2</v>
      </c>
      <c r="H1249" s="78">
        <v>97.898095069540915</v>
      </c>
      <c r="I1249" s="78">
        <v>110.42459027890759</v>
      </c>
      <c r="J1249" s="79">
        <f t="shared" si="563"/>
        <v>122.30043689448109</v>
      </c>
      <c r="K1249" s="80">
        <v>235360.2101</v>
      </c>
      <c r="L1249" s="83">
        <f t="shared" si="562"/>
        <v>24.724590071004997</v>
      </c>
    </row>
    <row r="1250" spans="1:12" ht="20.25" customHeight="1" x14ac:dyDescent="0.25">
      <c r="A1250" s="75">
        <v>35957</v>
      </c>
      <c r="B1250" s="76">
        <v>105.97</v>
      </c>
      <c r="C1250" s="76">
        <v>105.44</v>
      </c>
      <c r="D1250" s="76">
        <v>106.5</v>
      </c>
      <c r="E1250" s="78">
        <f>2722.7/1800.553*100</f>
        <v>151.21465460888959</v>
      </c>
      <c r="F1250" s="76">
        <v>2722.7</v>
      </c>
      <c r="G1250" s="84">
        <v>-3.4361851214771644E-2</v>
      </c>
      <c r="H1250" s="78">
        <v>96.563814878522834</v>
      </c>
      <c r="I1250" s="78">
        <v>110.34127987674151</v>
      </c>
      <c r="J1250" s="79">
        <f t="shared" si="563"/>
        <v>121.46128515342937</v>
      </c>
      <c r="K1250" s="80">
        <v>235360.2101</v>
      </c>
      <c r="L1250" s="83">
        <f t="shared" si="562"/>
        <v>24.941121464297002</v>
      </c>
    </row>
    <row r="1251" spans="1:12" ht="20.25" customHeight="1" x14ac:dyDescent="0.25">
      <c r="A1251" s="75">
        <v>35950</v>
      </c>
      <c r="B1251" s="76">
        <v>107.39807399999999</v>
      </c>
      <c r="C1251" s="76">
        <v>106.86</v>
      </c>
      <c r="D1251" s="76">
        <v>107.94</v>
      </c>
      <c r="E1251" s="78">
        <f>2722.7/1800.553*100</f>
        <v>151.21465460888959</v>
      </c>
      <c r="F1251" s="76">
        <v>2722.7</v>
      </c>
      <c r="G1251" s="84">
        <v>-2.068505788797792E-2</v>
      </c>
      <c r="H1251" s="78">
        <v>97.931494211202207</v>
      </c>
      <c r="I1251" s="78">
        <v>110.25821805647792</v>
      </c>
      <c r="J1251" s="79">
        <f t="shared" si="563"/>
        <v>122.31539361600616</v>
      </c>
      <c r="K1251" s="80">
        <v>235360.2101</v>
      </c>
      <c r="L1251" s="83">
        <f t="shared" si="562"/>
        <v>25.277233260975347</v>
      </c>
    </row>
    <row r="1252" spans="1:12" ht="20.25" customHeight="1" x14ac:dyDescent="0.25">
      <c r="A1252" s="75">
        <v>35943</v>
      </c>
      <c r="B1252" s="76">
        <v>107.13</v>
      </c>
      <c r="C1252" s="76">
        <v>106.6</v>
      </c>
      <c r="D1252" s="76">
        <v>107.67</v>
      </c>
      <c r="E1252" s="78">
        <f>2756.845/1800.553*100</f>
        <v>153.11101644883541</v>
      </c>
      <c r="F1252" s="76">
        <v>2756.8449999999998</v>
      </c>
      <c r="G1252" s="84">
        <v>-2.4771996271062968E-2</v>
      </c>
      <c r="H1252" s="78">
        <v>97.522800372893698</v>
      </c>
      <c r="I1252" s="78">
        <v>110.12768847918694</v>
      </c>
      <c r="J1252" s="79">
        <f t="shared" si="563"/>
        <v>122.81862964025677</v>
      </c>
      <c r="K1252" s="80">
        <v>235360.2101</v>
      </c>
      <c r="L1252" s="83">
        <f t="shared" si="562"/>
        <v>25.214139308012999</v>
      </c>
    </row>
    <row r="1253" spans="1:12" ht="20.25" customHeight="1" x14ac:dyDescent="0.25">
      <c r="A1253" s="75">
        <v>35937</v>
      </c>
      <c r="B1253" s="76">
        <v>108.73</v>
      </c>
      <c r="C1253" s="76">
        <v>108.19</v>
      </c>
      <c r="D1253" s="76">
        <v>109.28</v>
      </c>
      <c r="E1253" s="78">
        <f>2756.845/1800.553*100</f>
        <v>153.11101644883541</v>
      </c>
      <c r="F1253" s="76">
        <v>2756.8449999999998</v>
      </c>
      <c r="G1253" s="84">
        <v>-1.6933143881766588E-2</v>
      </c>
      <c r="H1253" s="78">
        <v>98.30668561182334</v>
      </c>
      <c r="I1253" s="78">
        <v>110.09202757518248</v>
      </c>
      <c r="J1253" s="79">
        <f t="shared" si="563"/>
        <v>123.31025994994403</v>
      </c>
      <c r="K1253" s="80">
        <v>235360.2101</v>
      </c>
      <c r="L1253" s="83">
        <f t="shared" si="562"/>
        <v>25.590715644172999</v>
      </c>
    </row>
    <row r="1254" spans="1:12" ht="20.25" customHeight="1" x14ac:dyDescent="0.25">
      <c r="A1254" s="75">
        <v>35929</v>
      </c>
      <c r="B1254" s="76">
        <v>107.94588299999999</v>
      </c>
      <c r="C1254" s="76">
        <v>107.41</v>
      </c>
      <c r="D1254" s="76">
        <v>108.49</v>
      </c>
      <c r="E1254" s="78">
        <f>2756.845/1800.553*100</f>
        <v>153.11101644883541</v>
      </c>
      <c r="F1254" s="76">
        <v>2756.8449999999998</v>
      </c>
      <c r="G1254" s="84">
        <v>-1.8352961878742469E-2</v>
      </c>
      <c r="H1254" s="78">
        <v>98.164703812125751</v>
      </c>
      <c r="I1254" s="78">
        <v>110.02057190847836</v>
      </c>
      <c r="J1254" s="79">
        <f t="shared" si="563"/>
        <v>123.22114869216648</v>
      </c>
      <c r="K1254" s="80">
        <v>235360.2101</v>
      </c>
      <c r="L1254" s="83">
        <f t="shared" ref="L1254:L1317" si="564">(K1254*B1254)/1000000</f>
        <v>25.40616570231002</v>
      </c>
    </row>
    <row r="1255" spans="1:12" ht="20.25" customHeight="1" x14ac:dyDescent="0.25">
      <c r="A1255" s="75">
        <v>35922</v>
      </c>
      <c r="B1255" s="76">
        <v>108.51</v>
      </c>
      <c r="C1255" s="76">
        <v>107.96</v>
      </c>
      <c r="D1255" s="76">
        <v>109.05</v>
      </c>
      <c r="E1255" s="78">
        <f>2756.845/1800.553*100</f>
        <v>153.11101644883541</v>
      </c>
      <c r="F1255" s="76">
        <v>2756.8449999999998</v>
      </c>
      <c r="G1255" s="84">
        <v>-1.4513911927758305E-2</v>
      </c>
      <c r="H1255" s="78">
        <v>98.54860880722417</v>
      </c>
      <c r="I1255" s="78">
        <v>109.92564337545369</v>
      </c>
      <c r="J1255" s="79">
        <f t="shared" si="563"/>
        <v>123.4616266438353</v>
      </c>
      <c r="K1255" s="80">
        <v>235360.2101</v>
      </c>
      <c r="L1255" s="83">
        <f t="shared" si="564"/>
        <v>25.538936397950998</v>
      </c>
    </row>
    <row r="1256" spans="1:12" ht="20.25" customHeight="1" x14ac:dyDescent="0.25">
      <c r="A1256" s="75">
        <v>35915</v>
      </c>
      <c r="B1256" s="76">
        <v>108.86</v>
      </c>
      <c r="C1256" s="76">
        <v>108.32</v>
      </c>
      <c r="D1256" s="76">
        <v>109.41</v>
      </c>
      <c r="E1256" s="78">
        <f>2756.845/1800.553*100</f>
        <v>153.11101644883541</v>
      </c>
      <c r="F1256" s="76">
        <v>2756.8449999999998</v>
      </c>
      <c r="G1256" s="84">
        <v>-1.8129503049801321E-2</v>
      </c>
      <c r="H1256" s="78">
        <v>98.187049695019866</v>
      </c>
      <c r="I1256" s="78">
        <v>109.84245036773355</v>
      </c>
      <c r="J1256" s="79">
        <f t="shared" si="563"/>
        <v>123.23472992129663</v>
      </c>
      <c r="K1256" s="80">
        <v>235360.2101</v>
      </c>
      <c r="L1256" s="83">
        <f t="shared" si="564"/>
        <v>25.621312471486</v>
      </c>
    </row>
    <row r="1257" spans="1:12" ht="20.25" customHeight="1" x14ac:dyDescent="0.25">
      <c r="A1257" s="75">
        <v>35908</v>
      </c>
      <c r="B1257" s="76">
        <v>109.01</v>
      </c>
      <c r="C1257" s="76">
        <v>108.47</v>
      </c>
      <c r="D1257" s="76">
        <v>109.56</v>
      </c>
      <c r="E1257" s="78">
        <f>2729.763/1800.553*100</f>
        <v>151.60692298421651</v>
      </c>
      <c r="F1257" s="76">
        <v>2729.7629999999999</v>
      </c>
      <c r="G1257" s="84">
        <v>-1.5631473472441426E-2</v>
      </c>
      <c r="H1257" s="78">
        <v>98.43685265275586</v>
      </c>
      <c r="I1257" s="78">
        <v>109.75863843086087</v>
      </c>
      <c r="J1257" s="79">
        <f t="shared" si="563"/>
        <v>122.78146310282749</v>
      </c>
      <c r="K1257" s="80">
        <v>235360.2101</v>
      </c>
      <c r="L1257" s="83">
        <f t="shared" si="564"/>
        <v>25.656616503001</v>
      </c>
    </row>
    <row r="1258" spans="1:12" ht="20.25" customHeight="1" x14ac:dyDescent="0.25">
      <c r="A1258" s="75">
        <v>35901</v>
      </c>
      <c r="B1258" s="76">
        <v>106.76</v>
      </c>
      <c r="C1258" s="76">
        <v>106.23</v>
      </c>
      <c r="D1258" s="76">
        <v>107.29</v>
      </c>
      <c r="E1258" s="78">
        <f>2729.763/1800.553*100</f>
        <v>151.60692298421651</v>
      </c>
      <c r="F1258" s="76">
        <v>2729.7629999999999</v>
      </c>
      <c r="G1258" s="84">
        <v>-2.0385006362221847E-2</v>
      </c>
      <c r="H1258" s="78">
        <v>97.961499363777818</v>
      </c>
      <c r="I1258" s="78">
        <v>109.67538707920176</v>
      </c>
      <c r="J1258" s="79">
        <f t="shared" si="563"/>
        <v>122.48428865247084</v>
      </c>
      <c r="K1258" s="80">
        <v>235360.2101</v>
      </c>
      <c r="L1258" s="83">
        <f t="shared" si="564"/>
        <v>25.127056030276002</v>
      </c>
    </row>
    <row r="1259" spans="1:12" ht="20.25" customHeight="1" x14ac:dyDescent="0.25">
      <c r="A1259" s="75">
        <v>35894</v>
      </c>
      <c r="B1259" s="76">
        <v>104.06</v>
      </c>
      <c r="C1259" s="76">
        <v>103.54</v>
      </c>
      <c r="D1259" s="76">
        <v>104.58</v>
      </c>
      <c r="E1259" s="78">
        <f>2729.763/1800.553*100</f>
        <v>151.60692298421651</v>
      </c>
      <c r="F1259" s="76">
        <v>2729.7629999999999</v>
      </c>
      <c r="G1259" s="84">
        <v>-2.0013631461433645E-2</v>
      </c>
      <c r="H1259" s="78">
        <v>97.998636853856638</v>
      </c>
      <c r="I1259" s="78">
        <v>109.59234653669043</v>
      </c>
      <c r="J1259" s="79">
        <f t="shared" ref="J1259:J1322" si="565">(E1259/E1260)*0.5*J1260+(H1259/H1260)*0.5*J1260</f>
        <v>122.50750132797944</v>
      </c>
      <c r="K1259" s="80">
        <v>235360.2101</v>
      </c>
      <c r="L1259" s="83">
        <f t="shared" si="564"/>
        <v>24.491583463006002</v>
      </c>
    </row>
    <row r="1260" spans="1:12" ht="20.25" customHeight="1" x14ac:dyDescent="0.25">
      <c r="A1260" s="75">
        <v>35887</v>
      </c>
      <c r="B1260" s="76">
        <v>101.91</v>
      </c>
      <c r="C1260" s="76">
        <v>101.4</v>
      </c>
      <c r="D1260" s="76">
        <v>102.42</v>
      </c>
      <c r="E1260" s="78">
        <f>2729.763/1800.553*100</f>
        <v>151.60692298421651</v>
      </c>
      <c r="F1260" s="76">
        <v>2729.7629999999999</v>
      </c>
      <c r="G1260" s="84">
        <v>-3.1837043473949445E-2</v>
      </c>
      <c r="H1260" s="78">
        <v>96.816295652605049</v>
      </c>
      <c r="I1260" s="78">
        <v>109.50969681575981</v>
      </c>
      <c r="J1260" s="79">
        <f t="shared" si="565"/>
        <v>121.76399740649413</v>
      </c>
      <c r="K1260" s="80">
        <v>235360.2101</v>
      </c>
      <c r="L1260" s="83">
        <f t="shared" si="564"/>
        <v>23.985559011290999</v>
      </c>
    </row>
    <row r="1261" spans="1:12" ht="20.25" customHeight="1" x14ac:dyDescent="0.25">
      <c r="A1261" s="75">
        <v>35880</v>
      </c>
      <c r="B1261" s="76">
        <v>103.616775</v>
      </c>
      <c r="C1261" s="76">
        <v>103.1</v>
      </c>
      <c r="D1261" s="76">
        <v>104.13</v>
      </c>
      <c r="E1261" s="78">
        <f>2618.782/1800.553*100</f>
        <v>145.44320550408679</v>
      </c>
      <c r="F1261" s="76">
        <v>2618.7820000000002</v>
      </c>
      <c r="G1261" s="84">
        <v>-1.9606601005487834E-2</v>
      </c>
      <c r="H1261" s="78">
        <v>98.039339899451221</v>
      </c>
      <c r="I1261" s="78">
        <v>109.40300917742765</v>
      </c>
      <c r="J1261" s="79">
        <f t="shared" si="565"/>
        <v>119.97021320932785</v>
      </c>
      <c r="K1261" s="80">
        <v>235360.2101</v>
      </c>
      <c r="L1261" s="83">
        <f t="shared" si="564"/>
        <v>24.387265933884429</v>
      </c>
    </row>
    <row r="1262" spans="1:12" ht="20.25" customHeight="1" x14ac:dyDescent="0.25">
      <c r="A1262" s="75">
        <v>35873</v>
      </c>
      <c r="B1262" s="76">
        <v>103.56</v>
      </c>
      <c r="C1262" s="76">
        <v>103.05</v>
      </c>
      <c r="D1262" s="76">
        <v>104.08</v>
      </c>
      <c r="E1262" s="78">
        <f>2618.782/1800.553*100</f>
        <v>145.44320550408679</v>
      </c>
      <c r="F1262" s="76">
        <v>2618.7820000000002</v>
      </c>
      <c r="G1262" s="84">
        <v>-2.4430416162069646E-2</v>
      </c>
      <c r="H1262" s="78">
        <v>97.556958383793031</v>
      </c>
      <c r="I1262" s="78">
        <v>109.3438202890456</v>
      </c>
      <c r="J1262" s="79">
        <f t="shared" si="565"/>
        <v>119.67434148890322</v>
      </c>
      <c r="K1262" s="80">
        <v>235360.2101</v>
      </c>
      <c r="L1262" s="83">
        <f t="shared" si="564"/>
        <v>24.373903357955999</v>
      </c>
    </row>
    <row r="1263" spans="1:12" ht="20.25" customHeight="1" x14ac:dyDescent="0.25">
      <c r="A1263" s="75">
        <v>35866</v>
      </c>
      <c r="B1263" s="76">
        <v>103.55</v>
      </c>
      <c r="C1263" s="76">
        <v>103.04</v>
      </c>
      <c r="D1263" s="76">
        <v>104.07</v>
      </c>
      <c r="E1263" s="78">
        <f>2618.782/1800.553*100</f>
        <v>145.44320550408679</v>
      </c>
      <c r="F1263" s="76">
        <v>2618.7820000000002</v>
      </c>
      <c r="G1263" s="84">
        <v>-2.4123056506901719E-2</v>
      </c>
      <c r="H1263" s="78">
        <v>97.587694349309828</v>
      </c>
      <c r="I1263" s="78">
        <v>109.26157472978674</v>
      </c>
      <c r="J1263" s="79">
        <f t="shared" si="565"/>
        <v>119.69319061636703</v>
      </c>
      <c r="K1263" s="80">
        <v>235360.2101</v>
      </c>
      <c r="L1263" s="83">
        <f t="shared" si="564"/>
        <v>24.371549755854996</v>
      </c>
    </row>
    <row r="1264" spans="1:12" ht="20.25" customHeight="1" x14ac:dyDescent="0.25">
      <c r="A1264" s="75">
        <v>35859</v>
      </c>
      <c r="B1264" s="76">
        <v>102.89</v>
      </c>
      <c r="C1264" s="76">
        <v>102.38</v>
      </c>
      <c r="D1264" s="76">
        <v>103.41</v>
      </c>
      <c r="E1264" s="78">
        <f>2618.782/1800.553*100</f>
        <v>145.44320550408679</v>
      </c>
      <c r="F1264" s="76">
        <v>2618.7820000000002</v>
      </c>
      <c r="G1264" s="84">
        <v>-2.181932331136327E-2</v>
      </c>
      <c r="H1264" s="78">
        <v>97.818067668863677</v>
      </c>
      <c r="I1264" s="78">
        <v>109.17901101464575</v>
      </c>
      <c r="J1264" s="79">
        <f t="shared" si="565"/>
        <v>119.83430271749187</v>
      </c>
      <c r="K1264" s="80">
        <v>235360.2101</v>
      </c>
      <c r="L1264" s="83">
        <f t="shared" si="564"/>
        <v>24.216212017189001</v>
      </c>
    </row>
    <row r="1265" spans="1:12" ht="20.25" customHeight="1" x14ac:dyDescent="0.25">
      <c r="A1265" s="75">
        <v>35852</v>
      </c>
      <c r="B1265" s="76">
        <v>102.74</v>
      </c>
      <c r="C1265" s="76">
        <v>102.23</v>
      </c>
      <c r="D1265" s="76">
        <v>103.26</v>
      </c>
      <c r="E1265" s="78">
        <f>2452.49/1800.553*100</f>
        <v>136.20759844336709</v>
      </c>
      <c r="F1265" s="76">
        <v>2452.4899999999998</v>
      </c>
      <c r="G1265" s="84">
        <v>-2.1111211391797835E-2</v>
      </c>
      <c r="H1265" s="78">
        <v>97.888878860820213</v>
      </c>
      <c r="I1265" s="78">
        <v>109.03596605743304</v>
      </c>
      <c r="J1265" s="79">
        <f t="shared" si="565"/>
        <v>115.9453793350516</v>
      </c>
      <c r="K1265" s="80">
        <v>235360.2101</v>
      </c>
      <c r="L1265" s="83">
        <f t="shared" si="564"/>
        <v>24.180907985673997</v>
      </c>
    </row>
    <row r="1266" spans="1:12" ht="20.25" customHeight="1" x14ac:dyDescent="0.25">
      <c r="A1266" s="75">
        <v>35845</v>
      </c>
      <c r="B1266" s="76">
        <v>102.881635</v>
      </c>
      <c r="C1266" s="76">
        <v>102.37</v>
      </c>
      <c r="D1266" s="76">
        <v>103.4</v>
      </c>
      <c r="E1266" s="78">
        <f>2452.49/1800.553*100</f>
        <v>136.20759844336709</v>
      </c>
      <c r="F1266" s="76">
        <v>2452.4899999999998</v>
      </c>
      <c r="G1266" s="84">
        <v>-2.0758624694703687E-2</v>
      </c>
      <c r="H1266" s="78">
        <v>97.924137530529634</v>
      </c>
      <c r="I1266" s="78">
        <v>109.01209283320441</v>
      </c>
      <c r="J1266" s="79">
        <f t="shared" si="565"/>
        <v>115.9662568022887</v>
      </c>
      <c r="K1266" s="80">
        <v>235360.2101</v>
      </c>
      <c r="L1266" s="83">
        <f t="shared" si="564"/>
        <v>24.214243229031513</v>
      </c>
    </row>
    <row r="1267" spans="1:12" ht="20.25" customHeight="1" x14ac:dyDescent="0.25">
      <c r="A1267" s="75">
        <v>35838</v>
      </c>
      <c r="B1267" s="76">
        <v>103.98</v>
      </c>
      <c r="C1267" s="76">
        <v>103.46</v>
      </c>
      <c r="D1267" s="76">
        <v>104.5</v>
      </c>
      <c r="E1267" s="78">
        <f>2452.49/1800.553*100</f>
        <v>136.20759844336709</v>
      </c>
      <c r="F1267" s="76">
        <v>2452.4899999999998</v>
      </c>
      <c r="G1267" s="84">
        <v>-1.3721139129476922E-2</v>
      </c>
      <c r="H1267" s="78">
        <v>98.627886087052303</v>
      </c>
      <c r="I1267" s="78">
        <v>108.92898377886932</v>
      </c>
      <c r="J1267" s="79">
        <f t="shared" si="565"/>
        <v>116.38147046596856</v>
      </c>
      <c r="K1267" s="80">
        <v>235360.2101</v>
      </c>
      <c r="L1267" s="83">
        <f t="shared" si="564"/>
        <v>24.472754646198002</v>
      </c>
    </row>
    <row r="1268" spans="1:12" ht="20.25" customHeight="1" x14ac:dyDescent="0.25">
      <c r="A1268" s="75">
        <v>35831</v>
      </c>
      <c r="B1268" s="76">
        <v>104.867535</v>
      </c>
      <c r="C1268" s="76">
        <v>104.34</v>
      </c>
      <c r="D1268" s="76">
        <v>105.39</v>
      </c>
      <c r="E1268" s="78">
        <f>2452.49/1800.553*100</f>
        <v>136.20759844336709</v>
      </c>
      <c r="F1268" s="76">
        <v>2452.4899999999998</v>
      </c>
      <c r="G1268" s="84">
        <v>-1.0257789656016092E-2</v>
      </c>
      <c r="H1268" s="78">
        <v>98.974221034398397</v>
      </c>
      <c r="I1268" s="78">
        <v>108.84545331182824</v>
      </c>
      <c r="J1268" s="79">
        <f t="shared" si="565"/>
        <v>116.58545093476548</v>
      </c>
      <c r="K1268" s="80">
        <v>235360.2101</v>
      </c>
      <c r="L1268" s="83">
        <f t="shared" si="564"/>
        <v>24.681645070269106</v>
      </c>
    </row>
    <row r="1269" spans="1:12" ht="20.25" customHeight="1" x14ac:dyDescent="0.25">
      <c r="A1269" s="75">
        <v>35824</v>
      </c>
      <c r="B1269" s="76">
        <v>101.778781</v>
      </c>
      <c r="C1269" s="76">
        <v>101.27</v>
      </c>
      <c r="D1269" s="76">
        <v>102.29</v>
      </c>
      <c r="E1269" s="78">
        <f>2385.63/1800.553*100</f>
        <v>132.49429480831722</v>
      </c>
      <c r="F1269" s="76">
        <v>2385.63</v>
      </c>
      <c r="G1269" s="84">
        <v>-2.1282401086506697E-2</v>
      </c>
      <c r="H1269" s="78">
        <v>97.871759891349328</v>
      </c>
      <c r="I1269" s="78">
        <v>108.70258606211259</v>
      </c>
      <c r="J1269" s="79">
        <f t="shared" si="565"/>
        <v>114.3392291336678</v>
      </c>
      <c r="K1269" s="80">
        <v>231449.75940000001</v>
      </c>
      <c r="L1269" s="83">
        <f t="shared" si="564"/>
        <v>23.556674374475293</v>
      </c>
    </row>
    <row r="1270" spans="1:12" ht="20.25" customHeight="1" x14ac:dyDescent="0.25">
      <c r="A1270" s="75">
        <v>35817</v>
      </c>
      <c r="B1270" s="76">
        <v>102.51</v>
      </c>
      <c r="C1270" s="76">
        <v>102</v>
      </c>
      <c r="D1270" s="76">
        <v>103.02</v>
      </c>
      <c r="E1270" s="78">
        <f>2385.63/1800.553*100</f>
        <v>132.49429480831722</v>
      </c>
      <c r="F1270" s="76">
        <v>2385.63</v>
      </c>
      <c r="G1270" s="84">
        <v>-2.2537667863910094E-2</v>
      </c>
      <c r="H1270" s="78">
        <v>97.746233213608988</v>
      </c>
      <c r="I1270" s="78">
        <v>108.67877418241163</v>
      </c>
      <c r="J1270" s="79">
        <f t="shared" si="565"/>
        <v>114.26585846187669</v>
      </c>
      <c r="K1270" s="80">
        <v>231449.75940000001</v>
      </c>
      <c r="L1270" s="83">
        <f t="shared" si="564"/>
        <v>23.725914836094002</v>
      </c>
    </row>
    <row r="1271" spans="1:12" ht="20.25" customHeight="1" x14ac:dyDescent="0.25">
      <c r="A1271" s="75">
        <v>35810</v>
      </c>
      <c r="B1271" s="76">
        <v>103.085216</v>
      </c>
      <c r="C1271" s="76">
        <v>102.57</v>
      </c>
      <c r="D1271" s="76">
        <v>103.6</v>
      </c>
      <c r="E1271" s="78">
        <f>2385.63/1800.553*100</f>
        <v>132.49429480831722</v>
      </c>
      <c r="F1271" s="76">
        <v>2385.63</v>
      </c>
      <c r="G1271" s="84">
        <v>-3.3676016045920298E-2</v>
      </c>
      <c r="H1271" s="78">
        <v>96.632398395407975</v>
      </c>
      <c r="I1271" s="78">
        <v>108.59615088962364</v>
      </c>
      <c r="J1271" s="79">
        <f t="shared" si="565"/>
        <v>113.61108848725073</v>
      </c>
      <c r="K1271" s="80">
        <v>230484.60159999999</v>
      </c>
      <c r="L1271" s="83">
        <f t="shared" si="564"/>
        <v>23.759554940609945</v>
      </c>
    </row>
    <row r="1272" spans="1:12" ht="20.25" customHeight="1" x14ac:dyDescent="0.25">
      <c r="A1272" s="75">
        <v>35803</v>
      </c>
      <c r="B1272" s="76">
        <v>101.07616899999999</v>
      </c>
      <c r="C1272" s="76">
        <v>100.57</v>
      </c>
      <c r="D1272" s="76">
        <v>101.58</v>
      </c>
      <c r="E1272" s="78">
        <f>2385.63/1800.553*100</f>
        <v>132.49429480831722</v>
      </c>
      <c r="F1272" s="76">
        <v>2385.63</v>
      </c>
      <c r="G1272" s="84">
        <v>-3.6117318192025016E-2</v>
      </c>
      <c r="H1272" s="78">
        <v>96.388268180797496</v>
      </c>
      <c r="I1272" s="78">
        <v>108.51397631604823</v>
      </c>
      <c r="J1272" s="79">
        <f t="shared" si="565"/>
        <v>113.46739455070755</v>
      </c>
      <c r="K1272" s="80">
        <v>230484.60159999999</v>
      </c>
      <c r="L1272" s="83">
        <f t="shared" si="564"/>
        <v>23.296500543219267</v>
      </c>
    </row>
    <row r="1273" spans="1:12" ht="20.25" customHeight="1" x14ac:dyDescent="0.25">
      <c r="A1273" s="75">
        <v>35797</v>
      </c>
      <c r="B1273" s="76">
        <v>98.566924999999998</v>
      </c>
      <c r="C1273" s="76">
        <v>98.07</v>
      </c>
      <c r="D1273" s="76">
        <v>99.06</v>
      </c>
      <c r="E1273" s="78">
        <f>2385.63/1800.553*100</f>
        <v>132.49429480831722</v>
      </c>
      <c r="F1273" s="76">
        <v>2385.63</v>
      </c>
      <c r="G1273" s="84">
        <v>-3.3322761455442551E-2</v>
      </c>
      <c r="H1273" s="78">
        <v>96.667723854455744</v>
      </c>
      <c r="I1273" s="78">
        <v>108.430305406931</v>
      </c>
      <c r="J1273" s="79">
        <f t="shared" si="565"/>
        <v>113.63164279210181</v>
      </c>
      <c r="K1273" s="80">
        <v>230484.60159999999</v>
      </c>
      <c r="L1273" s="83">
        <f t="shared" si="564"/>
        <v>22.718158439562078</v>
      </c>
    </row>
    <row r="1274" spans="1:12" ht="20.25" customHeight="1" x14ac:dyDescent="0.25">
      <c r="A1274" s="75">
        <v>35793</v>
      </c>
      <c r="B1274" s="76">
        <v>100.0215</v>
      </c>
      <c r="C1274" s="76">
        <v>99.52</v>
      </c>
      <c r="D1274" s="76">
        <v>100.52</v>
      </c>
      <c r="E1274" s="78">
        <f>2356.541/1800.553*100</f>
        <v>130.87873558845533</v>
      </c>
      <c r="F1274" s="76">
        <v>2356.5410000000002</v>
      </c>
      <c r="G1274" s="84">
        <v>-2.5299980243001285E-2</v>
      </c>
      <c r="H1274" s="78">
        <v>97.470001975699873</v>
      </c>
      <c r="I1274" s="78">
        <v>108.33315214996196</v>
      </c>
      <c r="J1274" s="79">
        <f t="shared" si="565"/>
        <v>113.39844378615192</v>
      </c>
      <c r="K1274" s="80">
        <v>228494.94779999999</v>
      </c>
      <c r="L1274" s="83">
        <f t="shared" si="564"/>
        <v>22.854407421377701</v>
      </c>
    </row>
    <row r="1275" spans="1:12" ht="20.25" customHeight="1" x14ac:dyDescent="0.25">
      <c r="A1275" s="75">
        <v>35782</v>
      </c>
      <c r="B1275" s="76">
        <v>100.0448</v>
      </c>
      <c r="C1275" s="76">
        <v>99.54</v>
      </c>
      <c r="D1275" s="76">
        <v>100.55</v>
      </c>
      <c r="E1275" s="78">
        <f>2356.541/1800.553*100</f>
        <v>130.87873558845533</v>
      </c>
      <c r="F1275" s="76">
        <v>2356.5410000000002</v>
      </c>
      <c r="G1275" s="84">
        <v>-2.1943971407891727E-2</v>
      </c>
      <c r="H1275" s="78">
        <v>97.805602859210822</v>
      </c>
      <c r="I1275" s="78">
        <v>108.3086748909206</v>
      </c>
      <c r="J1275" s="79">
        <f t="shared" si="565"/>
        <v>113.59333048464953</v>
      </c>
      <c r="K1275" s="80">
        <v>223521.8028</v>
      </c>
      <c r="L1275" s="83">
        <f t="shared" si="564"/>
        <v>22.362194056765439</v>
      </c>
    </row>
    <row r="1276" spans="1:12" ht="20.25" customHeight="1" x14ac:dyDescent="0.25">
      <c r="A1276" s="75">
        <v>35775</v>
      </c>
      <c r="B1276" s="76">
        <v>100.0099</v>
      </c>
      <c r="C1276" s="76">
        <v>99.51</v>
      </c>
      <c r="D1276" s="76">
        <v>100.51</v>
      </c>
      <c r="E1276" s="78">
        <f>2356.541/1800.553*100</f>
        <v>130.87873558845533</v>
      </c>
      <c r="F1276" s="76">
        <v>2356.5410000000002</v>
      </c>
      <c r="G1276" s="84">
        <v>-2.5595199742830199E-2</v>
      </c>
      <c r="H1276" s="78">
        <v>97.44048002571698</v>
      </c>
      <c r="I1276" s="78">
        <v>108.17379738104604</v>
      </c>
      <c r="J1276" s="79">
        <f t="shared" si="565"/>
        <v>113.380903591983</v>
      </c>
      <c r="K1276" s="80">
        <v>223521.8028</v>
      </c>
      <c r="L1276" s="83">
        <f t="shared" si="564"/>
        <v>22.35439314584772</v>
      </c>
    </row>
    <row r="1277" spans="1:12" ht="20.25" customHeight="1" x14ac:dyDescent="0.25">
      <c r="A1277" s="75">
        <v>35768</v>
      </c>
      <c r="B1277" s="76">
        <v>102.008</v>
      </c>
      <c r="C1277" s="76">
        <v>101.5</v>
      </c>
      <c r="D1277" s="76">
        <v>102.52</v>
      </c>
      <c r="E1277" s="78">
        <f>2356.541/1800.553*100</f>
        <v>130.87873558845533</v>
      </c>
      <c r="F1277" s="76">
        <v>2356.5410000000002</v>
      </c>
      <c r="G1277" s="84">
        <v>-2.4011309696019612E-2</v>
      </c>
      <c r="H1277" s="78">
        <v>97.598869030398035</v>
      </c>
      <c r="I1277" s="78">
        <v>108.08719688688964</v>
      </c>
      <c r="J1277" s="79">
        <f t="shared" si="565"/>
        <v>113.47297879914854</v>
      </c>
      <c r="K1277" s="80">
        <v>223521.8028</v>
      </c>
      <c r="L1277" s="83">
        <f t="shared" si="564"/>
        <v>22.801012060022398</v>
      </c>
    </row>
    <row r="1278" spans="1:12" ht="20.25" customHeight="1" x14ac:dyDescent="0.25">
      <c r="A1278" s="75">
        <v>35761</v>
      </c>
      <c r="B1278" s="76">
        <v>102.0558</v>
      </c>
      <c r="C1278" s="76">
        <v>101.55</v>
      </c>
      <c r="D1278" s="76">
        <v>102.57</v>
      </c>
      <c r="E1278" s="78">
        <f>2315.204/1800.553*100</f>
        <v>128.58294090759895</v>
      </c>
      <c r="F1278" s="76">
        <v>2315.2040000000002</v>
      </c>
      <c r="G1278" s="84">
        <v>-1.9070776339687678E-2</v>
      </c>
      <c r="H1278" s="78">
        <v>98.092922366031232</v>
      </c>
      <c r="I1278" s="78">
        <v>107.95159887260755</v>
      </c>
      <c r="J1278" s="79">
        <f t="shared" si="565"/>
        <v>112.75036188746213</v>
      </c>
      <c r="K1278" s="80">
        <v>234492.61619999999</v>
      </c>
      <c r="L1278" s="83">
        <f t="shared" si="564"/>
        <v>23.931331540383962</v>
      </c>
    </row>
    <row r="1279" spans="1:12" ht="20.25" customHeight="1" x14ac:dyDescent="0.25">
      <c r="A1279" s="75">
        <v>35754</v>
      </c>
      <c r="B1279" s="76">
        <v>102.88890000000001</v>
      </c>
      <c r="C1279" s="76">
        <v>102.37</v>
      </c>
      <c r="D1279" s="76">
        <v>103.4</v>
      </c>
      <c r="E1279" s="78">
        <f>2315.204/1800.553*100</f>
        <v>128.58294090759895</v>
      </c>
      <c r="F1279" s="76">
        <v>2315.2040000000002</v>
      </c>
      <c r="G1279" s="84">
        <v>-1.3267153748414251E-2</v>
      </c>
      <c r="H1279" s="78">
        <v>98.673284625158573</v>
      </c>
      <c r="I1279" s="78">
        <v>107.91466661832843</v>
      </c>
      <c r="J1279" s="79">
        <f t="shared" si="565"/>
        <v>113.08291926986551</v>
      </c>
      <c r="K1279" s="80">
        <v>234492.61619999999</v>
      </c>
      <c r="L1279" s="83">
        <f t="shared" si="564"/>
        <v>24.126687338940179</v>
      </c>
    </row>
    <row r="1280" spans="1:12" ht="20.25" customHeight="1" x14ac:dyDescent="0.25">
      <c r="A1280" s="75">
        <v>35747</v>
      </c>
      <c r="B1280" s="76">
        <v>106.858</v>
      </c>
      <c r="C1280" s="76">
        <v>106.32</v>
      </c>
      <c r="D1280" s="76">
        <v>107.39</v>
      </c>
      <c r="E1280" s="78">
        <f>2315.204/1800.553*100</f>
        <v>128.58294090759895</v>
      </c>
      <c r="F1280" s="76">
        <v>2315.2040000000002</v>
      </c>
      <c r="G1280" s="84">
        <v>-1.1068219704296278E-2</v>
      </c>
      <c r="H1280" s="78">
        <v>98.893178029570379</v>
      </c>
      <c r="I1280" s="78">
        <v>107.82940363854547</v>
      </c>
      <c r="J1280" s="79">
        <f t="shared" si="565"/>
        <v>113.20878166455005</v>
      </c>
      <c r="K1280" s="80">
        <v>234492.61619999999</v>
      </c>
      <c r="L1280" s="83">
        <f t="shared" si="564"/>
        <v>25.057411981899602</v>
      </c>
    </row>
    <row r="1281" spans="1:12" ht="20.25" customHeight="1" x14ac:dyDescent="0.25">
      <c r="A1281" s="75">
        <v>35740</v>
      </c>
      <c r="B1281" s="76">
        <v>106.48699999999999</v>
      </c>
      <c r="C1281" s="76">
        <v>105.95</v>
      </c>
      <c r="D1281" s="76">
        <v>107.02</v>
      </c>
      <c r="E1281" s="78">
        <f>2315.204/1800.553*100</f>
        <v>128.58294090759895</v>
      </c>
      <c r="F1281" s="76">
        <v>2315.2040000000002</v>
      </c>
      <c r="G1281" s="84">
        <v>-6.3468389932166414E-3</v>
      </c>
      <c r="H1281" s="78">
        <v>99.365316100678342</v>
      </c>
      <c r="I1281" s="78">
        <v>107.74384502165606</v>
      </c>
      <c r="J1281" s="79">
        <f t="shared" si="565"/>
        <v>113.47838007970026</v>
      </c>
      <c r="K1281" s="80">
        <v>234492.61619999999</v>
      </c>
      <c r="L1281" s="83">
        <f t="shared" si="564"/>
        <v>24.970415221289397</v>
      </c>
    </row>
    <row r="1282" spans="1:12" ht="20.25" customHeight="1" x14ac:dyDescent="0.25">
      <c r="A1282" s="75">
        <v>35733</v>
      </c>
      <c r="B1282" s="76">
        <v>107.7398</v>
      </c>
      <c r="C1282" s="76">
        <v>107.2</v>
      </c>
      <c r="D1282" s="76">
        <v>108.28</v>
      </c>
      <c r="E1282" s="78">
        <f>2443.432/1800.553*100</f>
        <v>135.70453077471197</v>
      </c>
      <c r="F1282" s="76">
        <v>2443.4319999999998</v>
      </c>
      <c r="G1282" s="84">
        <v>-2.8926444524870476E-3</v>
      </c>
      <c r="H1282" s="78">
        <v>99.710735554751295</v>
      </c>
      <c r="I1282" s="78">
        <v>107.58678142042517</v>
      </c>
      <c r="J1282" s="79">
        <f t="shared" si="565"/>
        <v>116.74387316012152</v>
      </c>
      <c r="K1282" s="80">
        <v>234492.61619999999</v>
      </c>
      <c r="L1282" s="83">
        <f t="shared" si="564"/>
        <v>25.26418757086476</v>
      </c>
    </row>
    <row r="1283" spans="1:12" ht="20.25" customHeight="1" x14ac:dyDescent="0.25">
      <c r="A1283" s="75">
        <v>35726</v>
      </c>
      <c r="B1283" s="76">
        <v>107.7486</v>
      </c>
      <c r="C1283" s="76">
        <v>107.21</v>
      </c>
      <c r="D1283" s="76">
        <v>108.29</v>
      </c>
      <c r="E1283" s="78">
        <f>2443.432/1800.553*100</f>
        <v>135.70453077471197</v>
      </c>
      <c r="F1283" s="76">
        <v>2443.4319999999998</v>
      </c>
      <c r="G1283" s="84">
        <v>-1.6791645878729389E-2</v>
      </c>
      <c r="H1283" s="78">
        <v>98.320835412127067</v>
      </c>
      <c r="I1283" s="78">
        <v>107.57477595606468</v>
      </c>
      <c r="J1283" s="79">
        <f t="shared" si="565"/>
        <v>115.92449711233519</v>
      </c>
      <c r="K1283" s="80">
        <v>166109.7965</v>
      </c>
      <c r="L1283" s="83">
        <f t="shared" si="564"/>
        <v>17.8980980191599</v>
      </c>
    </row>
    <row r="1284" spans="1:12" ht="20.25" customHeight="1" x14ac:dyDescent="0.25">
      <c r="A1284" s="75">
        <v>35719</v>
      </c>
      <c r="B1284" s="76">
        <v>108.4405</v>
      </c>
      <c r="C1284" s="76">
        <v>107.9</v>
      </c>
      <c r="D1284" s="76">
        <v>108.98</v>
      </c>
      <c r="E1284" s="78">
        <f>2443.432/1800.553*100</f>
        <v>135.70453077471197</v>
      </c>
      <c r="F1284" s="76">
        <v>2443.4319999999998</v>
      </c>
      <c r="G1284" s="84">
        <v>-9.6953983621240747E-3</v>
      </c>
      <c r="H1284" s="78">
        <v>99.030460163787595</v>
      </c>
      <c r="I1284" s="78">
        <v>107.48982173032377</v>
      </c>
      <c r="J1284" s="79">
        <f t="shared" si="565"/>
        <v>116.34133193591541</v>
      </c>
      <c r="K1284" s="80">
        <v>166109.7965</v>
      </c>
      <c r="L1284" s="83">
        <f t="shared" si="564"/>
        <v>18.013029387358248</v>
      </c>
    </row>
    <row r="1285" spans="1:12" ht="20.25" customHeight="1" x14ac:dyDescent="0.25">
      <c r="A1285" s="75">
        <v>35712</v>
      </c>
      <c r="B1285" s="76">
        <v>108.0532</v>
      </c>
      <c r="C1285" s="76">
        <v>107.51</v>
      </c>
      <c r="D1285" s="76">
        <v>108.59</v>
      </c>
      <c r="E1285" s="78">
        <f>2443.432/1800.553*100</f>
        <v>135.70453077471197</v>
      </c>
      <c r="F1285" s="76">
        <v>2443.4319999999998</v>
      </c>
      <c r="G1285" s="84">
        <v>-1.2208544075220096E-2</v>
      </c>
      <c r="H1285" s="78">
        <v>98.779145592477988</v>
      </c>
      <c r="I1285" s="78">
        <v>107.40504711643273</v>
      </c>
      <c r="J1285" s="79">
        <f t="shared" si="565"/>
        <v>116.19352176335437</v>
      </c>
      <c r="K1285" s="80">
        <v>166109.7965</v>
      </c>
      <c r="L1285" s="83">
        <f t="shared" si="564"/>
        <v>17.948695063173801</v>
      </c>
    </row>
    <row r="1286" spans="1:12" ht="20.25" customHeight="1" x14ac:dyDescent="0.25">
      <c r="A1286" s="75">
        <v>35705</v>
      </c>
      <c r="B1286" s="76">
        <v>105.93340000000001</v>
      </c>
      <c r="C1286" s="76">
        <v>105.4</v>
      </c>
      <c r="D1286" s="76">
        <v>106.46</v>
      </c>
      <c r="E1286" s="78">
        <f>2443.432/1800.553*100</f>
        <v>135.70453077471197</v>
      </c>
      <c r="F1286" s="76">
        <v>2443.4319999999998</v>
      </c>
      <c r="G1286" s="84">
        <v>-1.7837617161284403E-2</v>
      </c>
      <c r="H1286" s="78">
        <v>98.216238283871562</v>
      </c>
      <c r="I1286" s="78">
        <v>107.3221670510184</v>
      </c>
      <c r="J1286" s="79">
        <f t="shared" si="565"/>
        <v>115.86150290419995</v>
      </c>
      <c r="K1286" s="80">
        <v>166109.7965</v>
      </c>
      <c r="L1286" s="83">
        <f t="shared" si="564"/>
        <v>17.596575516553099</v>
      </c>
    </row>
    <row r="1287" spans="1:12" ht="20.25" customHeight="1" x14ac:dyDescent="0.25">
      <c r="A1287" s="75">
        <v>35698</v>
      </c>
      <c r="B1287" s="76">
        <v>105.9876</v>
      </c>
      <c r="C1287" s="76">
        <v>105.46</v>
      </c>
      <c r="D1287" s="76">
        <v>106.52</v>
      </c>
      <c r="E1287" s="78">
        <f>2317.176/1800.553*100</f>
        <v>128.69246281559052</v>
      </c>
      <c r="F1287" s="76">
        <v>2317.1759999999999</v>
      </c>
      <c r="G1287" s="84">
        <v>-1.8352983621064856E-2</v>
      </c>
      <c r="H1287" s="78">
        <v>98.164701637893515</v>
      </c>
      <c r="I1287" s="78">
        <v>107.21579464558721</v>
      </c>
      <c r="J1287" s="79">
        <f t="shared" si="565"/>
        <v>112.75992747575988</v>
      </c>
      <c r="K1287" s="80">
        <v>166109.7965</v>
      </c>
      <c r="L1287" s="83">
        <f t="shared" si="564"/>
        <v>17.6055786675234</v>
      </c>
    </row>
    <row r="1288" spans="1:12" ht="20.25" customHeight="1" x14ac:dyDescent="0.25">
      <c r="A1288" s="75">
        <v>35691</v>
      </c>
      <c r="B1288" s="76">
        <v>105.95180000000001</v>
      </c>
      <c r="C1288" s="76">
        <v>105.42</v>
      </c>
      <c r="D1288" s="76">
        <v>106.48</v>
      </c>
      <c r="E1288" s="78">
        <f>2317.176/1800.553*100</f>
        <v>128.69246281559052</v>
      </c>
      <c r="F1288" s="76">
        <v>2317.1759999999999</v>
      </c>
      <c r="G1288" s="84">
        <v>-2.2054200085772857E-2</v>
      </c>
      <c r="H1288" s="78">
        <v>97.794579991422708</v>
      </c>
      <c r="I1288" s="78">
        <v>107.15671738581214</v>
      </c>
      <c r="J1288" s="79">
        <f t="shared" si="565"/>
        <v>112.54695011808511</v>
      </c>
      <c r="K1288" s="80">
        <v>166109.7965</v>
      </c>
      <c r="L1288" s="83">
        <f t="shared" si="564"/>
        <v>17.599631936808702</v>
      </c>
    </row>
    <row r="1289" spans="1:12" ht="20.25" customHeight="1" x14ac:dyDescent="0.25">
      <c r="A1289" s="75">
        <v>35684</v>
      </c>
      <c r="B1289" s="76">
        <v>109.15770000000001</v>
      </c>
      <c r="C1289" s="76">
        <v>108.61</v>
      </c>
      <c r="D1289" s="76">
        <v>109.7</v>
      </c>
      <c r="E1289" s="78">
        <f>2317.176/1800.553*100</f>
        <v>128.69246281559052</v>
      </c>
      <c r="F1289" s="76">
        <v>2317.1759999999999</v>
      </c>
      <c r="G1289" s="84">
        <v>-2.2413398314346855E-2</v>
      </c>
      <c r="H1289" s="78">
        <v>97.758660168565314</v>
      </c>
      <c r="I1289" s="78">
        <v>107.07407301061063</v>
      </c>
      <c r="J1289" s="79">
        <f t="shared" si="565"/>
        <v>112.52627714683658</v>
      </c>
      <c r="K1289" s="80">
        <v>166109.7965</v>
      </c>
      <c r="L1289" s="83">
        <f t="shared" si="564"/>
        <v>18.132163333408052</v>
      </c>
    </row>
    <row r="1290" spans="1:12" ht="20.25" customHeight="1" x14ac:dyDescent="0.25">
      <c r="A1290" s="75">
        <v>35677</v>
      </c>
      <c r="B1290" s="76">
        <v>106.49686199999999</v>
      </c>
      <c r="C1290" s="76">
        <v>105.96</v>
      </c>
      <c r="D1290" s="76">
        <v>107.03</v>
      </c>
      <c r="E1290" s="78">
        <f>2317.176/1800.553*100</f>
        <v>128.69246281559052</v>
      </c>
      <c r="F1290" s="76">
        <v>2317.1759999999999</v>
      </c>
      <c r="G1290" s="84">
        <v>-3.0034963909085888E-2</v>
      </c>
      <c r="H1290" s="78">
        <v>96.996503609091405</v>
      </c>
      <c r="I1290" s="78">
        <v>106.99114003023446</v>
      </c>
      <c r="J1290" s="79">
        <f t="shared" si="565"/>
        <v>112.08591583072507</v>
      </c>
      <c r="K1290" s="80">
        <v>166109.7965</v>
      </c>
      <c r="L1290" s="83">
        <f t="shared" si="564"/>
        <v>17.690172074708581</v>
      </c>
    </row>
    <row r="1291" spans="1:12" ht="20.25" customHeight="1" x14ac:dyDescent="0.25">
      <c r="A1291" s="75">
        <v>35670</v>
      </c>
      <c r="B1291" s="76">
        <v>109.51949999999999</v>
      </c>
      <c r="C1291" s="76">
        <v>108.97</v>
      </c>
      <c r="D1291" s="76">
        <v>110.07</v>
      </c>
      <c r="E1291" s="78">
        <f>2482.91/1800.553*100</f>
        <v>137.89707939727404</v>
      </c>
      <c r="F1291" s="76">
        <v>2482.91</v>
      </c>
      <c r="G1291" s="84">
        <v>-2.1697307577426495E-2</v>
      </c>
      <c r="H1291" s="78">
        <v>97.830269242257344</v>
      </c>
      <c r="I1291" s="78">
        <v>106.86082887220772</v>
      </c>
      <c r="J1291" s="79">
        <f t="shared" si="565"/>
        <v>116.46938531015041</v>
      </c>
      <c r="K1291" s="80">
        <v>166109.7965</v>
      </c>
      <c r="L1291" s="83">
        <f t="shared" si="564"/>
        <v>18.192261857781748</v>
      </c>
    </row>
    <row r="1292" spans="1:12" ht="20.25" customHeight="1" x14ac:dyDescent="0.25">
      <c r="A1292" s="75">
        <v>35663</v>
      </c>
      <c r="B1292" s="76">
        <v>107.9246</v>
      </c>
      <c r="C1292" s="76">
        <v>107.39</v>
      </c>
      <c r="D1292" s="76">
        <v>108.46</v>
      </c>
      <c r="E1292" s="78">
        <f>2482.91/1800.553*100</f>
        <v>137.89707939727404</v>
      </c>
      <c r="F1292" s="76">
        <v>2482.91</v>
      </c>
      <c r="G1292" s="84">
        <v>-2.8616137649672413E-2</v>
      </c>
      <c r="H1292" s="78">
        <v>97.138386235032755</v>
      </c>
      <c r="I1292" s="78">
        <v>106.82528636535224</v>
      </c>
      <c r="J1292" s="79">
        <f t="shared" si="565"/>
        <v>116.05607175284698</v>
      </c>
      <c r="K1292" s="80">
        <v>166109.7965</v>
      </c>
      <c r="L1292" s="83">
        <f t="shared" si="564"/>
        <v>17.9273333433439</v>
      </c>
    </row>
    <row r="1293" spans="1:12" ht="20.25" customHeight="1" x14ac:dyDescent="0.25">
      <c r="A1293" s="75">
        <v>35656</v>
      </c>
      <c r="B1293" s="76">
        <v>108.6114</v>
      </c>
      <c r="C1293" s="76">
        <v>108.07</v>
      </c>
      <c r="D1293" s="76">
        <v>109.15</v>
      </c>
      <c r="E1293" s="78">
        <f>2482.91/1800.553*100</f>
        <v>137.89707939727404</v>
      </c>
      <c r="F1293" s="76">
        <v>2482.91</v>
      </c>
      <c r="G1293" s="84">
        <v>-3.0980657498869468E-2</v>
      </c>
      <c r="H1293" s="78">
        <v>96.901934250113058</v>
      </c>
      <c r="I1293" s="78">
        <v>106.74276971823926</v>
      </c>
      <c r="J1293" s="79">
        <f t="shared" si="565"/>
        <v>115.91464914305467</v>
      </c>
      <c r="K1293" s="80">
        <v>164277.45569999999</v>
      </c>
      <c r="L1293" s="83">
        <f t="shared" si="564"/>
        <v>17.842404452014978</v>
      </c>
    </row>
    <row r="1294" spans="1:12" ht="20.25" customHeight="1" x14ac:dyDescent="0.25">
      <c r="A1294" s="75">
        <v>35649</v>
      </c>
      <c r="B1294" s="76">
        <v>106.643</v>
      </c>
      <c r="C1294" s="76">
        <v>106.11</v>
      </c>
      <c r="D1294" s="76">
        <v>107.18</v>
      </c>
      <c r="E1294" s="78">
        <f>2482.91/1800.553*100</f>
        <v>137.89707939727404</v>
      </c>
      <c r="F1294" s="76">
        <v>2482.91</v>
      </c>
      <c r="G1294" s="84">
        <v>-3.7601171080311468E-2</v>
      </c>
      <c r="H1294" s="78">
        <v>96.239882891968847</v>
      </c>
      <c r="I1294" s="78">
        <v>106.65998554707936</v>
      </c>
      <c r="J1294" s="79">
        <f t="shared" si="565"/>
        <v>115.51731700634025</v>
      </c>
      <c r="K1294" s="80">
        <v>164277.45569999999</v>
      </c>
      <c r="L1294" s="83">
        <f t="shared" si="564"/>
        <v>17.519040708215098</v>
      </c>
    </row>
    <row r="1295" spans="1:12" ht="20.25" customHeight="1" x14ac:dyDescent="0.25">
      <c r="A1295" s="75">
        <v>35642</v>
      </c>
      <c r="B1295" s="76">
        <v>106.94</v>
      </c>
      <c r="C1295" s="76">
        <v>106.41</v>
      </c>
      <c r="D1295" s="76">
        <v>107.47</v>
      </c>
      <c r="E1295" s="78">
        <f>2482.91/1800.553*100</f>
        <v>137.89707939727404</v>
      </c>
      <c r="F1295" s="76">
        <v>2482.91</v>
      </c>
      <c r="G1295" s="84">
        <v>-3.0787752414154657E-2</v>
      </c>
      <c r="H1295" s="78">
        <v>96.921224758584529</v>
      </c>
      <c r="I1295" s="78">
        <v>106.57732939269154</v>
      </c>
      <c r="J1295" s="79">
        <f t="shared" si="565"/>
        <v>115.92478404436285</v>
      </c>
      <c r="K1295" s="80">
        <v>164277.45569999999</v>
      </c>
      <c r="L1295" s="83">
        <f t="shared" si="564"/>
        <v>17.567831112558</v>
      </c>
    </row>
    <row r="1296" spans="1:12" ht="20.25" customHeight="1" x14ac:dyDescent="0.25">
      <c r="A1296" s="75">
        <v>35635</v>
      </c>
      <c r="B1296" s="76">
        <v>106.81</v>
      </c>
      <c r="C1296" s="76">
        <v>106.28</v>
      </c>
      <c r="D1296" s="76">
        <v>107.34</v>
      </c>
      <c r="E1296" s="78">
        <f>2373.247/1800.553*100</f>
        <v>131.8065616507817</v>
      </c>
      <c r="F1296" s="76">
        <v>2373.2469999999998</v>
      </c>
      <c r="G1296" s="84">
        <v>-2.4129405559080941E-2</v>
      </c>
      <c r="H1296" s="78">
        <v>97.587059444091906</v>
      </c>
      <c r="I1296" s="78">
        <v>106.49527940880461</v>
      </c>
      <c r="J1296" s="79">
        <f t="shared" si="565"/>
        <v>113.68602095314233</v>
      </c>
      <c r="K1296" s="80">
        <v>163811.64610000001</v>
      </c>
      <c r="L1296" s="83">
        <f t="shared" si="564"/>
        <v>17.496721919940999</v>
      </c>
    </row>
    <row r="1297" spans="1:12" ht="20.25" customHeight="1" x14ac:dyDescent="0.25">
      <c r="A1297" s="75">
        <v>35628</v>
      </c>
      <c r="B1297" s="76">
        <v>106.06180000000001</v>
      </c>
      <c r="C1297" s="76">
        <v>105.53</v>
      </c>
      <c r="D1297" s="76">
        <v>106.59</v>
      </c>
      <c r="E1297" s="78">
        <f>2373.247/1800.553*100</f>
        <v>131.8065616507817</v>
      </c>
      <c r="F1297" s="76">
        <v>2373.2469999999998</v>
      </c>
      <c r="G1297" s="84">
        <v>-1.918091318793258E-2</v>
      </c>
      <c r="H1297" s="78">
        <v>98.081908681206741</v>
      </c>
      <c r="I1297" s="78">
        <v>106.41352357647595</v>
      </c>
      <c r="J1297" s="79">
        <f t="shared" si="565"/>
        <v>113.97353430427964</v>
      </c>
      <c r="K1297" s="80">
        <v>163811.64610000001</v>
      </c>
      <c r="L1297" s="83">
        <f t="shared" si="564"/>
        <v>17.374158046328979</v>
      </c>
    </row>
    <row r="1298" spans="1:12" ht="20.25" customHeight="1" x14ac:dyDescent="0.25">
      <c r="A1298" s="75">
        <v>35621</v>
      </c>
      <c r="B1298" s="76">
        <v>106.6408</v>
      </c>
      <c r="C1298" s="76">
        <v>106.11</v>
      </c>
      <c r="D1298" s="76">
        <v>107.17</v>
      </c>
      <c r="E1298" s="78">
        <f>2373.247/1800.553*100</f>
        <v>131.8065616507817</v>
      </c>
      <c r="F1298" s="76">
        <v>2373.2469999999998</v>
      </c>
      <c r="G1298" s="84">
        <v>-6.7299591952156845E-3</v>
      </c>
      <c r="H1298" s="78">
        <v>99.327004080478432</v>
      </c>
      <c r="I1298" s="78">
        <v>106.33177473650655</v>
      </c>
      <c r="J1298" s="79">
        <f t="shared" si="565"/>
        <v>114.69238697012815</v>
      </c>
      <c r="K1298" s="80">
        <v>163811.64610000001</v>
      </c>
      <c r="L1298" s="83">
        <f t="shared" si="564"/>
        <v>17.469004989420881</v>
      </c>
    </row>
    <row r="1299" spans="1:12" ht="20.25" customHeight="1" x14ac:dyDescent="0.25">
      <c r="A1299" s="75">
        <v>35614</v>
      </c>
      <c r="B1299" s="76">
        <v>105.6643</v>
      </c>
      <c r="C1299" s="76">
        <v>105.14</v>
      </c>
      <c r="D1299" s="76">
        <v>106.19</v>
      </c>
      <c r="E1299" s="78">
        <f>2373.247/1800.553*100</f>
        <v>131.8065616507817</v>
      </c>
      <c r="F1299" s="76">
        <v>2373.2469999999998</v>
      </c>
      <c r="G1299" s="84">
        <v>-7.8294839624992729E-3</v>
      </c>
      <c r="H1299" s="78">
        <v>99.217051603750079</v>
      </c>
      <c r="I1299" s="78">
        <v>106.2503392716776</v>
      </c>
      <c r="J1299" s="79">
        <f t="shared" si="565"/>
        <v>114.62887103173458</v>
      </c>
      <c r="K1299" s="80">
        <v>163811.64610000001</v>
      </c>
      <c r="L1299" s="83">
        <f t="shared" si="564"/>
        <v>17.309042917004231</v>
      </c>
    </row>
    <row r="1300" spans="1:12" ht="20.25" customHeight="1" x14ac:dyDescent="0.25">
      <c r="A1300" s="75">
        <v>35607</v>
      </c>
      <c r="B1300" s="76">
        <v>106.00579999999999</v>
      </c>
      <c r="C1300" s="76">
        <v>105.48</v>
      </c>
      <c r="D1300" s="76">
        <v>106.54</v>
      </c>
      <c r="E1300" s="78">
        <f>2260.155/1800.553*100</f>
        <v>125.52560241214783</v>
      </c>
      <c r="F1300" s="76">
        <v>2260.1550000000002</v>
      </c>
      <c r="G1300" s="84">
        <v>-6.1172676337366561E-3</v>
      </c>
      <c r="H1300" s="78">
        <v>99.388273236626333</v>
      </c>
      <c r="I1300" s="78">
        <v>106.13379411519001</v>
      </c>
      <c r="J1300" s="79">
        <f t="shared" si="565"/>
        <v>111.92506798974634</v>
      </c>
      <c r="K1300" s="80">
        <v>163811.64610000001</v>
      </c>
      <c r="L1300" s="83">
        <f t="shared" si="564"/>
        <v>17.36498459414738</v>
      </c>
    </row>
    <row r="1301" spans="1:12" ht="20.25" customHeight="1" x14ac:dyDescent="0.25">
      <c r="A1301" s="75">
        <v>35600</v>
      </c>
      <c r="B1301" s="76">
        <v>106.795</v>
      </c>
      <c r="C1301" s="76">
        <v>106.26</v>
      </c>
      <c r="D1301" s="76">
        <v>107.33</v>
      </c>
      <c r="E1301" s="78">
        <f>2260.155/1800.553*100</f>
        <v>125.52560241214783</v>
      </c>
      <c r="F1301" s="76">
        <v>2260.1550000000002</v>
      </c>
      <c r="G1301" s="84">
        <v>-7.3278373976033429E-3</v>
      </c>
      <c r="H1301" s="78">
        <v>99.267216260239664</v>
      </c>
      <c r="I1301" s="78">
        <v>106.08730141638081</v>
      </c>
      <c r="J1301" s="79">
        <f t="shared" si="565"/>
        <v>111.85686292606032</v>
      </c>
      <c r="K1301" s="80">
        <v>163811.64610000001</v>
      </c>
      <c r="L1301" s="83">
        <f t="shared" si="564"/>
        <v>17.494264745249502</v>
      </c>
    </row>
    <row r="1302" spans="1:12" ht="20.25" customHeight="1" x14ac:dyDescent="0.25">
      <c r="A1302" s="75">
        <v>35593</v>
      </c>
      <c r="B1302" s="76">
        <v>105.16549999999999</v>
      </c>
      <c r="C1302" s="76">
        <v>104.64</v>
      </c>
      <c r="D1302" s="76">
        <v>105.69</v>
      </c>
      <c r="E1302" s="78">
        <f>2260.155/1800.553*100</f>
        <v>125.52560241214783</v>
      </c>
      <c r="F1302" s="76">
        <v>2260.1550000000002</v>
      </c>
      <c r="G1302" s="84">
        <v>-9.2803602487611103E-3</v>
      </c>
      <c r="H1302" s="78">
        <v>99.071963975123893</v>
      </c>
      <c r="I1302" s="78">
        <v>106.00631501678394</v>
      </c>
      <c r="J1302" s="79">
        <f t="shared" si="565"/>
        <v>111.74674697183343</v>
      </c>
      <c r="K1302" s="80">
        <v>163811.64610000001</v>
      </c>
      <c r="L1302" s="83">
        <f t="shared" si="564"/>
        <v>17.22733366792955</v>
      </c>
    </row>
    <row r="1303" spans="1:12" ht="20.25" customHeight="1" x14ac:dyDescent="0.25">
      <c r="A1303" s="75">
        <v>35586</v>
      </c>
      <c r="B1303" s="76">
        <v>105.4439</v>
      </c>
      <c r="C1303" s="76">
        <v>104.92</v>
      </c>
      <c r="D1303" s="76">
        <v>105.97</v>
      </c>
      <c r="E1303" s="78">
        <f>2260.155/1800.553*100</f>
        <v>125.52560241214783</v>
      </c>
      <c r="F1303" s="76">
        <v>2260.1550000000002</v>
      </c>
      <c r="G1303" s="84">
        <v>-1.4340312207058781E-2</v>
      </c>
      <c r="H1303" s="78">
        <v>98.565968779294124</v>
      </c>
      <c r="I1303" s="78">
        <v>105.92435967103503</v>
      </c>
      <c r="J1303" s="79">
        <f t="shared" si="565"/>
        <v>111.46065150256129</v>
      </c>
      <c r="K1303" s="80">
        <v>163811.64610000001</v>
      </c>
      <c r="L1303" s="83">
        <f t="shared" si="564"/>
        <v>17.272938830203792</v>
      </c>
    </row>
    <row r="1304" spans="1:12" ht="20.25" customHeight="1" x14ac:dyDescent="0.25">
      <c r="A1304" s="75">
        <v>35579</v>
      </c>
      <c r="B1304" s="76">
        <v>104.8462</v>
      </c>
      <c r="C1304" s="76">
        <v>104.32</v>
      </c>
      <c r="D1304" s="76">
        <v>105.37</v>
      </c>
      <c r="E1304" s="78">
        <f>2128.403/1800.553*100</f>
        <v>118.20829489606804</v>
      </c>
      <c r="F1304" s="76">
        <v>2128.4029999999998</v>
      </c>
      <c r="G1304" s="84">
        <v>-1.0107679523590485E-2</v>
      </c>
      <c r="H1304" s="78">
        <v>98.989232047640954</v>
      </c>
      <c r="I1304" s="78">
        <v>105.78349942646126</v>
      </c>
      <c r="J1304" s="79">
        <f t="shared" si="565"/>
        <v>108.33907980269886</v>
      </c>
      <c r="K1304" s="80">
        <v>163811.64610000001</v>
      </c>
      <c r="L1304" s="83">
        <f t="shared" si="564"/>
        <v>17.175028609329821</v>
      </c>
    </row>
    <row r="1305" spans="1:12" ht="20.25" customHeight="1" x14ac:dyDescent="0.25">
      <c r="A1305" s="75">
        <v>35572</v>
      </c>
      <c r="B1305" s="76">
        <v>103.56189999999999</v>
      </c>
      <c r="C1305" s="76">
        <v>103.04</v>
      </c>
      <c r="D1305" s="76">
        <v>104.08</v>
      </c>
      <c r="E1305" s="78">
        <f>2128.403/1800.553*100</f>
        <v>118.20829489606804</v>
      </c>
      <c r="F1305" s="76">
        <v>2128.4029999999998</v>
      </c>
      <c r="G1305" s="84">
        <v>-9.2201595781650214E-3</v>
      </c>
      <c r="H1305" s="78">
        <v>99.077984042183502</v>
      </c>
      <c r="I1305" s="78">
        <v>105.75998525261355</v>
      </c>
      <c r="J1305" s="79">
        <f t="shared" si="565"/>
        <v>108.38762549142623</v>
      </c>
      <c r="K1305" s="80">
        <v>163811.64610000001</v>
      </c>
      <c r="L1305" s="83">
        <f t="shared" si="564"/>
        <v>16.964645312243594</v>
      </c>
    </row>
    <row r="1306" spans="1:12" ht="20.25" customHeight="1" x14ac:dyDescent="0.25">
      <c r="A1306" s="75">
        <v>35565</v>
      </c>
      <c r="B1306" s="76">
        <v>104.1052</v>
      </c>
      <c r="C1306" s="76">
        <v>103.58</v>
      </c>
      <c r="D1306" s="76">
        <v>104.63</v>
      </c>
      <c r="E1306" s="78">
        <f>2128.403/1800.553*100</f>
        <v>118.20829489606804</v>
      </c>
      <c r="F1306" s="76">
        <v>2128.4029999999998</v>
      </c>
      <c r="G1306" s="84">
        <v>-1.1472377182403015E-2</v>
      </c>
      <c r="H1306" s="78">
        <v>98.852762281759695</v>
      </c>
      <c r="I1306" s="78">
        <v>105.67854862474113</v>
      </c>
      <c r="J1306" s="79">
        <f t="shared" si="565"/>
        <v>108.26429320336734</v>
      </c>
      <c r="K1306" s="80">
        <v>163811.64610000001</v>
      </c>
      <c r="L1306" s="83">
        <f t="shared" si="564"/>
        <v>17.053644179569723</v>
      </c>
    </row>
    <row r="1307" spans="1:12" ht="20.25" customHeight="1" x14ac:dyDescent="0.25">
      <c r="A1307" s="75">
        <v>35559</v>
      </c>
      <c r="B1307" s="76">
        <v>103.938</v>
      </c>
      <c r="C1307" s="76">
        <v>103.42</v>
      </c>
      <c r="D1307" s="76">
        <v>104.46</v>
      </c>
      <c r="E1307" s="78">
        <f>2128.403/1800.553*100</f>
        <v>118.20829489606804</v>
      </c>
      <c r="F1307" s="76">
        <v>2128.4029999999998</v>
      </c>
      <c r="G1307" s="84">
        <v>-2.4027126401337529E-2</v>
      </c>
      <c r="H1307" s="78">
        <v>97.597287359866243</v>
      </c>
      <c r="I1307" s="78">
        <v>105.59685852901039</v>
      </c>
      <c r="J1307" s="79">
        <f t="shared" si="565"/>
        <v>107.57239668666347</v>
      </c>
      <c r="K1307" s="80">
        <v>163811.64610000001</v>
      </c>
      <c r="L1307" s="83">
        <f t="shared" si="564"/>
        <v>17.026254872341802</v>
      </c>
    </row>
    <row r="1308" spans="1:12" ht="20.25" customHeight="1" x14ac:dyDescent="0.25">
      <c r="A1308" s="75">
        <v>35552</v>
      </c>
      <c r="B1308" s="76">
        <v>103.3934</v>
      </c>
      <c r="C1308" s="76">
        <v>102.88</v>
      </c>
      <c r="D1308" s="76">
        <v>103.91</v>
      </c>
      <c r="E1308" s="78">
        <f>2128.403/1800.553*100</f>
        <v>118.20829489606804</v>
      </c>
      <c r="F1308" s="76">
        <v>2128.4029999999998</v>
      </c>
      <c r="G1308" s="84">
        <v>-4.0451602269750753E-2</v>
      </c>
      <c r="H1308" s="78">
        <v>95.954839773024929</v>
      </c>
      <c r="I1308" s="78">
        <v>105.52668511639204</v>
      </c>
      <c r="J1308" s="79">
        <f t="shared" si="565"/>
        <v>106.65955720530019</v>
      </c>
      <c r="K1308" s="80">
        <v>163811.64610000001</v>
      </c>
      <c r="L1308" s="83">
        <f t="shared" si="564"/>
        <v>16.93704304987574</v>
      </c>
    </row>
    <row r="1309" spans="1:12" ht="20.25" customHeight="1" x14ac:dyDescent="0.25">
      <c r="A1309" s="75">
        <v>35544</v>
      </c>
      <c r="B1309" s="76">
        <v>103.0712</v>
      </c>
      <c r="C1309" s="76">
        <v>102.56</v>
      </c>
      <c r="D1309" s="76">
        <v>103.59</v>
      </c>
      <c r="E1309" s="78">
        <f>2060.685/1800.553*100</f>
        <v>114.44733923411306</v>
      </c>
      <c r="F1309" s="76">
        <v>2060.6849999999999</v>
      </c>
      <c r="G1309" s="84">
        <v>-3.8520352041099382E-2</v>
      </c>
      <c r="H1309" s="78">
        <v>96.147964795890061</v>
      </c>
      <c r="I1309" s="78">
        <v>105.44504926602639</v>
      </c>
      <c r="J1309" s="79">
        <f t="shared" si="565"/>
        <v>105.03915673306223</v>
      </c>
      <c r="K1309" s="80">
        <v>163811.64610000001</v>
      </c>
      <c r="L1309" s="83">
        <f t="shared" si="564"/>
        <v>16.884262937502321</v>
      </c>
    </row>
    <row r="1310" spans="1:12" ht="20.25" customHeight="1" x14ac:dyDescent="0.25">
      <c r="A1310" s="75">
        <v>35537</v>
      </c>
      <c r="B1310" s="76">
        <v>103.9439</v>
      </c>
      <c r="C1310" s="76">
        <v>103.42</v>
      </c>
      <c r="D1310" s="76">
        <v>104.46</v>
      </c>
      <c r="E1310" s="78">
        <f>2060.685/1800.553*100</f>
        <v>114.44733923411306</v>
      </c>
      <c r="F1310" s="76">
        <v>2060.6849999999999</v>
      </c>
      <c r="G1310" s="84">
        <v>-3.9435404878182645E-2</v>
      </c>
      <c r="H1310" s="78">
        <v>96.056459512181732</v>
      </c>
      <c r="I1310" s="78">
        <v>105.35178857234273</v>
      </c>
      <c r="J1310" s="79">
        <f t="shared" si="565"/>
        <v>104.98914936267029</v>
      </c>
      <c r="K1310" s="80">
        <v>163811.64610000001</v>
      </c>
      <c r="L1310" s="83">
        <f t="shared" si="564"/>
        <v>17.02722136105379</v>
      </c>
    </row>
    <row r="1311" spans="1:12" ht="20.25" customHeight="1" x14ac:dyDescent="0.25">
      <c r="A1311" s="75">
        <v>35530</v>
      </c>
      <c r="B1311" s="76">
        <v>103.9675</v>
      </c>
      <c r="C1311" s="76">
        <v>103.45</v>
      </c>
      <c r="D1311" s="76">
        <v>104.49</v>
      </c>
      <c r="E1311" s="78">
        <f>2060.685/1800.553*100</f>
        <v>114.44733923411306</v>
      </c>
      <c r="F1311" s="76">
        <v>2060.6849999999999</v>
      </c>
      <c r="G1311" s="84">
        <v>-3.9029011363287958E-2</v>
      </c>
      <c r="H1311" s="78">
        <v>96.097098863671206</v>
      </c>
      <c r="I1311" s="78">
        <v>105.2704574677192</v>
      </c>
      <c r="J1311" s="79">
        <f t="shared" si="565"/>
        <v>105.01135395247645</v>
      </c>
      <c r="K1311" s="80">
        <v>163572.38879999999</v>
      </c>
      <c r="L1311" s="83">
        <f t="shared" si="564"/>
        <v>17.006212332564001</v>
      </c>
    </row>
    <row r="1312" spans="1:12" ht="20.25" customHeight="1" x14ac:dyDescent="0.25">
      <c r="A1312" s="75">
        <v>35523</v>
      </c>
      <c r="B1312" s="76">
        <v>104.13849999999999</v>
      </c>
      <c r="C1312" s="76">
        <v>103.62</v>
      </c>
      <c r="D1312" s="76">
        <v>104.66</v>
      </c>
      <c r="E1312" s="78">
        <f>2060.685/1800.553*100</f>
        <v>114.44733923411306</v>
      </c>
      <c r="F1312" s="76">
        <v>2060.6849999999999</v>
      </c>
      <c r="G1312" s="84">
        <v>-2.4891464007376962E-2</v>
      </c>
      <c r="H1312" s="78">
        <v>97.510853599262305</v>
      </c>
      <c r="I1312" s="78">
        <v>105.18931906684865</v>
      </c>
      <c r="J1312" s="79">
        <f t="shared" si="565"/>
        <v>105.77816284153575</v>
      </c>
      <c r="K1312" s="80">
        <v>163572.38879999999</v>
      </c>
      <c r="L1312" s="83">
        <f t="shared" si="564"/>
        <v>17.034183211048799</v>
      </c>
    </row>
    <row r="1313" spans="1:12" ht="20.25" customHeight="1" x14ac:dyDescent="0.25">
      <c r="A1313" s="75">
        <v>35516</v>
      </c>
      <c r="B1313" s="76">
        <v>103.3523</v>
      </c>
      <c r="C1313" s="76">
        <v>102.84</v>
      </c>
      <c r="D1313" s="76">
        <v>103.87</v>
      </c>
      <c r="E1313" s="78">
        <f>2101.899/1800.553*100</f>
        <v>116.73630268034319</v>
      </c>
      <c r="F1313" s="76">
        <v>2101.8989999999999</v>
      </c>
      <c r="G1313" s="84">
        <v>-2.9608779472322433E-2</v>
      </c>
      <c r="H1313" s="78">
        <v>97.039122052767752</v>
      </c>
      <c r="I1313" s="78">
        <v>105.10797562583514</v>
      </c>
      <c r="J1313" s="79">
        <f t="shared" si="565"/>
        <v>106.56389745386467</v>
      </c>
      <c r="K1313" s="80">
        <v>163572.38879999999</v>
      </c>
      <c r="L1313" s="83">
        <f t="shared" si="564"/>
        <v>16.905582598974238</v>
      </c>
    </row>
    <row r="1314" spans="1:12" ht="20.25" customHeight="1" x14ac:dyDescent="0.25">
      <c r="A1314" s="75">
        <v>35509</v>
      </c>
      <c r="B1314" s="76">
        <v>102.9014</v>
      </c>
      <c r="C1314" s="76">
        <v>102.39</v>
      </c>
      <c r="D1314" s="76">
        <v>103.42</v>
      </c>
      <c r="E1314" s="78">
        <f>2101.899/1800.553*100</f>
        <v>116.73630268034319</v>
      </c>
      <c r="F1314" s="76">
        <v>2101.8989999999999</v>
      </c>
      <c r="G1314" s="84">
        <v>-3.2790616838753506E-2</v>
      </c>
      <c r="H1314" s="78">
        <v>96.720938316124645</v>
      </c>
      <c r="I1314" s="78">
        <v>105.02693100177289</v>
      </c>
      <c r="J1314" s="79">
        <f t="shared" si="565"/>
        <v>106.38890319024517</v>
      </c>
      <c r="K1314" s="80">
        <v>163572.38879999999</v>
      </c>
      <c r="L1314" s="83">
        <f t="shared" si="564"/>
        <v>16.831827808864318</v>
      </c>
    </row>
    <row r="1315" spans="1:12" ht="20.25" customHeight="1" x14ac:dyDescent="0.25">
      <c r="A1315" s="75">
        <v>35502</v>
      </c>
      <c r="B1315" s="76">
        <v>103.0895</v>
      </c>
      <c r="C1315" s="76">
        <v>102.57</v>
      </c>
      <c r="D1315" s="76">
        <v>103.6</v>
      </c>
      <c r="E1315" s="78">
        <f>2101.899/1800.553*100</f>
        <v>116.73630268034319</v>
      </c>
      <c r="F1315" s="76">
        <v>2101.8989999999999</v>
      </c>
      <c r="G1315" s="84">
        <v>-3.4491903228229259E-2</v>
      </c>
      <c r="H1315" s="78">
        <v>96.550809677177071</v>
      </c>
      <c r="I1315" s="78">
        <v>104.94643199924631</v>
      </c>
      <c r="J1315" s="79">
        <f t="shared" si="565"/>
        <v>106.29525370713753</v>
      </c>
      <c r="K1315" s="80">
        <v>163572.38879999999</v>
      </c>
      <c r="L1315" s="83">
        <f t="shared" si="564"/>
        <v>16.862595775197597</v>
      </c>
    </row>
    <row r="1316" spans="1:12" ht="20.25" customHeight="1" x14ac:dyDescent="0.25">
      <c r="A1316" s="75">
        <v>35495</v>
      </c>
      <c r="B1316" s="76">
        <v>103.4076</v>
      </c>
      <c r="C1316" s="76">
        <v>102.89</v>
      </c>
      <c r="D1316" s="76">
        <v>103.92</v>
      </c>
      <c r="E1316" s="78">
        <f>2101.899/1800.553*100</f>
        <v>116.73630268034319</v>
      </c>
      <c r="F1316" s="76">
        <v>2101.8989999999999</v>
      </c>
      <c r="G1316" s="84">
        <v>-3.5491543339910669E-2</v>
      </c>
      <c r="H1316" s="78">
        <v>96.450845666008931</v>
      </c>
      <c r="I1316" s="78">
        <v>104.8676000090169</v>
      </c>
      <c r="J1316" s="79">
        <f t="shared" si="565"/>
        <v>106.24019873929383</v>
      </c>
      <c r="K1316" s="80">
        <v>163572.38879999999</v>
      </c>
      <c r="L1316" s="83">
        <f t="shared" si="564"/>
        <v>16.914628152074876</v>
      </c>
    </row>
    <row r="1317" spans="1:12" ht="20.25" customHeight="1" x14ac:dyDescent="0.25">
      <c r="A1317" s="75">
        <v>35488</v>
      </c>
      <c r="B1317" s="76">
        <v>103.0086</v>
      </c>
      <c r="C1317" s="76">
        <v>102.49</v>
      </c>
      <c r="D1317" s="76">
        <v>103.52</v>
      </c>
      <c r="E1317" s="78">
        <f>2077.648/1800.553*100</f>
        <v>115.38943868911385</v>
      </c>
      <c r="F1317" s="76">
        <v>2077.6480000000001</v>
      </c>
      <c r="G1317" s="84">
        <v>-3.0017996186985196E-2</v>
      </c>
      <c r="H1317" s="78">
        <v>96.998200381301487</v>
      </c>
      <c r="I1317" s="78">
        <v>104.78918420258113</v>
      </c>
      <c r="J1317" s="79">
        <f t="shared" si="565"/>
        <v>105.92087924880622</v>
      </c>
      <c r="K1317" s="80">
        <v>163572.38879999999</v>
      </c>
      <c r="L1317" s="83">
        <f t="shared" si="564"/>
        <v>16.849362768943678</v>
      </c>
    </row>
    <row r="1318" spans="1:12" ht="20.25" customHeight="1" x14ac:dyDescent="0.25">
      <c r="A1318" s="75">
        <v>35481</v>
      </c>
      <c r="B1318" s="76">
        <v>103.1674</v>
      </c>
      <c r="C1318" s="76">
        <v>102.65</v>
      </c>
      <c r="D1318" s="76">
        <v>103.68</v>
      </c>
      <c r="E1318" s="78">
        <f>2077.648/1800.553*100</f>
        <v>115.38943868911385</v>
      </c>
      <c r="F1318" s="76">
        <v>2077.6480000000001</v>
      </c>
      <c r="G1318" s="84">
        <v>-3.5234698422588973E-2</v>
      </c>
      <c r="H1318" s="78">
        <v>96.476530157741109</v>
      </c>
      <c r="I1318" s="78">
        <v>104.71133654364932</v>
      </c>
      <c r="J1318" s="79">
        <f t="shared" si="565"/>
        <v>105.63528242381781</v>
      </c>
      <c r="K1318" s="80">
        <v>163572.38879999999</v>
      </c>
      <c r="L1318" s="83">
        <f t="shared" ref="L1318:L1378" si="566">(K1318*B1318)/1000000</f>
        <v>16.875338064285117</v>
      </c>
    </row>
    <row r="1319" spans="1:12" ht="20.25" customHeight="1" x14ac:dyDescent="0.25">
      <c r="A1319" s="75">
        <v>35474</v>
      </c>
      <c r="B1319" s="76">
        <v>103.99720000000001</v>
      </c>
      <c r="C1319" s="76">
        <v>103.48</v>
      </c>
      <c r="D1319" s="76">
        <v>104.52</v>
      </c>
      <c r="E1319" s="78">
        <f>2077.648/1800.553*100</f>
        <v>115.38943868911385</v>
      </c>
      <c r="F1319" s="76">
        <v>2077.6480000000001</v>
      </c>
      <c r="G1319" s="84">
        <v>-3.7653503204677419E-2</v>
      </c>
      <c r="H1319" s="78">
        <v>96.234649679532254</v>
      </c>
      <c r="I1319" s="78">
        <v>104.63483127170998</v>
      </c>
      <c r="J1319" s="79">
        <f t="shared" si="565"/>
        <v>105.50269482485248</v>
      </c>
      <c r="K1319" s="80">
        <v>163572.38879999999</v>
      </c>
      <c r="L1319" s="83">
        <f t="shared" si="566"/>
        <v>17.01107043251136</v>
      </c>
    </row>
    <row r="1320" spans="1:12" ht="20.25" customHeight="1" x14ac:dyDescent="0.25">
      <c r="A1320" s="75">
        <v>35467</v>
      </c>
      <c r="B1320" s="76">
        <v>103.86</v>
      </c>
      <c r="C1320" s="76">
        <v>103.34</v>
      </c>
      <c r="D1320" s="76">
        <v>104.38</v>
      </c>
      <c r="E1320" s="78">
        <f>2077.648/1800.553*100</f>
        <v>115.38943868911385</v>
      </c>
      <c r="F1320" s="76">
        <v>2077.6480000000001</v>
      </c>
      <c r="G1320" s="84">
        <v>-2.94756213982732E-2</v>
      </c>
      <c r="H1320" s="78">
        <v>97.052437860172674</v>
      </c>
      <c r="I1320" s="78">
        <v>104.55866370698912</v>
      </c>
      <c r="J1320" s="79">
        <f t="shared" si="565"/>
        <v>105.94907154846965</v>
      </c>
      <c r="K1320" s="80">
        <v>163572.38879999999</v>
      </c>
      <c r="L1320" s="83">
        <f t="shared" si="566"/>
        <v>16.988628300767999</v>
      </c>
    </row>
    <row r="1321" spans="1:12" ht="20.25" customHeight="1" x14ac:dyDescent="0.25">
      <c r="A1321" s="75">
        <v>35460</v>
      </c>
      <c r="B1321" s="76">
        <v>102.9727</v>
      </c>
      <c r="C1321" s="76">
        <v>102.46</v>
      </c>
      <c r="D1321" s="76">
        <v>103.49</v>
      </c>
      <c r="E1321" s="78">
        <f>2052.559/1800.553*100</f>
        <v>113.99603344083735</v>
      </c>
      <c r="F1321" s="76">
        <v>2052.5590000000002</v>
      </c>
      <c r="G1321" s="84">
        <v>-2.50725606451625E-2</v>
      </c>
      <c r="H1321" s="78">
        <v>97.492743935483745</v>
      </c>
      <c r="I1321" s="78">
        <v>104.48214484851017</v>
      </c>
      <c r="J1321" s="79">
        <f t="shared" si="565"/>
        <v>105.54236496847437</v>
      </c>
      <c r="K1321" s="80">
        <v>163572.38879999999</v>
      </c>
      <c r="L1321" s="83">
        <f t="shared" si="566"/>
        <v>16.843490520185757</v>
      </c>
    </row>
    <row r="1322" spans="1:12" ht="20.25" customHeight="1" x14ac:dyDescent="0.25">
      <c r="A1322" s="75">
        <v>35453</v>
      </c>
      <c r="B1322" s="76">
        <v>102.8734</v>
      </c>
      <c r="C1322" s="76">
        <v>102.36</v>
      </c>
      <c r="D1322" s="76">
        <v>103.39</v>
      </c>
      <c r="E1322" s="78">
        <f>2052.559/1800.553*100</f>
        <v>113.99603344083735</v>
      </c>
      <c r="F1322" s="76">
        <v>2052.5590000000002</v>
      </c>
      <c r="G1322" s="84">
        <v>-2.0529874318264696E-2</v>
      </c>
      <c r="H1322" s="78">
        <v>97.947012568173534</v>
      </c>
      <c r="I1322" s="78">
        <v>104.40538106382304</v>
      </c>
      <c r="J1322" s="79">
        <f t="shared" si="565"/>
        <v>105.78768141116129</v>
      </c>
      <c r="K1322" s="80">
        <v>163572.38879999999</v>
      </c>
      <c r="L1322" s="83">
        <f t="shared" si="566"/>
        <v>16.827247781977917</v>
      </c>
    </row>
    <row r="1323" spans="1:12" ht="20.25" customHeight="1" x14ac:dyDescent="0.25">
      <c r="A1323" s="75">
        <v>35446</v>
      </c>
      <c r="B1323" s="76">
        <v>102.67440000000001</v>
      </c>
      <c r="C1323" s="76">
        <v>102.16</v>
      </c>
      <c r="D1323" s="76">
        <v>103.19</v>
      </c>
      <c r="E1323" s="78">
        <f>2052.559/1800.553*100</f>
        <v>113.99603344083735</v>
      </c>
      <c r="F1323" s="76">
        <v>2052.5590000000002</v>
      </c>
      <c r="G1323" s="84">
        <v>-4.2157516852542321E-3</v>
      </c>
      <c r="H1323" s="78">
        <v>99.578424831474578</v>
      </c>
      <c r="I1323" s="78">
        <v>104.32909154467185</v>
      </c>
      <c r="J1323" s="79">
        <f t="shared" ref="J1323:J1377" si="567">(E1323/E1324)*0.5*J1324+(H1323/H1324)*0.5*J1324</f>
        <v>106.66140847655777</v>
      </c>
      <c r="K1323" s="80">
        <v>163572.38879999999</v>
      </c>
      <c r="L1323" s="83">
        <f t="shared" si="566"/>
        <v>16.794696876606718</v>
      </c>
    </row>
    <row r="1324" spans="1:12" ht="20.25" customHeight="1" x14ac:dyDescent="0.25">
      <c r="A1324" s="75">
        <v>35439</v>
      </c>
      <c r="B1324" s="76">
        <v>102.03440000000001</v>
      </c>
      <c r="C1324" s="76">
        <v>101.52</v>
      </c>
      <c r="D1324" s="76">
        <v>102.54</v>
      </c>
      <c r="E1324" s="78">
        <f>2052.559/1800.553*100</f>
        <v>113.99603344083735</v>
      </c>
      <c r="F1324" s="76">
        <v>2052.5590000000002</v>
      </c>
      <c r="G1324" s="84">
        <v>-9.9509029280053785E-4</v>
      </c>
      <c r="H1324" s="78">
        <v>99.900490970719943</v>
      </c>
      <c r="I1324" s="78">
        <v>104.25245192699319</v>
      </c>
      <c r="J1324" s="79">
        <f t="shared" si="567"/>
        <v>106.83361729319572</v>
      </c>
      <c r="K1324" s="80">
        <v>163572.38879999999</v>
      </c>
      <c r="L1324" s="83">
        <f t="shared" si="566"/>
        <v>16.690010547774719</v>
      </c>
    </row>
    <row r="1325" spans="1:12" ht="20.25" customHeight="1" x14ac:dyDescent="0.25">
      <c r="A1325" s="75">
        <v>35432</v>
      </c>
      <c r="B1325" s="76">
        <v>101.4121</v>
      </c>
      <c r="C1325" s="76">
        <v>100.91</v>
      </c>
      <c r="D1325" s="76">
        <v>101.92</v>
      </c>
      <c r="E1325" s="78">
        <f>2052.559/1800.553*100</f>
        <v>113.99603344083735</v>
      </c>
      <c r="F1325" s="76">
        <v>2052.5590000000002</v>
      </c>
      <c r="G1325" s="84">
        <v>4.7230051529361106E-3</v>
      </c>
      <c r="H1325" s="78">
        <v>100.47230051529361</v>
      </c>
      <c r="I1325" s="78">
        <v>104.17558001586448</v>
      </c>
      <c r="J1325" s="79">
        <f t="shared" si="567"/>
        <v>107.13849143102915</v>
      </c>
      <c r="K1325" s="80">
        <v>163572.38879999999</v>
      </c>
      <c r="L1325" s="83">
        <f t="shared" si="566"/>
        <v>16.588219450224479</v>
      </c>
    </row>
    <row r="1326" spans="1:12" ht="20.25" customHeight="1" x14ac:dyDescent="0.25">
      <c r="A1326" s="75">
        <v>35426</v>
      </c>
      <c r="B1326" s="76">
        <v>101.78360000000001</v>
      </c>
      <c r="C1326" s="76">
        <v>101.27</v>
      </c>
      <c r="D1326" s="76">
        <v>102.29</v>
      </c>
      <c r="E1326" s="78">
        <f>2085.606/1800.553*100</f>
        <v>115.83141401558299</v>
      </c>
      <c r="F1326" s="76">
        <v>2085.6060000000002</v>
      </c>
      <c r="G1326" s="84">
        <v>1.8249672311876353E-4</v>
      </c>
      <c r="H1326" s="78">
        <v>100.01824967231188</v>
      </c>
      <c r="I1326" s="78">
        <v>104.02205300607221</v>
      </c>
      <c r="J1326" s="79">
        <f t="shared" si="567"/>
        <v>107.74756659282305</v>
      </c>
      <c r="K1326" s="80">
        <v>163572.38879999999</v>
      </c>
      <c r="L1326" s="83">
        <f t="shared" si="566"/>
        <v>16.648986592663679</v>
      </c>
    </row>
    <row r="1327" spans="1:12" ht="20.25" customHeight="1" x14ac:dyDescent="0.25">
      <c r="A1327" s="75">
        <v>35418</v>
      </c>
      <c r="B1327" s="76">
        <v>101.2871</v>
      </c>
      <c r="C1327" s="76">
        <v>100.78</v>
      </c>
      <c r="D1327" s="76">
        <v>101.79</v>
      </c>
      <c r="E1327" s="78">
        <f>2085.606/1800.553*100</f>
        <v>115.83141401558299</v>
      </c>
      <c r="F1327" s="76">
        <v>2085.6060000000002</v>
      </c>
      <c r="G1327" s="84">
        <v>7.7501752381481381E-4</v>
      </c>
      <c r="H1327" s="78">
        <v>100.07750175238148</v>
      </c>
      <c r="I1327" s="78">
        <v>103.97828954105648</v>
      </c>
      <c r="J1327" s="79">
        <f t="shared" si="567"/>
        <v>107.77947265478392</v>
      </c>
      <c r="K1327" s="80">
        <v>163572.38879999999</v>
      </c>
      <c r="L1327" s="83">
        <f t="shared" si="566"/>
        <v>16.56777290162448</v>
      </c>
    </row>
    <row r="1328" spans="1:12" ht="20.25" customHeight="1" x14ac:dyDescent="0.25">
      <c r="A1328" s="75">
        <v>35411</v>
      </c>
      <c r="B1328" s="76">
        <v>101.7201</v>
      </c>
      <c r="C1328" s="76">
        <v>101.21</v>
      </c>
      <c r="D1328" s="76">
        <v>102.23</v>
      </c>
      <c r="E1328" s="78">
        <f>2085.606/1800.553*100</f>
        <v>115.83141401558299</v>
      </c>
      <c r="F1328" s="76">
        <v>2085.6060000000002</v>
      </c>
      <c r="G1328" s="84">
        <v>5.3819191710555714E-3</v>
      </c>
      <c r="H1328" s="78">
        <v>100.53819191710556</v>
      </c>
      <c r="I1328" s="78">
        <v>103.89093396783613</v>
      </c>
      <c r="J1328" s="79">
        <f t="shared" si="567"/>
        <v>108.02697544034868</v>
      </c>
      <c r="K1328" s="80">
        <v>163572.38879999999</v>
      </c>
      <c r="L1328" s="83">
        <f t="shared" si="566"/>
        <v>16.638599745974879</v>
      </c>
    </row>
    <row r="1329" spans="1:12" ht="20.25" customHeight="1" x14ac:dyDescent="0.25">
      <c r="A1329" s="75">
        <v>35404</v>
      </c>
      <c r="B1329" s="76">
        <v>102.6597</v>
      </c>
      <c r="C1329" s="76">
        <v>102.15</v>
      </c>
      <c r="D1329" s="76">
        <v>103.17</v>
      </c>
      <c r="E1329" s="78">
        <f>2085.606/1800.553*100</f>
        <v>115.83141401558299</v>
      </c>
      <c r="F1329" s="76">
        <v>2085.6060000000002</v>
      </c>
      <c r="G1329" s="84">
        <v>4.7560127478962766E-3</v>
      </c>
      <c r="H1329" s="78">
        <v>100.47560127478962</v>
      </c>
      <c r="I1329" s="78">
        <v>103.81454237813526</v>
      </c>
      <c r="J1329" s="79">
        <f t="shared" si="567"/>
        <v>107.99333855567079</v>
      </c>
      <c r="K1329" s="80">
        <v>163572.38879999999</v>
      </c>
      <c r="L1329" s="83">
        <f t="shared" si="566"/>
        <v>16.792292362491359</v>
      </c>
    </row>
    <row r="1330" spans="1:12" ht="20.25" customHeight="1" x14ac:dyDescent="0.25">
      <c r="A1330" s="75">
        <v>35397</v>
      </c>
      <c r="B1330" s="76">
        <v>102.6323</v>
      </c>
      <c r="C1330" s="76">
        <v>102.12</v>
      </c>
      <c r="D1330" s="76">
        <v>103.15</v>
      </c>
      <c r="E1330" s="78">
        <f>1974.601/1800.553*100</f>
        <v>109.66636361162377</v>
      </c>
      <c r="F1330" s="76">
        <v>1974.6010000000001</v>
      </c>
      <c r="G1330" s="84">
        <v>6.8436147822654725E-3</v>
      </c>
      <c r="H1330" s="78">
        <v>100.68436147822655</v>
      </c>
      <c r="I1330" s="78">
        <v>103.73873893120147</v>
      </c>
      <c r="J1330" s="79">
        <f t="shared" si="567"/>
        <v>105.14685504696357</v>
      </c>
      <c r="K1330" s="80">
        <v>163572.38879999999</v>
      </c>
      <c r="L1330" s="83">
        <f t="shared" si="566"/>
        <v>16.787810479038239</v>
      </c>
    </row>
    <row r="1331" spans="1:12" ht="20.25" customHeight="1" x14ac:dyDescent="0.25">
      <c r="A1331" s="75">
        <v>35390</v>
      </c>
      <c r="B1331" s="76">
        <v>101.4876</v>
      </c>
      <c r="C1331" s="76">
        <v>100.98</v>
      </c>
      <c r="D1331" s="76">
        <v>102</v>
      </c>
      <c r="E1331" s="78">
        <f>1974.601/1800.553*100</f>
        <v>109.66636361162377</v>
      </c>
      <c r="F1331" s="76">
        <v>1974.6010000000001</v>
      </c>
      <c r="G1331" s="84">
        <v>1.7581602494764592E-2</v>
      </c>
      <c r="H1331" s="78">
        <v>101.75816024947646</v>
      </c>
      <c r="I1331" s="78">
        <v>103.66269203996251</v>
      </c>
      <c r="J1331" s="79">
        <f t="shared" si="567"/>
        <v>105.70457663028827</v>
      </c>
      <c r="K1331" s="80">
        <v>163572.38879999999</v>
      </c>
      <c r="L1331" s="83">
        <f t="shared" si="566"/>
        <v>16.600569165578879</v>
      </c>
    </row>
    <row r="1332" spans="1:12" ht="20.25" customHeight="1" x14ac:dyDescent="0.25">
      <c r="A1332" s="75">
        <v>35383</v>
      </c>
      <c r="B1332" s="76">
        <v>99.885101000000006</v>
      </c>
      <c r="C1332" s="76">
        <v>99.39</v>
      </c>
      <c r="D1332" s="76">
        <v>100.38</v>
      </c>
      <c r="E1332" s="78">
        <f>1974.601/1800.553*100</f>
        <v>109.66636361162377</v>
      </c>
      <c r="F1332" s="76">
        <v>1974.6010000000001</v>
      </c>
      <c r="G1332" s="84">
        <v>1.3655564579044821E-2</v>
      </c>
      <c r="H1332" s="78">
        <v>101.36555645790449</v>
      </c>
      <c r="I1332" s="78">
        <v>103.58671638978734</v>
      </c>
      <c r="J1332" s="79">
        <f t="shared" si="567"/>
        <v>105.50026756070116</v>
      </c>
      <c r="K1332" s="80">
        <v>163572.38879999999</v>
      </c>
      <c r="L1332" s="83">
        <f t="shared" si="566"/>
        <v>16.33844457609927</v>
      </c>
    </row>
    <row r="1333" spans="1:12" ht="20.25" customHeight="1" x14ac:dyDescent="0.25">
      <c r="A1333" s="75">
        <v>35376</v>
      </c>
      <c r="B1333" s="76">
        <v>99.269499999999994</v>
      </c>
      <c r="C1333" s="76">
        <v>98.77</v>
      </c>
      <c r="D1333" s="76">
        <v>99.77</v>
      </c>
      <c r="E1333" s="78">
        <f>1974.601/1800.553*100</f>
        <v>109.66636361162377</v>
      </c>
      <c r="F1333" s="76">
        <v>1974.6010000000001</v>
      </c>
      <c r="G1333" s="84">
        <v>1.1282111203327672E-2</v>
      </c>
      <c r="H1333" s="78">
        <v>101.12821112033276</v>
      </c>
      <c r="I1333" s="78">
        <v>103.5106918731519</v>
      </c>
      <c r="J1333" s="79">
        <f t="shared" si="567"/>
        <v>105.37660945054017</v>
      </c>
      <c r="K1333" s="80">
        <v>163572.38879999999</v>
      </c>
      <c r="L1333" s="83">
        <f t="shared" si="566"/>
        <v>16.237749249981597</v>
      </c>
    </row>
    <row r="1334" spans="1:12" ht="20.25" customHeight="1" x14ac:dyDescent="0.25">
      <c r="A1334" s="75">
        <v>35369</v>
      </c>
      <c r="B1334" s="76">
        <v>97.9405</v>
      </c>
      <c r="C1334" s="76">
        <v>97.45</v>
      </c>
      <c r="D1334" s="76">
        <v>98.43</v>
      </c>
      <c r="E1334" s="78">
        <f>1974.601/1800.553*100</f>
        <v>109.66636361162377</v>
      </c>
      <c r="F1334" s="76">
        <v>1974.6010000000001</v>
      </c>
      <c r="G1334" s="84">
        <v>5.720404241724264E-3</v>
      </c>
      <c r="H1334" s="78">
        <v>100.57204042417243</v>
      </c>
      <c r="I1334" s="78">
        <v>103.43461084977751</v>
      </c>
      <c r="J1334" s="79">
        <f t="shared" si="567"/>
        <v>105.08604272199948</v>
      </c>
      <c r="K1334" s="80">
        <v>163572.38879999999</v>
      </c>
      <c r="L1334" s="83">
        <f t="shared" si="566"/>
        <v>16.0203615452664</v>
      </c>
    </row>
    <row r="1335" spans="1:12" ht="20.25" customHeight="1" x14ac:dyDescent="0.25">
      <c r="A1335" s="75">
        <v>35362</v>
      </c>
      <c r="B1335" s="76">
        <v>97.982578000000004</v>
      </c>
      <c r="C1335" s="76">
        <v>97.49</v>
      </c>
      <c r="D1335" s="76">
        <v>98.47</v>
      </c>
      <c r="E1335" s="78">
        <f>1960.56/1800.553*100</f>
        <v>108.88654763286611</v>
      </c>
      <c r="F1335" s="76">
        <v>1960.56</v>
      </c>
      <c r="G1335" s="84">
        <v>4.3644613324860249E-3</v>
      </c>
      <c r="H1335" s="78">
        <v>100.43644613324861</v>
      </c>
      <c r="I1335" s="78">
        <v>103.35857412927321</v>
      </c>
      <c r="J1335" s="79">
        <f t="shared" si="567"/>
        <v>104.64070340052322</v>
      </c>
      <c r="K1335" s="80">
        <v>163572.38879999999</v>
      </c>
      <c r="L1335" s="83">
        <f t="shared" si="566"/>
        <v>16.027244344242327</v>
      </c>
    </row>
    <row r="1336" spans="1:12" ht="20.25" customHeight="1" x14ac:dyDescent="0.25">
      <c r="A1336" s="75">
        <v>35355</v>
      </c>
      <c r="B1336" s="76">
        <v>98.3309</v>
      </c>
      <c r="C1336" s="76">
        <v>97.84</v>
      </c>
      <c r="D1336" s="76">
        <v>98.82</v>
      </c>
      <c r="E1336" s="78">
        <f>1960.56/1800.553*100</f>
        <v>108.88654763286611</v>
      </c>
      <c r="F1336" s="76">
        <v>1960.56</v>
      </c>
      <c r="G1336" s="84">
        <v>1.0545856803205744E-3</v>
      </c>
      <c r="H1336" s="78">
        <v>100.10545856803206</v>
      </c>
      <c r="I1336" s="78">
        <v>103.28234592182295</v>
      </c>
      <c r="J1336" s="79">
        <f t="shared" si="567"/>
        <v>104.46799749303383</v>
      </c>
      <c r="K1336" s="80">
        <v>163572.38879999999</v>
      </c>
      <c r="L1336" s="83">
        <f t="shared" si="566"/>
        <v>16.084220205853917</v>
      </c>
    </row>
    <row r="1337" spans="1:12" ht="20.25" customHeight="1" x14ac:dyDescent="0.25">
      <c r="A1337" s="75">
        <v>35348</v>
      </c>
      <c r="B1337" s="76">
        <v>98.166899999999998</v>
      </c>
      <c r="C1337" s="76">
        <v>97.68</v>
      </c>
      <c r="D1337" s="76">
        <v>98.66</v>
      </c>
      <c r="E1337" s="78">
        <f>1960.56/1800.553*100</f>
        <v>108.88654763286611</v>
      </c>
      <c r="F1337" s="76">
        <v>1960.56</v>
      </c>
      <c r="G1337" s="84">
        <v>4.3476920757283821E-3</v>
      </c>
      <c r="H1337" s="78">
        <v>100.43476920757284</v>
      </c>
      <c r="I1337" s="78">
        <v>103.20594605764842</v>
      </c>
      <c r="J1337" s="79">
        <f t="shared" si="567"/>
        <v>104.63954623139703</v>
      </c>
      <c r="K1337" s="80">
        <v>163572.38879999999</v>
      </c>
      <c r="L1337" s="83">
        <f t="shared" si="566"/>
        <v>16.05739433409072</v>
      </c>
    </row>
    <row r="1338" spans="1:12" ht="20.25" customHeight="1" x14ac:dyDescent="0.25">
      <c r="A1338" s="75">
        <v>35341</v>
      </c>
      <c r="B1338" s="76">
        <v>97.914699999999996</v>
      </c>
      <c r="C1338" s="76">
        <v>97.43</v>
      </c>
      <c r="D1338" s="76">
        <v>98.4</v>
      </c>
      <c r="E1338" s="78">
        <f>1960.56/1800.553*100</f>
        <v>108.88654763286611</v>
      </c>
      <c r="F1338" s="76">
        <v>1960.56</v>
      </c>
      <c r="G1338" s="84">
        <v>1.3628957653357032E-2</v>
      </c>
      <c r="H1338" s="78">
        <v>101.36289576533571</v>
      </c>
      <c r="I1338" s="78">
        <v>103.12977250754358</v>
      </c>
      <c r="J1338" s="79">
        <f t="shared" si="567"/>
        <v>105.12081414826145</v>
      </c>
      <c r="K1338" s="80">
        <v>163572.38879999999</v>
      </c>
      <c r="L1338" s="83">
        <f t="shared" si="566"/>
        <v>16.016141377635357</v>
      </c>
    </row>
    <row r="1339" spans="1:12" ht="20.25" customHeight="1" x14ac:dyDescent="0.25">
      <c r="A1339" s="75">
        <v>35334</v>
      </c>
      <c r="B1339" s="76">
        <v>97.849500000000006</v>
      </c>
      <c r="C1339" s="76">
        <v>97.36</v>
      </c>
      <c r="D1339" s="76">
        <v>98.34</v>
      </c>
      <c r="E1339" s="78">
        <f>1886.354/1800.553*100</f>
        <v>104.76525822899964</v>
      </c>
      <c r="F1339" s="76">
        <v>1886.354</v>
      </c>
      <c r="G1339" s="84">
        <v>5.7183734904391326E-3</v>
      </c>
      <c r="H1339" s="78">
        <v>100.57183734904392</v>
      </c>
      <c r="I1339" s="78">
        <v>103.05255935115918</v>
      </c>
      <c r="J1339" s="79">
        <f t="shared" si="567"/>
        <v>102.69696414228876</v>
      </c>
      <c r="K1339" s="80">
        <v>163572.38879999999</v>
      </c>
      <c r="L1339" s="83">
        <f t="shared" si="566"/>
        <v>16.005476457885599</v>
      </c>
    </row>
    <row r="1340" spans="1:12" ht="20.25" customHeight="1" x14ac:dyDescent="0.25">
      <c r="A1340" s="75">
        <v>35327</v>
      </c>
      <c r="B1340" s="76">
        <v>97.722700000000003</v>
      </c>
      <c r="C1340" s="76">
        <v>97.23</v>
      </c>
      <c r="D1340" s="76">
        <v>98.21</v>
      </c>
      <c r="E1340" s="78">
        <f>1886.354/1800.553*100</f>
        <v>104.76525822899964</v>
      </c>
      <c r="F1340" s="76">
        <v>1886.354</v>
      </c>
      <c r="G1340" s="84">
        <v>6.8384769367919596E-3</v>
      </c>
      <c r="H1340" s="78">
        <v>100.6838476936792</v>
      </c>
      <c r="I1340" s="78">
        <v>102.97523864405484</v>
      </c>
      <c r="J1340" s="79">
        <f t="shared" si="567"/>
        <v>102.75412089959543</v>
      </c>
      <c r="K1340" s="80">
        <v>163572.38879999999</v>
      </c>
      <c r="L1340" s="83">
        <f t="shared" si="566"/>
        <v>15.984735478985758</v>
      </c>
    </row>
    <row r="1341" spans="1:12" ht="20.25" customHeight="1" x14ac:dyDescent="0.25">
      <c r="A1341" s="75">
        <v>35320</v>
      </c>
      <c r="B1341" s="76">
        <v>97.873199999999997</v>
      </c>
      <c r="C1341" s="76">
        <v>97.38</v>
      </c>
      <c r="D1341" s="76">
        <v>98.36</v>
      </c>
      <c r="E1341" s="78">
        <f>1886.354/1800.553*100</f>
        <v>104.76525822899964</v>
      </c>
      <c r="F1341" s="76">
        <v>1886.354</v>
      </c>
      <c r="G1341" s="84">
        <v>4.5218231796793074E-3</v>
      </c>
      <c r="H1341" s="78">
        <v>100.45218231796792</v>
      </c>
      <c r="I1341" s="78">
        <v>102.89717107484621</v>
      </c>
      <c r="J1341" s="79">
        <f t="shared" si="567"/>
        <v>102.63577028870435</v>
      </c>
      <c r="K1341" s="80">
        <v>163572.38879999999</v>
      </c>
      <c r="L1341" s="83">
        <f t="shared" si="566"/>
        <v>16.009353123500158</v>
      </c>
    </row>
    <row r="1342" spans="1:12" ht="20.25" customHeight="1" x14ac:dyDescent="0.25">
      <c r="A1342" s="75">
        <v>35313</v>
      </c>
      <c r="B1342" s="76">
        <v>99.055700000000002</v>
      </c>
      <c r="C1342" s="76">
        <v>98.56</v>
      </c>
      <c r="D1342" s="76">
        <v>99.55</v>
      </c>
      <c r="E1342" s="78">
        <f>1886.354/1800.553*100</f>
        <v>104.76525822899964</v>
      </c>
      <c r="F1342" s="76">
        <v>1886.354</v>
      </c>
      <c r="G1342" s="84">
        <v>1.068125571711942E-2</v>
      </c>
      <c r="H1342" s="78">
        <v>101.06812557171195</v>
      </c>
      <c r="I1342" s="78">
        <v>102.81833523602397</v>
      </c>
      <c r="J1342" s="79">
        <f t="shared" si="567"/>
        <v>102.94947470372915</v>
      </c>
      <c r="K1342" s="80">
        <v>163572.38879999999</v>
      </c>
      <c r="L1342" s="83">
        <f t="shared" si="566"/>
        <v>16.202777473256159</v>
      </c>
    </row>
    <row r="1343" spans="1:12" ht="20.25" customHeight="1" x14ac:dyDescent="0.25">
      <c r="A1343" s="75">
        <v>35306</v>
      </c>
      <c r="B1343" s="76">
        <v>98.920199999999994</v>
      </c>
      <c r="C1343" s="76">
        <v>98.43</v>
      </c>
      <c r="D1343" s="76">
        <v>99.41</v>
      </c>
      <c r="E1343" s="78">
        <f>1864.566/1800.553*100</f>
        <v>103.55518554577398</v>
      </c>
      <c r="F1343" s="76">
        <v>1864.566</v>
      </c>
      <c r="G1343" s="84">
        <v>1.1970485505828687E-2</v>
      </c>
      <c r="H1343" s="78">
        <v>101.19704855058286</v>
      </c>
      <c r="I1343" s="78">
        <v>102.73872925053118</v>
      </c>
      <c r="J1343" s="79">
        <f t="shared" si="567"/>
        <v>102.41633044943949</v>
      </c>
      <c r="K1343" s="80">
        <v>163572.38879999999</v>
      </c>
      <c r="L1343" s="83">
        <f t="shared" si="566"/>
        <v>16.180613414573756</v>
      </c>
    </row>
    <row r="1344" spans="1:12" ht="20.25" customHeight="1" x14ac:dyDescent="0.25">
      <c r="A1344" s="75">
        <v>35299</v>
      </c>
      <c r="B1344" s="76">
        <v>98.84272</v>
      </c>
      <c r="C1344" s="76">
        <v>98.35</v>
      </c>
      <c r="D1344" s="76">
        <v>99.34</v>
      </c>
      <c r="E1344" s="78">
        <f>1864.566/1800.553*100</f>
        <v>103.55518554577398</v>
      </c>
      <c r="F1344" s="76">
        <v>1864.566</v>
      </c>
      <c r="G1344" s="84">
        <v>7.8154740387510468E-3</v>
      </c>
      <c r="H1344" s="78">
        <v>100.78154740387511</v>
      </c>
      <c r="I1344" s="78">
        <v>102.66022233606481</v>
      </c>
      <c r="J1344" s="79">
        <f t="shared" si="567"/>
        <v>102.20564425003181</v>
      </c>
      <c r="K1344" s="80">
        <v>163572.38879999999</v>
      </c>
      <c r="L1344" s="83">
        <f t="shared" si="566"/>
        <v>16.167939825889537</v>
      </c>
    </row>
    <row r="1345" spans="1:12" ht="20.25" customHeight="1" x14ac:dyDescent="0.25">
      <c r="A1345" s="75">
        <v>35293</v>
      </c>
      <c r="B1345" s="76">
        <v>99.449299999999994</v>
      </c>
      <c r="C1345" s="76">
        <v>98.95</v>
      </c>
      <c r="D1345" s="76">
        <v>99.95</v>
      </c>
      <c r="E1345" s="78">
        <f>1864.566/1800.553*100</f>
        <v>103.55518554577398</v>
      </c>
      <c r="F1345" s="76">
        <v>1864.566</v>
      </c>
      <c r="G1345" s="84">
        <v>8.9032639055515173E-3</v>
      </c>
      <c r="H1345" s="78">
        <v>100.89032639055515</v>
      </c>
      <c r="I1345" s="78">
        <v>102.58152963612284</v>
      </c>
      <c r="J1345" s="79">
        <f t="shared" si="567"/>
        <v>102.26077254435128</v>
      </c>
      <c r="K1345" s="80">
        <v>163322.26370000001</v>
      </c>
      <c r="L1345" s="83">
        <f t="shared" si="566"/>
        <v>16.24228479938041</v>
      </c>
    </row>
    <row r="1346" spans="1:12" ht="20.25" customHeight="1" x14ac:dyDescent="0.25">
      <c r="A1346" s="75">
        <v>35285</v>
      </c>
      <c r="B1346" s="76">
        <v>99.493300000000005</v>
      </c>
      <c r="C1346" s="76">
        <v>99</v>
      </c>
      <c r="D1346" s="76">
        <v>99.99</v>
      </c>
      <c r="E1346" s="78">
        <f>1864.566/1800.553*100</f>
        <v>103.55518554577398</v>
      </c>
      <c r="F1346" s="76">
        <v>1864.566</v>
      </c>
      <c r="G1346" s="84">
        <v>8.9735634760736982E-3</v>
      </c>
      <c r="H1346" s="78">
        <v>100.89735634760737</v>
      </c>
      <c r="I1346" s="78">
        <v>102.5140737466068</v>
      </c>
      <c r="J1346" s="79">
        <f t="shared" si="567"/>
        <v>102.26433514455243</v>
      </c>
      <c r="K1346" s="80">
        <v>161222.1637</v>
      </c>
      <c r="L1346" s="83">
        <f t="shared" si="566"/>
        <v>16.040525099653209</v>
      </c>
    </row>
    <row r="1347" spans="1:12" ht="20.25" customHeight="1" x14ac:dyDescent="0.25">
      <c r="A1347" s="75">
        <v>35278</v>
      </c>
      <c r="B1347" s="76">
        <v>100.0081</v>
      </c>
      <c r="C1347" s="76">
        <v>99.51</v>
      </c>
      <c r="D1347" s="76">
        <v>100.51</v>
      </c>
      <c r="E1347" s="78">
        <f>1864.566/1800.553*100</f>
        <v>103.55518554577398</v>
      </c>
      <c r="F1347" s="76">
        <v>1864.566</v>
      </c>
      <c r="G1347" s="84">
        <v>1.43823507756351E-2</v>
      </c>
      <c r="H1347" s="78">
        <v>101.4382350775635</v>
      </c>
      <c r="I1347" s="78">
        <v>102.43499853590879</v>
      </c>
      <c r="J1347" s="79">
        <f t="shared" si="567"/>
        <v>102.53770575287297</v>
      </c>
      <c r="K1347" s="80">
        <v>161222.1637</v>
      </c>
      <c r="L1347" s="83">
        <f t="shared" si="566"/>
        <v>16.123522269525971</v>
      </c>
    </row>
    <row r="1348" spans="1:12" ht="20.25" customHeight="1" x14ac:dyDescent="0.25">
      <c r="A1348" s="75">
        <v>35271</v>
      </c>
      <c r="B1348" s="76">
        <v>98.962400000000002</v>
      </c>
      <c r="C1348" s="76">
        <v>98.47</v>
      </c>
      <c r="D1348" s="76">
        <v>99.46</v>
      </c>
      <c r="E1348" s="78">
        <f>1932.511/1800.553*100</f>
        <v>107.32874844561641</v>
      </c>
      <c r="F1348" s="76">
        <v>1932.511</v>
      </c>
      <c r="G1348" s="84">
        <v>8.8465747455237498E-3</v>
      </c>
      <c r="H1348" s="78">
        <v>100.88465747455237</v>
      </c>
      <c r="I1348" s="78">
        <v>102.35570466376731</v>
      </c>
      <c r="J1348" s="79">
        <f t="shared" si="567"/>
        <v>104.08184777679051</v>
      </c>
      <c r="K1348" s="80">
        <v>161222.1637</v>
      </c>
      <c r="L1348" s="83">
        <f t="shared" si="566"/>
        <v>15.95493225294488</v>
      </c>
    </row>
    <row r="1349" spans="1:12" ht="20.25" customHeight="1" x14ac:dyDescent="0.25">
      <c r="A1349" s="75">
        <v>35264</v>
      </c>
      <c r="B1349" s="76">
        <v>99.037099999999995</v>
      </c>
      <c r="C1349" s="76">
        <v>98.54</v>
      </c>
      <c r="D1349" s="76">
        <v>99.53</v>
      </c>
      <c r="E1349" s="78">
        <f>1932.511/1800.553*100</f>
        <v>107.32874844561641</v>
      </c>
      <c r="F1349" s="76">
        <v>1932.511</v>
      </c>
      <c r="G1349" s="84">
        <v>4.5067431765599686E-3</v>
      </c>
      <c r="H1349" s="78">
        <v>100.450674317656</v>
      </c>
      <c r="I1349" s="78">
        <v>102.27526246724803</v>
      </c>
      <c r="J1349" s="79">
        <f t="shared" si="567"/>
        <v>103.85749684706698</v>
      </c>
      <c r="K1349" s="80">
        <v>161222.1637</v>
      </c>
      <c r="L1349" s="83">
        <f t="shared" si="566"/>
        <v>15.96697554857327</v>
      </c>
    </row>
    <row r="1350" spans="1:12" ht="20.25" customHeight="1" x14ac:dyDescent="0.25">
      <c r="A1350" s="75">
        <v>35257</v>
      </c>
      <c r="B1350" s="76">
        <v>99.292199999999994</v>
      </c>
      <c r="C1350" s="76">
        <v>98.8</v>
      </c>
      <c r="D1350" s="76">
        <v>99.79</v>
      </c>
      <c r="E1350" s="78">
        <f>1932.511/1800.553*100</f>
        <v>107.32874844561641</v>
      </c>
      <c r="F1350" s="76">
        <v>1932.511</v>
      </c>
      <c r="G1350" s="84">
        <v>-5.2766364019433132E-3</v>
      </c>
      <c r="H1350" s="78">
        <v>99.472336359805666</v>
      </c>
      <c r="I1350" s="78">
        <v>102.19370927081097</v>
      </c>
      <c r="J1350" s="79">
        <f t="shared" si="567"/>
        <v>103.34926254713073</v>
      </c>
      <c r="K1350" s="80">
        <v>160721.1115</v>
      </c>
      <c r="L1350" s="83">
        <f t="shared" si="566"/>
        <v>15.9583527472803</v>
      </c>
    </row>
    <row r="1351" spans="1:12" ht="20.25" customHeight="1" x14ac:dyDescent="0.25">
      <c r="A1351" s="75">
        <v>35250</v>
      </c>
      <c r="B1351" s="76">
        <v>100.2303</v>
      </c>
      <c r="C1351" s="76">
        <v>99.73</v>
      </c>
      <c r="D1351" s="76">
        <v>100.73</v>
      </c>
      <c r="E1351" s="78">
        <f>1932.511/1800.553*100</f>
        <v>107.32874844561641</v>
      </c>
      <c r="F1351" s="76">
        <v>1932.511</v>
      </c>
      <c r="G1351" s="84">
        <v>-6.2380567379352048E-3</v>
      </c>
      <c r="H1351" s="78">
        <v>99.376194326206473</v>
      </c>
      <c r="I1351" s="78">
        <v>102.11265683608643</v>
      </c>
      <c r="J1351" s="79">
        <f t="shared" si="567"/>
        <v>103.29929381848096</v>
      </c>
      <c r="K1351" s="80">
        <v>160721.1115</v>
      </c>
      <c r="L1351" s="83">
        <f t="shared" si="566"/>
        <v>16.109125221978449</v>
      </c>
    </row>
    <row r="1352" spans="1:12" ht="20.25" customHeight="1" x14ac:dyDescent="0.25">
      <c r="A1352" s="75">
        <v>35243</v>
      </c>
      <c r="B1352" s="76">
        <v>99.576499999999996</v>
      </c>
      <c r="C1352" s="76">
        <v>99.08</v>
      </c>
      <c r="D1352" s="76">
        <v>100.07</v>
      </c>
      <c r="E1352" s="78">
        <f>1922.445/1800.553*100</f>
        <v>106.76969797612176</v>
      </c>
      <c r="F1352" s="76">
        <v>1922.4449999999999</v>
      </c>
      <c r="G1352" s="84">
        <v>-4.4566979307346655E-3</v>
      </c>
      <c r="H1352" s="78">
        <v>99.554330206926537</v>
      </c>
      <c r="I1352" s="78">
        <v>102.03327636156585</v>
      </c>
      <c r="J1352" s="79">
        <f t="shared" si="567"/>
        <v>103.12157887235492</v>
      </c>
      <c r="K1352" s="80">
        <v>160721.1115</v>
      </c>
      <c r="L1352" s="83">
        <f t="shared" si="566"/>
        <v>16.004045759279748</v>
      </c>
    </row>
    <row r="1353" spans="1:12" ht="20.25" customHeight="1" x14ac:dyDescent="0.25">
      <c r="A1353" s="75">
        <v>35236</v>
      </c>
      <c r="B1353" s="76">
        <v>100.59350000000001</v>
      </c>
      <c r="C1353" s="76">
        <v>100.09</v>
      </c>
      <c r="D1353" s="76">
        <v>101.1</v>
      </c>
      <c r="E1353" s="78">
        <f>1922.445/1800.553*100</f>
        <v>106.76969797612176</v>
      </c>
      <c r="F1353" s="76">
        <v>1922.4449999999999</v>
      </c>
      <c r="G1353" s="84">
        <v>-3.9018977860553195E-3</v>
      </c>
      <c r="H1353" s="78">
        <v>99.609810221394468</v>
      </c>
      <c r="I1353" s="78">
        <v>101.95364470202068</v>
      </c>
      <c r="J1353" s="79">
        <f t="shared" si="567"/>
        <v>103.15030486025358</v>
      </c>
      <c r="K1353" s="80">
        <v>160721.1115</v>
      </c>
      <c r="L1353" s="83">
        <f t="shared" si="566"/>
        <v>16.167499129675249</v>
      </c>
    </row>
    <row r="1354" spans="1:12" ht="20.25" customHeight="1" x14ac:dyDescent="0.25">
      <c r="A1354" s="75">
        <v>35229</v>
      </c>
      <c r="B1354" s="76">
        <v>100.19589999999999</v>
      </c>
      <c r="C1354" s="76">
        <v>99.7</v>
      </c>
      <c r="D1354" s="76">
        <v>100.7</v>
      </c>
      <c r="E1354" s="78">
        <f>1922.445/1800.553*100</f>
        <v>106.76969797612176</v>
      </c>
      <c r="F1354" s="76">
        <v>1922.4449999999999</v>
      </c>
      <c r="G1354" s="84">
        <v>-9.486517112206716E-3</v>
      </c>
      <c r="H1354" s="78">
        <v>99.051348288779323</v>
      </c>
      <c r="I1354" s="78">
        <v>101.87394557305296</v>
      </c>
      <c r="J1354" s="79">
        <f t="shared" si="567"/>
        <v>102.860336156587</v>
      </c>
      <c r="K1354" s="80">
        <v>160721.1115</v>
      </c>
      <c r="L1354" s="83">
        <f t="shared" si="566"/>
        <v>16.10359641574285</v>
      </c>
    </row>
    <row r="1355" spans="1:12" ht="20.25" customHeight="1" x14ac:dyDescent="0.25">
      <c r="A1355" s="75">
        <v>35222</v>
      </c>
      <c r="B1355" s="76">
        <v>100.1159</v>
      </c>
      <c r="C1355" s="76">
        <v>99.62</v>
      </c>
      <c r="D1355" s="76">
        <v>100.62</v>
      </c>
      <c r="E1355" s="78">
        <f>1922.445/1800.553*100</f>
        <v>106.76969797612176</v>
      </c>
      <c r="F1355" s="76">
        <v>1922.4449999999999</v>
      </c>
      <c r="G1355" s="84">
        <v>-9.4222893739928093E-3</v>
      </c>
      <c r="H1355" s="78">
        <v>99.057771062600722</v>
      </c>
      <c r="I1355" s="78">
        <v>101.79471256110037</v>
      </c>
      <c r="J1355" s="79">
        <f t="shared" si="567"/>
        <v>102.86367092823451</v>
      </c>
      <c r="K1355" s="80">
        <v>160721.1115</v>
      </c>
      <c r="L1355" s="83">
        <f t="shared" si="566"/>
        <v>16.090738726822849</v>
      </c>
    </row>
    <row r="1356" spans="1:12" ht="20.25" customHeight="1" x14ac:dyDescent="0.25">
      <c r="A1356" s="75">
        <v>35215</v>
      </c>
      <c r="B1356" s="76">
        <v>99.601399999999998</v>
      </c>
      <c r="C1356" s="76">
        <v>99.1</v>
      </c>
      <c r="D1356" s="76">
        <v>100.1</v>
      </c>
      <c r="E1356" s="78">
        <f>1920.44/1800.553*100</f>
        <v>106.65834329786459</v>
      </c>
      <c r="F1356" s="76">
        <v>1920.44</v>
      </c>
      <c r="G1356" s="84">
        <v>-7.6706223674500862E-3</v>
      </c>
      <c r="H1356" s="78">
        <v>99.232937763254995</v>
      </c>
      <c r="I1356" s="78">
        <v>101.7170640117166</v>
      </c>
      <c r="J1356" s="79">
        <f t="shared" si="567"/>
        <v>102.90077569609159</v>
      </c>
      <c r="K1356" s="80">
        <v>160221.611</v>
      </c>
      <c r="L1356" s="83">
        <f t="shared" si="566"/>
        <v>15.958296765855399</v>
      </c>
    </row>
    <row r="1357" spans="1:12" ht="20.25" customHeight="1" x14ac:dyDescent="0.25">
      <c r="A1357" s="75">
        <v>35208</v>
      </c>
      <c r="B1357" s="76">
        <v>99.462900000000005</v>
      </c>
      <c r="C1357" s="76">
        <v>98.97</v>
      </c>
      <c r="D1357" s="76">
        <v>99.96</v>
      </c>
      <c r="E1357" s="78">
        <f>1920.44/1800.553*100</f>
        <v>106.65834329786459</v>
      </c>
      <c r="F1357" s="76">
        <v>1920.44</v>
      </c>
      <c r="G1357" s="84">
        <v>-7.9261715862001259E-3</v>
      </c>
      <c r="H1357" s="78">
        <v>99.207382841379982</v>
      </c>
      <c r="I1357" s="78">
        <v>101.6402165520668</v>
      </c>
      <c r="J1357" s="79">
        <f t="shared" si="567"/>
        <v>102.88752424963262</v>
      </c>
      <c r="K1357" s="80">
        <v>160221.611</v>
      </c>
      <c r="L1357" s="83">
        <f t="shared" si="566"/>
        <v>15.936106072731901</v>
      </c>
    </row>
    <row r="1358" spans="1:12" ht="20.25" customHeight="1" x14ac:dyDescent="0.25">
      <c r="A1358" s="75">
        <v>35201</v>
      </c>
      <c r="B1358" s="76">
        <v>99.978399999999993</v>
      </c>
      <c r="C1358" s="76">
        <v>99.48</v>
      </c>
      <c r="D1358" s="76">
        <v>100.48</v>
      </c>
      <c r="E1358" s="78">
        <f>1920.44/1800.553*100</f>
        <v>106.65834329786459</v>
      </c>
      <c r="F1358" s="76">
        <v>1920.44</v>
      </c>
      <c r="G1358" s="84">
        <v>-6.392626596351203E-3</v>
      </c>
      <c r="H1358" s="78">
        <v>99.360737340364878</v>
      </c>
      <c r="I1358" s="78">
        <v>101.56373502069864</v>
      </c>
      <c r="J1358" s="79">
        <f t="shared" si="567"/>
        <v>102.96698446066074</v>
      </c>
      <c r="K1358" s="80">
        <v>160221.611</v>
      </c>
      <c r="L1358" s="83">
        <f t="shared" si="566"/>
        <v>16.018700313202398</v>
      </c>
    </row>
    <row r="1359" spans="1:12" ht="20.25" customHeight="1" x14ac:dyDescent="0.25">
      <c r="A1359" s="75">
        <v>35194</v>
      </c>
      <c r="B1359" s="76">
        <v>100.14870000000001</v>
      </c>
      <c r="C1359" s="76">
        <v>99.65</v>
      </c>
      <c r="D1359" s="76">
        <v>100.65</v>
      </c>
      <c r="E1359" s="78">
        <f>1920.44/1800.553*100</f>
        <v>106.65834329786459</v>
      </c>
      <c r="F1359" s="76">
        <v>1920.44</v>
      </c>
      <c r="G1359" s="84">
        <v>-1.8073255661601451E-3</v>
      </c>
      <c r="H1359" s="78">
        <v>99.819267443383978</v>
      </c>
      <c r="I1359" s="78">
        <v>101.49798078850519</v>
      </c>
      <c r="J1359" s="79">
        <f t="shared" si="567"/>
        <v>103.20402362552858</v>
      </c>
      <c r="K1359" s="80">
        <v>160221.611</v>
      </c>
      <c r="L1359" s="83">
        <f t="shared" si="566"/>
        <v>16.045986053555701</v>
      </c>
    </row>
    <row r="1360" spans="1:12" ht="20.25" customHeight="1" x14ac:dyDescent="0.25">
      <c r="A1360" s="75">
        <v>35187</v>
      </c>
      <c r="B1360" s="76">
        <v>100.747</v>
      </c>
      <c r="C1360" s="76">
        <v>100.24</v>
      </c>
      <c r="D1360" s="76">
        <v>101.25</v>
      </c>
      <c r="E1360" s="78">
        <f>1920.44/1800.553*100</f>
        <v>106.65834329786459</v>
      </c>
      <c r="F1360" s="76">
        <v>1920.44</v>
      </c>
      <c r="G1360" s="84">
        <v>-5.4681553953468409E-3</v>
      </c>
      <c r="H1360" s="78">
        <v>99.453184460465309</v>
      </c>
      <c r="I1360" s="78">
        <v>101.40929538686893</v>
      </c>
      <c r="J1360" s="79">
        <f t="shared" si="567"/>
        <v>103.01442774081355</v>
      </c>
      <c r="K1360" s="80">
        <v>160221.611</v>
      </c>
      <c r="L1360" s="83">
        <f t="shared" si="566"/>
        <v>16.141846643417001</v>
      </c>
    </row>
    <row r="1361" spans="1:12" ht="20.25" customHeight="1" x14ac:dyDescent="0.25">
      <c r="A1361" s="75">
        <v>35180</v>
      </c>
      <c r="B1361" s="76">
        <v>101.4171</v>
      </c>
      <c r="C1361" s="76">
        <v>100.91</v>
      </c>
      <c r="D1361" s="76">
        <v>101.92</v>
      </c>
      <c r="E1361" s="78">
        <f>1875.988/1800.553*100</f>
        <v>104.1895462116361</v>
      </c>
      <c r="F1361" s="76">
        <v>1875.9880000000001</v>
      </c>
      <c r="G1361" s="84">
        <v>-9.3014234791892747E-3</v>
      </c>
      <c r="H1361" s="78">
        <v>99.069857652081069</v>
      </c>
      <c r="I1361" s="78">
        <v>101.33243009816944</v>
      </c>
      <c r="J1361" s="79">
        <f t="shared" si="567"/>
        <v>101.61395849683342</v>
      </c>
      <c r="K1361" s="80">
        <v>160221.611</v>
      </c>
      <c r="L1361" s="83">
        <f t="shared" si="566"/>
        <v>16.249211144948102</v>
      </c>
    </row>
    <row r="1362" spans="1:12" ht="20.25" customHeight="1" x14ac:dyDescent="0.25">
      <c r="A1362" s="75">
        <v>35173</v>
      </c>
      <c r="B1362" s="76">
        <v>100.22199999999999</v>
      </c>
      <c r="C1362" s="76">
        <v>99.72</v>
      </c>
      <c r="D1362" s="76">
        <v>100.72</v>
      </c>
      <c r="E1362" s="78">
        <f>1875.988/1800.553*100</f>
        <v>104.1895462116361</v>
      </c>
      <c r="F1362" s="76">
        <v>1875.9880000000001</v>
      </c>
      <c r="G1362" s="84">
        <v>-9.8592736192428809E-3</v>
      </c>
      <c r="H1362" s="78">
        <v>99.014072638075717</v>
      </c>
      <c r="I1362" s="78">
        <v>101.25600585857993</v>
      </c>
      <c r="J1362" s="79">
        <f t="shared" si="567"/>
        <v>101.58534165704442</v>
      </c>
      <c r="K1362" s="80">
        <v>160221.611</v>
      </c>
      <c r="L1362" s="83">
        <f t="shared" si="566"/>
        <v>16.057730297641999</v>
      </c>
    </row>
    <row r="1363" spans="1:12" ht="20.25" customHeight="1" x14ac:dyDescent="0.25">
      <c r="A1363" s="75">
        <v>35166</v>
      </c>
      <c r="B1363" s="76">
        <v>99.708799999999997</v>
      </c>
      <c r="C1363" s="76">
        <v>99.21</v>
      </c>
      <c r="D1363" s="76">
        <v>100.21</v>
      </c>
      <c r="E1363" s="78">
        <f>1875.988/1800.553*100</f>
        <v>104.1895462116361</v>
      </c>
      <c r="F1363" s="76">
        <v>1875.9880000000001</v>
      </c>
      <c r="G1363" s="84">
        <v>-1.1122231752351275E-2</v>
      </c>
      <c r="H1363" s="78">
        <v>98.88777682476487</v>
      </c>
      <c r="I1363" s="78">
        <v>101.17855999110172</v>
      </c>
      <c r="J1363" s="79">
        <f t="shared" si="567"/>
        <v>101.52051253402279</v>
      </c>
      <c r="K1363" s="80">
        <v>160221.611</v>
      </c>
      <c r="L1363" s="83">
        <f t="shared" si="566"/>
        <v>15.975504566876801</v>
      </c>
    </row>
    <row r="1364" spans="1:12" ht="20.25" customHeight="1" x14ac:dyDescent="0.25">
      <c r="A1364" s="75">
        <v>35159</v>
      </c>
      <c r="B1364" s="76">
        <v>99.332899999999995</v>
      </c>
      <c r="C1364" s="76">
        <v>98.84</v>
      </c>
      <c r="D1364" s="76">
        <v>99.83</v>
      </c>
      <c r="E1364" s="78">
        <f>1875.988/1800.553*100</f>
        <v>104.1895462116361</v>
      </c>
      <c r="F1364" s="76">
        <v>1875.9880000000001</v>
      </c>
      <c r="G1364" s="84">
        <v>-5.318597559983651E-3</v>
      </c>
      <c r="H1364" s="78">
        <v>99.468140244001631</v>
      </c>
      <c r="I1364" s="78">
        <v>101.10043166184425</v>
      </c>
      <c r="J1364" s="79">
        <f t="shared" si="567"/>
        <v>101.81754824965756</v>
      </c>
      <c r="K1364" s="80">
        <v>160221.611</v>
      </c>
      <c r="L1364" s="83">
        <f t="shared" si="566"/>
        <v>15.915277263301899</v>
      </c>
    </row>
    <row r="1365" spans="1:12" ht="20.25" customHeight="1" x14ac:dyDescent="0.25">
      <c r="A1365" s="75">
        <v>35152</v>
      </c>
      <c r="B1365" s="76">
        <v>98.775999999999996</v>
      </c>
      <c r="C1365" s="76">
        <v>98.28</v>
      </c>
      <c r="D1365" s="76">
        <v>99.27</v>
      </c>
      <c r="E1365" s="78">
        <f>1844.949/1800.553*100</f>
        <v>102.46568693062632</v>
      </c>
      <c r="F1365" s="76">
        <v>1844.9490000000001</v>
      </c>
      <c r="G1365" s="84">
        <v>-4.9535719333304584E-3</v>
      </c>
      <c r="H1365" s="78">
        <v>99.504642806666951</v>
      </c>
      <c r="I1365" s="78">
        <v>100.95694198206917</v>
      </c>
      <c r="J1365" s="79">
        <f t="shared" si="567"/>
        <v>100.98658375692298</v>
      </c>
      <c r="K1365" s="80">
        <v>160221.611</v>
      </c>
      <c r="L1365" s="83">
        <f t="shared" si="566"/>
        <v>15.826049848136</v>
      </c>
    </row>
    <row r="1366" spans="1:12" ht="20.25" customHeight="1" x14ac:dyDescent="0.25">
      <c r="A1366" s="75">
        <v>35145</v>
      </c>
      <c r="B1366" s="76">
        <v>99.213999999999999</v>
      </c>
      <c r="C1366" s="76">
        <v>98.72</v>
      </c>
      <c r="D1366" s="76">
        <v>99.71</v>
      </c>
      <c r="E1366" s="78">
        <f>1844.949/1800.553*100</f>
        <v>102.46568693062632</v>
      </c>
      <c r="F1366" s="76">
        <v>1844.9490000000001</v>
      </c>
      <c r="G1366" s="84">
        <v>-5.896592020092295E-3</v>
      </c>
      <c r="H1366" s="78">
        <v>99.41034079799077</v>
      </c>
      <c r="I1366" s="78">
        <v>100.94589561652518</v>
      </c>
      <c r="J1366" s="79">
        <f t="shared" si="567"/>
        <v>100.93870783764808</v>
      </c>
      <c r="K1366" s="80">
        <v>160221.611</v>
      </c>
      <c r="L1366" s="83">
        <f t="shared" si="566"/>
        <v>15.896226913753999</v>
      </c>
    </row>
    <row r="1367" spans="1:12" ht="20.25" customHeight="1" x14ac:dyDescent="0.25">
      <c r="A1367" s="75">
        <v>35138</v>
      </c>
      <c r="B1367" s="76">
        <v>99.405000000000001</v>
      </c>
      <c r="C1367" s="76">
        <v>98.91</v>
      </c>
      <c r="D1367" s="76">
        <v>99.9</v>
      </c>
      <c r="E1367" s="78">
        <f>1844.949/1800.553*100</f>
        <v>102.46568693062632</v>
      </c>
      <c r="F1367" s="76">
        <v>1844.9490000000001</v>
      </c>
      <c r="G1367" s="84">
        <v>-3.9594255882950957E-3</v>
      </c>
      <c r="H1367" s="78">
        <v>99.604057441170497</v>
      </c>
      <c r="I1367" s="78">
        <v>100.86861140604839</v>
      </c>
      <c r="J1367" s="79">
        <f t="shared" si="567"/>
        <v>101.03695956125307</v>
      </c>
      <c r="K1367" s="80">
        <v>157719.359</v>
      </c>
      <c r="L1367" s="83">
        <f t="shared" si="566"/>
        <v>15.678092881394999</v>
      </c>
    </row>
    <row r="1368" spans="1:12" ht="20.25" customHeight="1" x14ac:dyDescent="0.25">
      <c r="A1368" s="75">
        <v>35131</v>
      </c>
      <c r="B1368" s="76">
        <v>99.483999999999995</v>
      </c>
      <c r="C1368" s="76">
        <v>98.99</v>
      </c>
      <c r="D1368" s="76">
        <v>99.98</v>
      </c>
      <c r="E1368" s="78">
        <f>1844.949/1800.553*100</f>
        <v>102.46568693062632</v>
      </c>
      <c r="F1368" s="76">
        <v>1844.9490000000001</v>
      </c>
      <c r="G1368" s="84">
        <v>-5.0128331004833937E-3</v>
      </c>
      <c r="H1368" s="78">
        <v>99.498716689951664</v>
      </c>
      <c r="I1368" s="78">
        <v>100.79175982237929</v>
      </c>
      <c r="J1368" s="79">
        <f t="shared" si="567"/>
        <v>100.98350320301047</v>
      </c>
      <c r="K1368" s="80">
        <v>156719.15900000001</v>
      </c>
      <c r="L1368" s="83">
        <f t="shared" si="566"/>
        <v>15.591048813956</v>
      </c>
    </row>
    <row r="1369" spans="1:12" ht="20.25" customHeight="1" x14ac:dyDescent="0.25">
      <c r="A1369" s="75">
        <v>35124</v>
      </c>
      <c r="B1369" s="76">
        <v>99.84</v>
      </c>
      <c r="C1369" s="76">
        <v>99.34</v>
      </c>
      <c r="D1369" s="76">
        <v>100.34</v>
      </c>
      <c r="E1369" s="78">
        <f>1844.949/1800.553*100</f>
        <v>102.46568693062632</v>
      </c>
      <c r="F1369" s="76">
        <v>1844.9490000000001</v>
      </c>
      <c r="G1369" s="84">
        <v>-4.4870632003757294E-3</v>
      </c>
      <c r="H1369" s="78">
        <v>99.551293679962427</v>
      </c>
      <c r="I1369" s="78">
        <v>100.71638420058162</v>
      </c>
      <c r="J1369" s="79">
        <f t="shared" si="567"/>
        <v>101.01017694509815</v>
      </c>
      <c r="K1369" s="80">
        <v>156719.15900000001</v>
      </c>
      <c r="L1369" s="83">
        <f t="shared" si="566"/>
        <v>15.646840834560001</v>
      </c>
    </row>
    <row r="1370" spans="1:12" ht="20.25" customHeight="1" x14ac:dyDescent="0.25">
      <c r="A1370" s="75">
        <v>35117</v>
      </c>
      <c r="B1370" s="76">
        <v>99.450999999999993</v>
      </c>
      <c r="C1370" s="76">
        <v>98.95</v>
      </c>
      <c r="D1370" s="76">
        <v>99.95</v>
      </c>
      <c r="E1370" s="78">
        <f>1833.446/1800.553*100</f>
        <v>101.82682764683959</v>
      </c>
      <c r="F1370" s="76">
        <v>1833.4459999999999</v>
      </c>
      <c r="G1370" s="84">
        <v>-3.1357057490852824E-3</v>
      </c>
      <c r="H1370" s="78">
        <v>99.686429425091475</v>
      </c>
      <c r="I1370" s="78">
        <v>100.63975405472958</v>
      </c>
      <c r="J1370" s="79">
        <f t="shared" si="567"/>
        <v>100.76238361121864</v>
      </c>
      <c r="K1370" s="80">
        <v>156719.15900000001</v>
      </c>
      <c r="L1370" s="83">
        <f t="shared" si="566"/>
        <v>15.585877081709</v>
      </c>
    </row>
    <row r="1371" spans="1:12" ht="20.25" customHeight="1" x14ac:dyDescent="0.25">
      <c r="A1371" s="75">
        <v>35110</v>
      </c>
      <c r="B1371" s="76">
        <v>99.719899999999996</v>
      </c>
      <c r="C1371" s="76">
        <v>99.22</v>
      </c>
      <c r="D1371" s="76">
        <v>100.22</v>
      </c>
      <c r="E1371" s="78">
        <f>1833.446/1800.553*100</f>
        <v>101.82682764683959</v>
      </c>
      <c r="F1371" s="76">
        <v>1833.4459999999999</v>
      </c>
      <c r="G1371" s="84">
        <v>-1.0990404734711912E-2</v>
      </c>
      <c r="H1371" s="78">
        <v>98.900959526528808</v>
      </c>
      <c r="I1371" s="78">
        <v>100.56356617814508</v>
      </c>
      <c r="J1371" s="79">
        <f t="shared" si="567"/>
        <v>100.36383957651502</v>
      </c>
      <c r="K1371" s="80">
        <v>156220.25659999999</v>
      </c>
      <c r="L1371" s="83">
        <f t="shared" si="566"/>
        <v>15.578268366126338</v>
      </c>
    </row>
    <row r="1372" spans="1:12" ht="20.25" customHeight="1" x14ac:dyDescent="0.25">
      <c r="A1372" s="75">
        <v>35103</v>
      </c>
      <c r="B1372" s="76">
        <v>99.783699999999996</v>
      </c>
      <c r="C1372" s="76">
        <v>99.28</v>
      </c>
      <c r="D1372" s="76">
        <v>100.28</v>
      </c>
      <c r="E1372" s="78">
        <f>1833.446/1800.553*100</f>
        <v>101.82682764683959</v>
      </c>
      <c r="F1372" s="76">
        <v>1833.4459999999999</v>
      </c>
      <c r="G1372" s="84">
        <v>-1.4446492678021894E-2</v>
      </c>
      <c r="H1372" s="78">
        <v>98.555350732197809</v>
      </c>
      <c r="I1372" s="78">
        <v>100.48932407359609</v>
      </c>
      <c r="J1372" s="79">
        <f t="shared" si="567"/>
        <v>100.1881722324579</v>
      </c>
      <c r="K1372" s="80">
        <v>147978.86970000001</v>
      </c>
      <c r="L1372" s="83">
        <f t="shared" si="566"/>
        <v>14.765879140483889</v>
      </c>
    </row>
    <row r="1373" spans="1:12" ht="20.25" customHeight="1" x14ac:dyDescent="0.25">
      <c r="A1373" s="75">
        <v>35096</v>
      </c>
      <c r="B1373" s="76">
        <v>99.393900000000002</v>
      </c>
      <c r="C1373" s="76">
        <v>98.9</v>
      </c>
      <c r="D1373" s="76">
        <v>99.89</v>
      </c>
      <c r="E1373" s="78">
        <f>1833.446/1800.553*100</f>
        <v>101.82682764683959</v>
      </c>
      <c r="F1373" s="76">
        <v>1833.4459999999999</v>
      </c>
      <c r="G1373" s="84">
        <v>-1.8918644110119232E-2</v>
      </c>
      <c r="H1373" s="78">
        <v>98.108135588988077</v>
      </c>
      <c r="I1373" s="78">
        <v>100.41581330740755</v>
      </c>
      <c r="J1373" s="79">
        <f t="shared" si="567"/>
        <v>99.960343118721539</v>
      </c>
      <c r="K1373" s="80">
        <v>147978.86970000001</v>
      </c>
      <c r="L1373" s="83">
        <f t="shared" si="566"/>
        <v>14.708196977074831</v>
      </c>
    </row>
    <row r="1374" spans="1:12" ht="20.25" customHeight="1" x14ac:dyDescent="0.25">
      <c r="A1374" s="75">
        <v>35089</v>
      </c>
      <c r="B1374" s="76">
        <v>98.962900000000005</v>
      </c>
      <c r="C1374" s="76">
        <v>98.47</v>
      </c>
      <c r="D1374" s="76">
        <v>99.46</v>
      </c>
      <c r="E1374" s="78">
        <f>1800.553/1800.553*100</f>
        <v>100</v>
      </c>
      <c r="F1374" s="76">
        <v>1800.5530000000001</v>
      </c>
      <c r="G1374" s="84">
        <v>-1.5750792426908689E-2</v>
      </c>
      <c r="H1374" s="78">
        <v>98.424920757309138</v>
      </c>
      <c r="I1374" s="78">
        <v>100.34199580961405</v>
      </c>
      <c r="J1374" s="79">
        <f t="shared" si="567"/>
        <v>99.213772865325808</v>
      </c>
      <c r="K1374" s="80">
        <v>147978.86970000001</v>
      </c>
      <c r="L1374" s="83">
        <f t="shared" si="566"/>
        <v>14.644418084234131</v>
      </c>
    </row>
    <row r="1375" spans="1:12" ht="20.25" customHeight="1" x14ac:dyDescent="0.25">
      <c r="A1375" s="75">
        <v>35082</v>
      </c>
      <c r="B1375" s="76">
        <v>98.5916</v>
      </c>
      <c r="C1375" s="76">
        <v>98.1</v>
      </c>
      <c r="D1375" s="76">
        <v>99.08</v>
      </c>
      <c r="E1375" s="78">
        <f>1800.553/1800.553*100</f>
        <v>100</v>
      </c>
      <c r="F1375" s="76">
        <v>1800.5530000000001</v>
      </c>
      <c r="G1375" s="84">
        <v>-9.5168653062747133E-3</v>
      </c>
      <c r="H1375" s="78">
        <v>99.04831346937253</v>
      </c>
      <c r="I1375" s="78">
        <v>100.26647615737762</v>
      </c>
      <c r="J1375" s="79">
        <f t="shared" si="567"/>
        <v>99.526975528880513</v>
      </c>
      <c r="K1375" s="80">
        <v>147136.78969999999</v>
      </c>
      <c r="L1375" s="83">
        <f t="shared" si="566"/>
        <v>14.506451515386519</v>
      </c>
    </row>
    <row r="1376" spans="1:12" ht="20.25" customHeight="1" x14ac:dyDescent="0.25">
      <c r="A1376" s="75">
        <v>35075</v>
      </c>
      <c r="B1376" s="76">
        <v>99.299099999999996</v>
      </c>
      <c r="C1376" s="76">
        <v>98.8</v>
      </c>
      <c r="D1376" s="76">
        <v>99.8</v>
      </c>
      <c r="E1376" s="78">
        <f>1800.553/1800.553*100</f>
        <v>100</v>
      </c>
      <c r="F1376" s="76">
        <v>1800.5530000000001</v>
      </c>
      <c r="G1376" s="84">
        <v>9.4654317028020074E-4</v>
      </c>
      <c r="H1376" s="78">
        <v>100.09465431702802</v>
      </c>
      <c r="I1376" s="78">
        <v>100.19055583178667</v>
      </c>
      <c r="J1376" s="79">
        <f t="shared" si="567"/>
        <v>100.04991209599633</v>
      </c>
      <c r="K1376" s="80">
        <v>146635.78769999999</v>
      </c>
      <c r="L1376" s="83">
        <f t="shared" si="566"/>
        <v>14.560801746401069</v>
      </c>
    </row>
    <row r="1377" spans="1:12" ht="20.25" customHeight="1" x14ac:dyDescent="0.25">
      <c r="A1377" s="93">
        <v>35068</v>
      </c>
      <c r="B1377" s="94">
        <v>99.829070999999999</v>
      </c>
      <c r="C1377" s="76">
        <v>99.33</v>
      </c>
      <c r="D1377" s="76">
        <v>100.33</v>
      </c>
      <c r="E1377" s="78">
        <f>1800.553/1800.553*100</f>
        <v>100</v>
      </c>
      <c r="F1377" s="94">
        <v>1800.5530000000001</v>
      </c>
      <c r="G1377" s="84">
        <v>-9.6570281500650695E-3</v>
      </c>
      <c r="H1377" s="95">
        <v>99.034297184993491</v>
      </c>
      <c r="I1377" s="95">
        <v>100.1125684495306</v>
      </c>
      <c r="J1377" s="96">
        <f t="shared" si="567"/>
        <v>99.517148592496739</v>
      </c>
      <c r="K1377" s="106">
        <v>146635.78769999999</v>
      </c>
      <c r="L1377" s="107">
        <f t="shared" si="566"/>
        <v>14.638514461444226</v>
      </c>
    </row>
    <row r="1378" spans="1:12" ht="20.25" customHeight="1" thickBot="1" x14ac:dyDescent="0.3">
      <c r="A1378" s="108">
        <v>35065</v>
      </c>
      <c r="B1378" s="109">
        <v>100</v>
      </c>
      <c r="C1378" s="76">
        <v>100</v>
      </c>
      <c r="D1378" s="76">
        <v>100</v>
      </c>
      <c r="E1378" s="78">
        <f>1800.553/1800.553*100</f>
        <v>100</v>
      </c>
      <c r="F1378" s="109">
        <v>1800.5530000000001</v>
      </c>
      <c r="G1378" s="110">
        <v>0</v>
      </c>
      <c r="H1378" s="111">
        <v>100</v>
      </c>
      <c r="I1378" s="111">
        <v>100</v>
      </c>
      <c r="J1378" s="112">
        <v>100</v>
      </c>
      <c r="K1378" s="113">
        <v>146635.78769999999</v>
      </c>
      <c r="L1378" s="114">
        <f t="shared" si="566"/>
        <v>14.663578769999999</v>
      </c>
    </row>
    <row r="1379" spans="1:12" x14ac:dyDescent="0.2">
      <c r="A1379" s="14"/>
      <c r="B1379" s="97"/>
      <c r="C1379" s="46"/>
      <c r="D1379" s="143"/>
      <c r="E1379" s="98"/>
      <c r="F1379" s="97"/>
      <c r="G1379" s="99"/>
      <c r="J1379" s="67"/>
      <c r="K1379" s="1"/>
      <c r="L1379" s="2"/>
    </row>
    <row r="1380" spans="1:12" x14ac:dyDescent="0.2">
      <c r="A1380" s="14"/>
      <c r="B1380" s="97"/>
      <c r="C1380" s="46"/>
      <c r="D1380" s="97"/>
      <c r="E1380" s="13"/>
      <c r="F1380" s="97"/>
      <c r="G1380" s="99"/>
      <c r="J1380" s="67"/>
      <c r="K1380" s="1"/>
      <c r="L1380" s="2"/>
    </row>
    <row r="1381" spans="1:12" x14ac:dyDescent="0.2">
      <c r="A1381" s="14"/>
      <c r="B1381" s="97"/>
      <c r="C1381" s="46"/>
      <c r="D1381" s="97"/>
      <c r="E1381" s="13"/>
      <c r="F1381" s="97"/>
      <c r="G1381" s="99"/>
      <c r="J1381" s="67"/>
      <c r="K1381" s="1"/>
      <c r="L1381" s="2"/>
    </row>
    <row r="1382" spans="1:12" x14ac:dyDescent="0.2">
      <c r="A1382" s="14"/>
      <c r="B1382" s="97"/>
      <c r="C1382" s="46"/>
      <c r="D1382" s="97"/>
      <c r="E1382" s="13"/>
      <c r="F1382" s="97"/>
      <c r="G1382" s="99"/>
      <c r="J1382" s="67"/>
      <c r="K1382" s="1"/>
      <c r="L1382" s="2"/>
    </row>
    <row r="1383" spans="1:12" x14ac:dyDescent="0.2">
      <c r="A1383" s="14"/>
      <c r="B1383" s="97"/>
      <c r="C1383" s="46"/>
      <c r="D1383" s="97"/>
      <c r="E1383" s="13"/>
      <c r="F1383" s="97"/>
      <c r="G1383" s="99"/>
      <c r="J1383" s="67"/>
      <c r="K1383" s="1"/>
      <c r="L1383" s="2"/>
    </row>
    <row r="1384" spans="1:12" x14ac:dyDescent="0.2">
      <c r="A1384" s="14"/>
      <c r="B1384" s="97"/>
      <c r="C1384" s="46"/>
      <c r="D1384" s="97"/>
      <c r="E1384" s="13"/>
      <c r="F1384" s="97"/>
      <c r="G1384" s="99"/>
      <c r="J1384" s="67"/>
      <c r="K1384" s="1"/>
      <c r="L1384" s="2"/>
    </row>
    <row r="1385" spans="1:12" x14ac:dyDescent="0.2">
      <c r="A1385" s="14"/>
      <c r="B1385" s="97"/>
      <c r="C1385" s="46"/>
      <c r="D1385" s="97"/>
      <c r="E1385" s="13"/>
      <c r="F1385" s="97"/>
      <c r="G1385" s="99"/>
      <c r="J1385" s="67"/>
      <c r="K1385" s="1"/>
      <c r="L1385" s="2"/>
    </row>
    <row r="1386" spans="1:12" x14ac:dyDescent="0.2">
      <c r="A1386" s="14"/>
      <c r="B1386" s="97"/>
      <c r="C1386" s="46"/>
      <c r="D1386" s="97"/>
      <c r="E1386" s="13"/>
      <c r="F1386" s="97"/>
      <c r="G1386" s="99"/>
      <c r="J1386" s="67"/>
      <c r="K1386" s="1"/>
      <c r="L1386" s="2"/>
    </row>
    <row r="1387" spans="1:12" x14ac:dyDescent="0.2">
      <c r="A1387" s="14"/>
      <c r="B1387" s="97"/>
      <c r="C1387" s="46"/>
      <c r="D1387" s="97"/>
      <c r="E1387" s="13"/>
      <c r="F1387" s="97"/>
      <c r="G1387" s="99"/>
      <c r="J1387" s="67"/>
      <c r="K1387" s="1"/>
      <c r="L1387" s="2"/>
    </row>
    <row r="1388" spans="1:12" x14ac:dyDescent="0.2">
      <c r="A1388" s="14"/>
      <c r="B1388" s="97"/>
      <c r="C1388" s="46"/>
      <c r="D1388" s="97"/>
      <c r="E1388" s="13"/>
      <c r="F1388" s="97"/>
      <c r="G1388" s="99"/>
      <c r="J1388" s="67"/>
      <c r="K1388" s="1"/>
      <c r="L1388" s="2"/>
    </row>
    <row r="1389" spans="1:12" x14ac:dyDescent="0.2">
      <c r="A1389" s="14"/>
      <c r="B1389" s="97"/>
      <c r="C1389" s="46"/>
      <c r="D1389" s="97"/>
      <c r="E1389" s="13"/>
      <c r="F1389" s="97"/>
      <c r="G1389" s="99"/>
      <c r="J1389" s="67"/>
      <c r="K1389" s="1"/>
      <c r="L1389" s="2"/>
    </row>
    <row r="1390" spans="1:12" x14ac:dyDescent="0.2">
      <c r="A1390" s="14"/>
      <c r="B1390" s="97"/>
      <c r="C1390" s="46"/>
      <c r="D1390" s="97"/>
      <c r="E1390" s="13"/>
      <c r="F1390" s="97"/>
      <c r="G1390" s="99"/>
      <c r="J1390" s="67"/>
      <c r="K1390" s="1"/>
      <c r="L1390" s="2"/>
    </row>
    <row r="1391" spans="1:12" x14ac:dyDescent="0.2">
      <c r="A1391" s="14"/>
      <c r="B1391" s="97"/>
      <c r="C1391" s="46"/>
      <c r="D1391" s="97"/>
      <c r="E1391" s="13"/>
      <c r="F1391" s="97"/>
      <c r="G1391" s="99"/>
      <c r="J1391" s="67"/>
      <c r="K1391" s="1"/>
      <c r="L1391" s="2"/>
    </row>
    <row r="1392" spans="1:12" x14ac:dyDescent="0.2">
      <c r="A1392" s="14"/>
      <c r="B1392" s="97"/>
      <c r="C1392" s="46"/>
      <c r="D1392" s="97"/>
      <c r="E1392" s="13"/>
      <c r="F1392" s="97"/>
      <c r="G1392" s="99"/>
      <c r="J1392" s="67"/>
      <c r="K1392" s="1"/>
      <c r="L1392" s="2"/>
    </row>
    <row r="1393" spans="1:12" x14ac:dyDescent="0.2">
      <c r="A1393" s="14"/>
      <c r="B1393" s="97"/>
      <c r="C1393" s="46"/>
      <c r="D1393" s="97"/>
      <c r="E1393" s="13"/>
      <c r="F1393" s="97"/>
      <c r="G1393" s="99"/>
      <c r="J1393" s="67"/>
      <c r="K1393" s="1"/>
      <c r="L1393" s="2"/>
    </row>
    <row r="1394" spans="1:12" x14ac:dyDescent="0.2">
      <c r="A1394" s="14"/>
      <c r="B1394" s="97"/>
      <c r="C1394" s="46"/>
      <c r="D1394" s="97"/>
      <c r="E1394" s="13"/>
      <c r="F1394" s="97"/>
      <c r="G1394" s="99"/>
      <c r="J1394" s="67"/>
      <c r="K1394" s="1"/>
      <c r="L1394" s="2"/>
    </row>
    <row r="1395" spans="1:12" x14ac:dyDescent="0.2">
      <c r="A1395" s="14"/>
      <c r="B1395" s="97"/>
      <c r="C1395" s="46"/>
      <c r="D1395" s="97"/>
      <c r="E1395" s="13"/>
      <c r="F1395" s="97"/>
      <c r="G1395" s="99"/>
      <c r="J1395" s="67"/>
      <c r="K1395" s="1"/>
      <c r="L1395" s="2"/>
    </row>
    <row r="1396" spans="1:12" x14ac:dyDescent="0.2">
      <c r="A1396" s="14"/>
      <c r="B1396" s="97"/>
      <c r="C1396" s="46"/>
      <c r="D1396" s="97"/>
      <c r="E1396" s="13"/>
      <c r="F1396" s="97"/>
      <c r="G1396" s="99"/>
      <c r="J1396" s="67"/>
      <c r="K1396" s="1"/>
      <c r="L1396" s="2"/>
    </row>
    <row r="1397" spans="1:12" x14ac:dyDescent="0.2">
      <c r="A1397" s="14"/>
      <c r="B1397" s="97"/>
      <c r="C1397" s="46"/>
      <c r="D1397" s="97"/>
      <c r="E1397" s="13"/>
      <c r="F1397" s="97"/>
      <c r="G1397" s="99"/>
      <c r="J1397" s="67"/>
      <c r="K1397" s="1"/>
      <c r="L1397" s="2"/>
    </row>
    <row r="1398" spans="1:12" x14ac:dyDescent="0.2">
      <c r="A1398" s="14"/>
      <c r="B1398" s="97"/>
      <c r="C1398" s="46"/>
      <c r="D1398" s="97"/>
      <c r="E1398" s="13"/>
      <c r="F1398" s="97"/>
      <c r="G1398" s="99"/>
      <c r="J1398" s="67"/>
      <c r="K1398" s="1"/>
      <c r="L1398" s="2"/>
    </row>
    <row r="1399" spans="1:12" x14ac:dyDescent="0.2">
      <c r="A1399" s="14"/>
      <c r="B1399" s="97"/>
      <c r="C1399" s="46"/>
      <c r="D1399" s="97"/>
      <c r="E1399" s="13"/>
      <c r="F1399" s="97"/>
      <c r="G1399" s="99"/>
      <c r="J1399" s="67"/>
      <c r="K1399" s="1"/>
      <c r="L1399" s="2"/>
    </row>
    <row r="1400" spans="1:12" x14ac:dyDescent="0.2">
      <c r="A1400" s="14"/>
      <c r="B1400" s="97"/>
      <c r="C1400" s="46"/>
      <c r="D1400" s="97"/>
      <c r="E1400" s="13"/>
      <c r="F1400" s="97"/>
      <c r="G1400" s="99"/>
      <c r="J1400" s="67"/>
      <c r="K1400" s="1"/>
      <c r="L1400" s="2"/>
    </row>
    <row r="1401" spans="1:12" x14ac:dyDescent="0.2">
      <c r="A1401" s="14"/>
      <c r="B1401" s="97"/>
      <c r="C1401" s="46"/>
      <c r="D1401" s="97"/>
      <c r="E1401" s="13"/>
      <c r="F1401" s="97"/>
      <c r="G1401" s="99"/>
      <c r="J1401" s="67"/>
      <c r="K1401" s="1"/>
      <c r="L1401" s="2"/>
    </row>
    <row r="1402" spans="1:12" x14ac:dyDescent="0.2">
      <c r="A1402" s="14"/>
      <c r="B1402" s="97"/>
      <c r="C1402" s="46"/>
      <c r="D1402" s="97"/>
      <c r="E1402" s="13"/>
      <c r="F1402" s="97"/>
      <c r="G1402" s="99"/>
      <c r="J1402" s="67"/>
      <c r="K1402" s="1"/>
      <c r="L1402" s="2"/>
    </row>
    <row r="1403" spans="1:12" x14ac:dyDescent="0.2">
      <c r="A1403" s="14"/>
      <c r="B1403" s="97"/>
      <c r="C1403" s="46"/>
      <c r="D1403" s="97"/>
      <c r="E1403" s="13"/>
      <c r="F1403" s="97"/>
      <c r="G1403" s="99"/>
      <c r="J1403" s="67"/>
      <c r="K1403" s="1"/>
      <c r="L1403" s="2"/>
    </row>
    <row r="1404" spans="1:12" x14ac:dyDescent="0.2">
      <c r="A1404" s="14"/>
      <c r="B1404" s="97"/>
      <c r="C1404" s="46"/>
      <c r="D1404" s="97"/>
      <c r="E1404" s="13"/>
      <c r="F1404" s="97"/>
      <c r="G1404" s="99"/>
      <c r="J1404" s="100"/>
      <c r="K1404" s="1"/>
      <c r="L1404" s="2"/>
    </row>
    <row r="1405" spans="1:12" x14ac:dyDescent="0.2">
      <c r="A1405" s="14"/>
      <c r="B1405" s="97"/>
      <c r="C1405" s="46"/>
      <c r="D1405" s="97"/>
      <c r="E1405" s="13"/>
      <c r="F1405" s="97"/>
      <c r="G1405" s="99"/>
      <c r="J1405" s="100"/>
      <c r="K1405" s="1"/>
      <c r="L1405" s="2"/>
    </row>
    <row r="1406" spans="1:12" x14ac:dyDescent="0.2">
      <c r="A1406" s="14"/>
      <c r="B1406" s="97"/>
      <c r="C1406" s="46"/>
      <c r="D1406" s="97"/>
      <c r="E1406" s="13"/>
      <c r="F1406" s="97"/>
      <c r="G1406" s="99"/>
      <c r="J1406" s="100"/>
      <c r="K1406" s="1"/>
      <c r="L1406" s="2"/>
    </row>
    <row r="1407" spans="1:12" x14ac:dyDescent="0.2">
      <c r="A1407" s="14"/>
      <c r="B1407" s="97"/>
      <c r="C1407" s="46"/>
      <c r="D1407" s="97"/>
      <c r="E1407" s="13"/>
      <c r="F1407" s="97"/>
      <c r="G1407" s="99"/>
      <c r="J1407" s="100"/>
      <c r="K1407" s="1"/>
      <c r="L1407" s="2"/>
    </row>
    <row r="1408" spans="1:12" x14ac:dyDescent="0.2">
      <c r="A1408" s="14"/>
      <c r="B1408" s="97"/>
      <c r="C1408" s="46"/>
      <c r="D1408" s="97"/>
      <c r="E1408" s="13"/>
      <c r="F1408" s="97"/>
      <c r="G1408" s="99"/>
      <c r="J1408" s="100"/>
      <c r="K1408" s="1"/>
      <c r="L1408" s="2"/>
    </row>
    <row r="1409" spans="1:12" x14ac:dyDescent="0.2">
      <c r="A1409" s="14"/>
      <c r="B1409" s="97"/>
      <c r="C1409" s="46"/>
      <c r="D1409" s="97"/>
      <c r="E1409" s="13"/>
      <c r="F1409" s="97"/>
      <c r="G1409" s="99"/>
      <c r="J1409" s="100"/>
      <c r="K1409" s="1"/>
      <c r="L1409" s="2"/>
    </row>
    <row r="1410" spans="1:12" x14ac:dyDescent="0.2">
      <c r="A1410" s="14"/>
      <c r="B1410" s="97"/>
      <c r="C1410" s="46"/>
      <c r="D1410" s="97"/>
      <c r="E1410" s="13"/>
      <c r="F1410" s="97"/>
      <c r="G1410" s="99"/>
      <c r="J1410" s="100"/>
      <c r="K1410" s="1"/>
      <c r="L1410" s="2"/>
    </row>
    <row r="1411" spans="1:12" x14ac:dyDescent="0.2">
      <c r="A1411" s="14"/>
      <c r="B1411" s="97"/>
      <c r="C1411" s="46"/>
      <c r="D1411" s="97"/>
      <c r="E1411" s="13"/>
      <c r="F1411" s="97"/>
      <c r="G1411" s="99"/>
      <c r="J1411" s="100"/>
      <c r="K1411" s="1"/>
      <c r="L1411" s="2"/>
    </row>
    <row r="1412" spans="1:12" x14ac:dyDescent="0.2">
      <c r="A1412" s="14"/>
      <c r="B1412" s="97"/>
      <c r="C1412" s="46"/>
      <c r="D1412" s="97"/>
      <c r="E1412" s="13"/>
      <c r="F1412" s="97"/>
      <c r="G1412" s="99"/>
      <c r="J1412" s="100"/>
      <c r="K1412" s="1"/>
      <c r="L1412" s="2"/>
    </row>
    <row r="1413" spans="1:12" x14ac:dyDescent="0.2">
      <c r="A1413" s="14"/>
      <c r="B1413" s="97"/>
      <c r="C1413" s="46"/>
      <c r="D1413" s="97"/>
      <c r="E1413" s="13"/>
      <c r="F1413" s="97"/>
      <c r="G1413" s="99"/>
      <c r="J1413" s="100"/>
      <c r="K1413" s="1"/>
      <c r="L1413" s="2"/>
    </row>
    <row r="1414" spans="1:12" x14ac:dyDescent="0.2">
      <c r="A1414" s="14"/>
      <c r="B1414" s="97"/>
      <c r="C1414" s="46"/>
      <c r="D1414" s="97"/>
      <c r="E1414" s="13"/>
      <c r="F1414" s="97"/>
      <c r="G1414" s="99"/>
      <c r="J1414" s="100"/>
      <c r="K1414" s="1"/>
      <c r="L1414" s="2"/>
    </row>
    <row r="1415" spans="1:12" x14ac:dyDescent="0.2">
      <c r="A1415" s="14"/>
      <c r="B1415" s="97"/>
      <c r="C1415" s="46"/>
      <c r="D1415" s="97"/>
      <c r="E1415" s="13"/>
      <c r="F1415" s="97"/>
      <c r="G1415" s="99"/>
      <c r="J1415" s="100"/>
      <c r="K1415" s="1"/>
      <c r="L1415" s="2"/>
    </row>
    <row r="1416" spans="1:12" x14ac:dyDescent="0.2">
      <c r="A1416" s="14"/>
      <c r="B1416" s="97"/>
      <c r="C1416" s="46"/>
      <c r="D1416" s="97"/>
      <c r="E1416" s="13"/>
      <c r="F1416" s="97"/>
      <c r="G1416" s="99"/>
      <c r="J1416" s="100"/>
      <c r="K1416" s="1"/>
      <c r="L1416" s="2"/>
    </row>
    <row r="1417" spans="1:12" x14ac:dyDescent="0.2">
      <c r="A1417" s="14"/>
      <c r="B1417" s="97"/>
      <c r="C1417" s="46"/>
      <c r="D1417" s="97"/>
      <c r="E1417" s="13"/>
      <c r="F1417" s="97"/>
      <c r="G1417" s="99"/>
      <c r="J1417" s="100"/>
      <c r="K1417" s="1"/>
      <c r="L1417" s="2"/>
    </row>
    <row r="1418" spans="1:12" x14ac:dyDescent="0.2">
      <c r="A1418" s="14"/>
      <c r="B1418" s="97"/>
      <c r="C1418" s="46"/>
      <c r="D1418" s="97"/>
      <c r="E1418" s="13"/>
      <c r="F1418" s="97"/>
      <c r="G1418" s="99"/>
      <c r="J1418" s="100"/>
      <c r="K1418" s="1"/>
      <c r="L1418" s="2"/>
    </row>
    <row r="1419" spans="1:12" x14ac:dyDescent="0.2">
      <c r="A1419" s="14"/>
      <c r="B1419" s="97"/>
      <c r="C1419" s="46"/>
      <c r="D1419" s="97"/>
      <c r="E1419" s="13"/>
      <c r="F1419" s="97"/>
      <c r="G1419" s="99"/>
      <c r="J1419" s="100"/>
      <c r="K1419" s="1"/>
      <c r="L1419" s="2"/>
    </row>
    <row r="1420" spans="1:12" x14ac:dyDescent="0.2">
      <c r="A1420" s="14"/>
      <c r="B1420" s="97"/>
      <c r="C1420" s="46"/>
      <c r="D1420" s="97"/>
      <c r="E1420" s="13"/>
      <c r="F1420" s="97"/>
      <c r="G1420" s="99"/>
      <c r="J1420" s="100"/>
      <c r="K1420" s="1"/>
      <c r="L1420" s="2"/>
    </row>
    <row r="1421" spans="1:12" x14ac:dyDescent="0.2">
      <c r="A1421" s="14"/>
      <c r="B1421" s="97"/>
      <c r="C1421" s="46"/>
      <c r="D1421" s="97"/>
      <c r="E1421" s="13"/>
      <c r="F1421" s="97"/>
      <c r="G1421" s="99"/>
      <c r="J1421" s="100"/>
      <c r="K1421" s="1"/>
      <c r="L1421" s="2"/>
    </row>
    <row r="1422" spans="1:12" x14ac:dyDescent="0.2">
      <c r="A1422" s="14"/>
      <c r="B1422" s="97"/>
      <c r="C1422" s="46"/>
      <c r="D1422" s="97"/>
      <c r="E1422" s="13"/>
      <c r="F1422" s="97"/>
      <c r="G1422" s="99"/>
      <c r="J1422" s="100"/>
      <c r="K1422" s="1"/>
      <c r="L1422" s="2"/>
    </row>
    <row r="1423" spans="1:12" x14ac:dyDescent="0.2">
      <c r="A1423" s="14"/>
      <c r="B1423" s="97"/>
      <c r="C1423" s="46"/>
      <c r="D1423" s="97"/>
      <c r="E1423" s="13"/>
      <c r="F1423" s="97"/>
      <c r="G1423" s="99"/>
      <c r="J1423" s="100"/>
      <c r="K1423" s="1"/>
      <c r="L1423" s="2"/>
    </row>
    <row r="1424" spans="1:12" x14ac:dyDescent="0.2">
      <c r="A1424" s="14"/>
      <c r="B1424" s="97"/>
      <c r="C1424" s="46"/>
      <c r="D1424" s="97"/>
      <c r="E1424" s="13"/>
      <c r="F1424" s="97"/>
      <c r="G1424" s="99"/>
      <c r="J1424" s="100"/>
      <c r="K1424" s="1"/>
      <c r="L1424" s="2"/>
    </row>
    <row r="1425" spans="1:12" x14ac:dyDescent="0.2">
      <c r="A1425" s="14"/>
      <c r="B1425" s="97"/>
      <c r="C1425" s="46"/>
      <c r="D1425" s="97"/>
      <c r="E1425" s="13"/>
      <c r="F1425" s="97"/>
      <c r="G1425" s="99"/>
      <c r="J1425" s="100"/>
      <c r="K1425" s="1"/>
      <c r="L1425" s="2"/>
    </row>
    <row r="1426" spans="1:12" x14ac:dyDescent="0.2">
      <c r="A1426" s="14"/>
      <c r="B1426" s="97"/>
      <c r="C1426" s="46"/>
      <c r="D1426" s="97"/>
      <c r="E1426" s="13"/>
      <c r="F1426" s="97"/>
      <c r="G1426" s="99"/>
      <c r="J1426" s="100"/>
      <c r="K1426" s="1"/>
      <c r="L1426" s="2"/>
    </row>
    <row r="1427" spans="1:12" x14ac:dyDescent="0.2">
      <c r="A1427" s="14"/>
      <c r="B1427" s="97"/>
      <c r="C1427" s="46"/>
      <c r="D1427" s="97"/>
      <c r="E1427" s="13"/>
      <c r="F1427" s="97"/>
      <c r="G1427" s="99"/>
      <c r="J1427" s="100"/>
      <c r="K1427" s="1"/>
      <c r="L1427" s="2"/>
    </row>
    <row r="1428" spans="1:12" x14ac:dyDescent="0.2">
      <c r="A1428" s="14"/>
      <c r="B1428" s="97"/>
      <c r="C1428" s="46"/>
      <c r="D1428" s="97"/>
      <c r="E1428" s="13"/>
      <c r="F1428" s="97"/>
      <c r="G1428" s="99"/>
      <c r="J1428" s="100"/>
      <c r="K1428" s="1"/>
      <c r="L1428" s="2"/>
    </row>
    <row r="1429" spans="1:12" x14ac:dyDescent="0.2">
      <c r="A1429" s="14"/>
      <c r="B1429" s="97"/>
      <c r="C1429" s="46"/>
      <c r="D1429" s="97"/>
      <c r="E1429" s="13"/>
      <c r="F1429" s="97"/>
      <c r="G1429" s="99"/>
      <c r="J1429" s="100"/>
      <c r="K1429" s="1"/>
      <c r="L1429" s="2"/>
    </row>
    <row r="1430" spans="1:12" x14ac:dyDescent="0.2">
      <c r="A1430" s="14"/>
      <c r="B1430" s="97"/>
      <c r="C1430" s="46"/>
      <c r="D1430" s="97"/>
      <c r="E1430" s="13"/>
      <c r="F1430" s="97"/>
      <c r="G1430" s="99"/>
      <c r="J1430" s="100"/>
      <c r="K1430" s="1"/>
      <c r="L1430" s="2"/>
    </row>
    <row r="1431" spans="1:12" x14ac:dyDescent="0.2">
      <c r="A1431" s="14"/>
      <c r="B1431" s="97"/>
      <c r="C1431" s="46"/>
      <c r="D1431" s="97"/>
      <c r="E1431" s="13"/>
      <c r="F1431" s="97"/>
      <c r="G1431" s="99"/>
      <c r="J1431" s="100"/>
      <c r="K1431" s="1"/>
      <c r="L1431" s="2"/>
    </row>
    <row r="1432" spans="1:12" x14ac:dyDescent="0.2">
      <c r="A1432" s="14"/>
      <c r="B1432" s="97"/>
      <c r="C1432" s="46"/>
      <c r="D1432" s="97"/>
      <c r="E1432" s="13"/>
      <c r="F1432" s="97"/>
      <c r="G1432" s="99"/>
      <c r="J1432" s="100"/>
      <c r="K1432" s="1"/>
      <c r="L1432" s="2"/>
    </row>
    <row r="1433" spans="1:12" x14ac:dyDescent="0.2">
      <c r="A1433" s="14"/>
      <c r="B1433" s="97"/>
      <c r="C1433" s="46"/>
      <c r="D1433" s="97"/>
      <c r="E1433" s="13"/>
      <c r="F1433" s="97"/>
      <c r="G1433" s="99"/>
      <c r="J1433" s="100"/>
      <c r="K1433" s="1"/>
      <c r="L1433" s="2"/>
    </row>
    <row r="1434" spans="1:12" x14ac:dyDescent="0.2">
      <c r="A1434" s="14"/>
      <c r="B1434" s="97"/>
      <c r="C1434" s="46"/>
      <c r="D1434" s="97"/>
      <c r="E1434" s="13"/>
      <c r="F1434" s="97"/>
      <c r="G1434" s="99"/>
      <c r="J1434" s="100"/>
      <c r="K1434" s="1"/>
      <c r="L1434" s="2"/>
    </row>
    <row r="1435" spans="1:12" x14ac:dyDescent="0.2">
      <c r="A1435" s="14"/>
      <c r="B1435" s="97"/>
      <c r="C1435" s="46"/>
      <c r="D1435" s="97"/>
      <c r="E1435" s="13"/>
      <c r="F1435" s="97"/>
      <c r="G1435" s="99"/>
      <c r="J1435" s="100"/>
      <c r="K1435" s="1"/>
      <c r="L1435" s="2"/>
    </row>
    <row r="1436" spans="1:12" x14ac:dyDescent="0.2">
      <c r="A1436" s="14"/>
      <c r="B1436" s="97"/>
      <c r="C1436" s="46"/>
      <c r="D1436" s="97"/>
      <c r="E1436" s="13"/>
      <c r="F1436" s="97"/>
      <c r="G1436" s="99"/>
      <c r="J1436" s="100"/>
      <c r="K1436" s="1"/>
      <c r="L1436" s="2"/>
    </row>
    <row r="1437" spans="1:12" x14ac:dyDescent="0.2">
      <c r="A1437" s="14"/>
      <c r="B1437" s="97"/>
      <c r="C1437" s="46"/>
      <c r="D1437" s="97"/>
      <c r="E1437" s="13"/>
      <c r="F1437" s="97"/>
      <c r="G1437" s="99"/>
      <c r="J1437" s="100"/>
      <c r="K1437" s="1"/>
      <c r="L1437" s="2"/>
    </row>
    <row r="1438" spans="1:12" x14ac:dyDescent="0.2">
      <c r="A1438" s="14"/>
      <c r="B1438" s="97"/>
      <c r="C1438" s="46"/>
      <c r="D1438" s="97"/>
      <c r="E1438" s="13"/>
      <c r="F1438" s="97"/>
      <c r="G1438" s="99"/>
      <c r="J1438" s="100"/>
      <c r="K1438" s="1"/>
      <c r="L1438" s="2"/>
    </row>
    <row r="1439" spans="1:12" x14ac:dyDescent="0.2">
      <c r="A1439" s="14"/>
      <c r="B1439" s="97"/>
      <c r="C1439" s="46"/>
      <c r="D1439" s="97"/>
      <c r="E1439" s="13"/>
      <c r="F1439" s="97"/>
      <c r="G1439" s="99"/>
      <c r="J1439" s="100"/>
      <c r="K1439" s="1"/>
      <c r="L1439" s="2"/>
    </row>
    <row r="1440" spans="1:12" x14ac:dyDescent="0.2">
      <c r="A1440" s="14"/>
      <c r="B1440" s="97"/>
      <c r="C1440" s="46"/>
      <c r="D1440" s="97"/>
      <c r="E1440" s="13"/>
      <c r="F1440" s="97"/>
      <c r="G1440" s="99"/>
      <c r="J1440" s="100"/>
      <c r="K1440" s="1"/>
      <c r="L1440" s="2"/>
    </row>
    <row r="1441" spans="1:12" x14ac:dyDescent="0.2">
      <c r="A1441" s="14"/>
      <c r="B1441" s="97"/>
      <c r="C1441" s="46"/>
      <c r="D1441" s="97"/>
      <c r="E1441" s="13"/>
      <c r="F1441" s="97"/>
      <c r="G1441" s="99"/>
      <c r="J1441" s="100"/>
      <c r="K1441" s="1"/>
      <c r="L1441" s="2"/>
    </row>
    <row r="1442" spans="1:12" x14ac:dyDescent="0.2">
      <c r="A1442" s="14"/>
      <c r="B1442" s="97"/>
      <c r="C1442" s="46"/>
      <c r="D1442" s="97"/>
      <c r="E1442" s="13"/>
      <c r="F1442" s="97"/>
      <c r="G1442" s="99"/>
      <c r="J1442" s="100"/>
      <c r="K1442" s="1"/>
      <c r="L1442" s="2"/>
    </row>
    <row r="1443" spans="1:12" x14ac:dyDescent="0.2">
      <c r="A1443" s="14"/>
      <c r="B1443" s="97"/>
      <c r="C1443" s="46"/>
      <c r="D1443" s="97"/>
      <c r="E1443" s="13"/>
      <c r="F1443" s="97"/>
      <c r="G1443" s="99"/>
      <c r="J1443" s="100"/>
      <c r="K1443" s="1"/>
      <c r="L1443" s="2"/>
    </row>
    <row r="1444" spans="1:12" x14ac:dyDescent="0.2">
      <c r="A1444" s="14"/>
      <c r="B1444" s="97"/>
      <c r="C1444" s="46"/>
      <c r="D1444" s="97"/>
      <c r="E1444" s="13"/>
      <c r="F1444" s="97"/>
      <c r="G1444" s="99"/>
      <c r="J1444" s="100"/>
      <c r="K1444" s="1"/>
      <c r="L1444" s="2"/>
    </row>
    <row r="1445" spans="1:12" x14ac:dyDescent="0.2">
      <c r="A1445" s="14"/>
      <c r="B1445" s="97"/>
      <c r="C1445" s="46"/>
      <c r="D1445" s="97"/>
      <c r="E1445" s="13"/>
      <c r="F1445" s="97"/>
      <c r="G1445" s="99"/>
      <c r="J1445" s="100"/>
      <c r="K1445" s="1"/>
      <c r="L1445" s="2"/>
    </row>
    <row r="1446" spans="1:12" x14ac:dyDescent="0.2">
      <c r="A1446" s="14"/>
      <c r="B1446" s="97"/>
      <c r="C1446" s="46"/>
      <c r="D1446" s="97"/>
      <c r="E1446" s="13"/>
      <c r="F1446" s="97"/>
      <c r="G1446" s="99"/>
      <c r="J1446" s="100"/>
      <c r="K1446" s="1"/>
      <c r="L1446" s="2"/>
    </row>
    <row r="1447" spans="1:12" x14ac:dyDescent="0.2">
      <c r="A1447" s="14"/>
      <c r="B1447" s="97"/>
      <c r="C1447" s="46"/>
      <c r="D1447" s="97"/>
      <c r="E1447" s="13"/>
      <c r="F1447" s="97"/>
      <c r="G1447" s="99"/>
      <c r="J1447" s="100"/>
      <c r="K1447" s="1"/>
      <c r="L1447" s="2"/>
    </row>
    <row r="1448" spans="1:12" x14ac:dyDescent="0.2">
      <c r="A1448" s="14"/>
      <c r="B1448" s="97"/>
      <c r="C1448" s="46"/>
      <c r="D1448" s="97"/>
      <c r="E1448" s="13"/>
      <c r="F1448" s="97"/>
      <c r="G1448" s="99"/>
      <c r="J1448" s="100"/>
      <c r="K1448" s="1"/>
      <c r="L1448" s="2"/>
    </row>
    <row r="1449" spans="1:12" x14ac:dyDescent="0.2">
      <c r="A1449" s="14"/>
      <c r="B1449" s="97"/>
      <c r="C1449" s="46"/>
      <c r="D1449" s="97"/>
      <c r="E1449" s="13"/>
      <c r="F1449" s="97"/>
      <c r="G1449" s="99"/>
      <c r="J1449" s="100"/>
      <c r="K1449" s="1"/>
      <c r="L1449" s="2"/>
    </row>
    <row r="1450" spans="1:12" x14ac:dyDescent="0.2">
      <c r="A1450" s="14"/>
      <c r="B1450" s="97"/>
      <c r="C1450" s="46"/>
      <c r="D1450" s="97"/>
      <c r="E1450" s="13"/>
      <c r="F1450" s="97"/>
      <c r="G1450" s="99"/>
      <c r="J1450" s="100"/>
      <c r="K1450" s="1"/>
      <c r="L1450" s="2"/>
    </row>
    <row r="1451" spans="1:12" x14ac:dyDescent="0.2">
      <c r="A1451" s="14"/>
      <c r="B1451" s="97"/>
      <c r="C1451" s="46"/>
      <c r="D1451" s="97"/>
      <c r="E1451" s="13"/>
      <c r="F1451" s="97"/>
      <c r="G1451" s="99"/>
      <c r="J1451" s="100"/>
      <c r="K1451" s="1"/>
      <c r="L1451" s="2"/>
    </row>
    <row r="1452" spans="1:12" x14ac:dyDescent="0.2">
      <c r="A1452" s="14"/>
      <c r="B1452" s="97"/>
      <c r="C1452" s="46"/>
      <c r="D1452" s="97"/>
      <c r="E1452" s="13"/>
      <c r="F1452" s="97"/>
      <c r="G1452" s="99"/>
      <c r="J1452" s="100"/>
      <c r="K1452" s="1"/>
      <c r="L1452" s="2"/>
    </row>
    <row r="1453" spans="1:12" x14ac:dyDescent="0.2">
      <c r="A1453" s="14"/>
      <c r="B1453" s="97"/>
      <c r="C1453" s="46"/>
      <c r="D1453" s="97"/>
      <c r="E1453" s="13"/>
      <c r="F1453" s="97"/>
      <c r="G1453" s="99"/>
      <c r="J1453" s="100"/>
      <c r="K1453" s="1"/>
      <c r="L1453" s="2"/>
    </row>
    <row r="1454" spans="1:12" x14ac:dyDescent="0.2">
      <c r="A1454" s="14"/>
      <c r="B1454" s="97"/>
      <c r="C1454" s="46"/>
      <c r="D1454" s="97"/>
      <c r="E1454" s="13"/>
      <c r="F1454" s="97"/>
      <c r="G1454" s="99"/>
      <c r="J1454" s="100"/>
      <c r="K1454" s="1"/>
      <c r="L1454" s="2"/>
    </row>
    <row r="1455" spans="1:12" x14ac:dyDescent="0.2">
      <c r="A1455" s="14"/>
      <c r="B1455" s="97"/>
      <c r="C1455" s="46"/>
      <c r="D1455" s="97"/>
      <c r="E1455" s="13"/>
      <c r="F1455" s="97"/>
      <c r="G1455" s="99"/>
      <c r="J1455" s="100"/>
      <c r="K1455" s="1"/>
      <c r="L1455" s="2"/>
    </row>
    <row r="1456" spans="1:12" x14ac:dyDescent="0.2">
      <c r="A1456" s="14"/>
      <c r="B1456" s="97"/>
      <c r="C1456" s="46"/>
      <c r="D1456" s="97"/>
      <c r="E1456" s="13"/>
      <c r="F1456" s="97"/>
      <c r="G1456" s="99"/>
      <c r="J1456" s="100"/>
      <c r="K1456" s="1"/>
      <c r="L1456" s="2"/>
    </row>
    <row r="1457" spans="1:12" x14ac:dyDescent="0.2">
      <c r="A1457" s="14"/>
      <c r="B1457" s="97"/>
      <c r="C1457" s="46"/>
      <c r="D1457" s="97"/>
      <c r="E1457" s="13"/>
      <c r="F1457" s="97"/>
      <c r="G1457" s="99"/>
      <c r="J1457" s="100"/>
      <c r="K1457" s="1"/>
      <c r="L1457" s="2"/>
    </row>
    <row r="1458" spans="1:12" x14ac:dyDescent="0.2">
      <c r="A1458" s="14"/>
      <c r="B1458" s="97"/>
      <c r="C1458" s="46"/>
      <c r="D1458" s="97"/>
      <c r="E1458" s="13"/>
      <c r="F1458" s="97"/>
      <c r="G1458" s="99"/>
      <c r="J1458" s="100"/>
      <c r="K1458" s="1"/>
      <c r="L1458" s="2"/>
    </row>
    <row r="1459" spans="1:12" x14ac:dyDescent="0.2">
      <c r="A1459" s="14"/>
      <c r="B1459" s="97"/>
      <c r="C1459" s="46"/>
      <c r="D1459" s="97"/>
      <c r="E1459" s="13"/>
      <c r="F1459" s="97"/>
      <c r="G1459" s="99"/>
      <c r="J1459" s="100"/>
      <c r="K1459" s="1"/>
      <c r="L1459" s="2"/>
    </row>
    <row r="1460" spans="1:12" x14ac:dyDescent="0.2">
      <c r="A1460" s="14"/>
      <c r="B1460" s="97"/>
      <c r="C1460" s="46"/>
      <c r="D1460" s="97"/>
      <c r="E1460" s="13"/>
      <c r="F1460" s="97"/>
      <c r="G1460" s="99"/>
      <c r="J1460" s="100"/>
      <c r="K1460" s="14"/>
      <c r="L1460" s="2"/>
    </row>
    <row r="1461" spans="1:12" x14ac:dyDescent="0.2">
      <c r="A1461" s="14"/>
      <c r="B1461" s="97"/>
      <c r="C1461" s="46"/>
      <c r="D1461" s="46"/>
      <c r="E1461" s="46"/>
      <c r="F1461" s="97"/>
      <c r="G1461" s="99"/>
      <c r="J1461" s="67"/>
      <c r="K1461" s="14"/>
      <c r="L1461" s="2"/>
    </row>
    <row r="1462" spans="1:12" x14ac:dyDescent="0.2">
      <c r="A1462" s="14"/>
      <c r="B1462" s="97"/>
      <c r="C1462" s="46"/>
      <c r="D1462" s="46"/>
      <c r="E1462" s="46"/>
      <c r="F1462" s="97"/>
      <c r="G1462" s="99"/>
      <c r="J1462" s="67"/>
      <c r="K1462" s="14"/>
      <c r="L1462" s="2"/>
    </row>
    <row r="1463" spans="1:12" x14ac:dyDescent="0.2">
      <c r="A1463" s="14"/>
      <c r="B1463" s="97"/>
      <c r="C1463" s="46"/>
      <c r="D1463" s="46"/>
      <c r="E1463" s="46"/>
      <c r="F1463" s="97"/>
      <c r="G1463" s="99"/>
      <c r="J1463" s="67"/>
      <c r="K1463" s="14"/>
      <c r="L1463" s="2"/>
    </row>
    <row r="1464" spans="1:12" x14ac:dyDescent="0.2">
      <c r="A1464" s="14"/>
      <c r="B1464" s="97"/>
      <c r="C1464" s="46"/>
      <c r="D1464" s="46"/>
      <c r="E1464" s="46"/>
      <c r="F1464" s="97"/>
      <c r="G1464" s="99"/>
      <c r="J1464" s="67"/>
      <c r="K1464" s="14"/>
      <c r="L1464" s="2"/>
    </row>
    <row r="1465" spans="1:12" x14ac:dyDescent="0.2">
      <c r="A1465" s="14"/>
      <c r="B1465" s="97"/>
      <c r="C1465" s="46"/>
      <c r="D1465" s="46"/>
      <c r="E1465" s="46"/>
      <c r="F1465" s="97"/>
      <c r="G1465" s="99"/>
      <c r="J1465" s="67"/>
      <c r="K1465" s="14"/>
      <c r="L1465" s="2"/>
    </row>
    <row r="1466" spans="1:12" x14ac:dyDescent="0.2">
      <c r="A1466" s="14"/>
      <c r="B1466" s="97"/>
      <c r="C1466" s="46"/>
      <c r="D1466" s="46"/>
      <c r="E1466" s="46"/>
      <c r="F1466" s="97"/>
      <c r="G1466" s="99"/>
      <c r="J1466" s="67"/>
      <c r="K1466" s="14"/>
      <c r="L1466" s="2"/>
    </row>
    <row r="1467" spans="1:12" x14ac:dyDescent="0.2">
      <c r="A1467" s="14"/>
      <c r="B1467" s="97"/>
      <c r="C1467" s="46"/>
      <c r="D1467" s="46"/>
      <c r="E1467" s="46"/>
      <c r="F1467" s="97"/>
      <c r="G1467" s="99"/>
      <c r="J1467" s="67"/>
      <c r="K1467" s="14"/>
      <c r="L1467" s="2"/>
    </row>
    <row r="1468" spans="1:12" x14ac:dyDescent="0.2">
      <c r="A1468" s="14"/>
      <c r="B1468" s="97"/>
      <c r="C1468" s="46"/>
      <c r="D1468" s="46"/>
      <c r="E1468" s="46"/>
      <c r="F1468" s="97"/>
      <c r="G1468" s="99"/>
      <c r="J1468" s="67"/>
      <c r="K1468" s="14"/>
      <c r="L1468" s="2"/>
    </row>
    <row r="1469" spans="1:12" x14ac:dyDescent="0.2">
      <c r="A1469" s="14"/>
      <c r="B1469" s="97"/>
      <c r="C1469" s="46"/>
      <c r="D1469" s="46"/>
      <c r="E1469" s="46"/>
      <c r="F1469" s="97"/>
      <c r="G1469" s="99"/>
      <c r="J1469" s="67"/>
      <c r="K1469" s="14"/>
      <c r="L1469" s="2"/>
    </row>
    <row r="1470" spans="1:12" x14ac:dyDescent="0.2">
      <c r="A1470" s="14"/>
      <c r="B1470" s="97"/>
      <c r="C1470" s="46"/>
      <c r="D1470" s="46"/>
      <c r="E1470" s="46"/>
      <c r="F1470" s="97"/>
      <c r="G1470" s="99"/>
      <c r="J1470" s="67"/>
      <c r="K1470" s="14"/>
      <c r="L1470" s="2"/>
    </row>
    <row r="1471" spans="1:12" x14ac:dyDescent="0.2">
      <c r="A1471" s="14"/>
      <c r="B1471" s="97"/>
      <c r="C1471" s="46"/>
      <c r="D1471" s="46"/>
      <c r="E1471" s="46"/>
      <c r="F1471" s="97"/>
      <c r="G1471" s="99"/>
      <c r="J1471" s="67"/>
      <c r="K1471" s="14"/>
      <c r="L1471" s="2"/>
    </row>
    <row r="1472" spans="1:12" x14ac:dyDescent="0.2">
      <c r="A1472" s="14"/>
      <c r="B1472" s="97"/>
      <c r="C1472" s="46"/>
      <c r="D1472" s="46"/>
      <c r="E1472" s="46"/>
      <c r="F1472" s="97"/>
      <c r="G1472" s="99"/>
      <c r="J1472" s="67"/>
      <c r="K1472" s="14"/>
      <c r="L1472" s="2"/>
    </row>
    <row r="1473" spans="1:12" x14ac:dyDescent="0.2">
      <c r="A1473" s="14"/>
      <c r="B1473" s="97"/>
      <c r="C1473" s="46"/>
      <c r="D1473" s="46"/>
      <c r="E1473" s="46"/>
      <c r="F1473" s="97"/>
      <c r="G1473" s="99"/>
      <c r="J1473" s="67"/>
      <c r="K1473" s="14"/>
      <c r="L1473" s="2"/>
    </row>
    <row r="1474" spans="1:12" x14ac:dyDescent="0.2">
      <c r="A1474" s="14"/>
      <c r="B1474" s="97"/>
      <c r="C1474" s="46"/>
      <c r="D1474" s="46"/>
      <c r="E1474" s="46"/>
      <c r="F1474" s="97"/>
      <c r="G1474" s="99"/>
      <c r="J1474" s="67"/>
      <c r="K1474" s="14"/>
      <c r="L1474" s="2"/>
    </row>
    <row r="1475" spans="1:12" x14ac:dyDescent="0.2">
      <c r="A1475" s="14"/>
      <c r="B1475" s="97"/>
      <c r="C1475" s="46"/>
      <c r="D1475" s="46"/>
      <c r="E1475" s="46"/>
      <c r="F1475" s="97"/>
      <c r="G1475" s="99"/>
      <c r="J1475" s="67"/>
      <c r="K1475" s="14"/>
      <c r="L1475" s="2"/>
    </row>
    <row r="1476" spans="1:12" x14ac:dyDescent="0.2">
      <c r="A1476" s="14"/>
      <c r="B1476" s="97"/>
      <c r="C1476" s="46"/>
      <c r="D1476" s="46"/>
      <c r="E1476" s="46"/>
      <c r="F1476" s="97"/>
      <c r="G1476" s="99"/>
      <c r="J1476" s="67"/>
      <c r="K1476" s="14"/>
      <c r="L1476" s="2"/>
    </row>
    <row r="1477" spans="1:12" x14ac:dyDescent="0.2">
      <c r="A1477" s="14"/>
      <c r="B1477" s="97"/>
      <c r="C1477" s="46"/>
      <c r="D1477" s="46"/>
      <c r="E1477" s="46"/>
      <c r="F1477" s="97"/>
      <c r="G1477" s="99"/>
      <c r="J1477" s="67"/>
      <c r="K1477" s="14"/>
      <c r="L1477" s="2"/>
    </row>
    <row r="1478" spans="1:12" x14ac:dyDescent="0.2">
      <c r="A1478" s="14"/>
      <c r="B1478" s="97"/>
      <c r="C1478" s="46"/>
      <c r="D1478" s="46"/>
      <c r="E1478" s="46"/>
      <c r="F1478" s="97"/>
      <c r="G1478" s="99"/>
      <c r="J1478" s="67"/>
      <c r="K1478" s="14"/>
      <c r="L1478" s="2"/>
    </row>
    <row r="1479" spans="1:12" x14ac:dyDescent="0.2">
      <c r="A1479" s="14"/>
      <c r="B1479" s="97"/>
      <c r="C1479" s="46"/>
      <c r="D1479" s="46"/>
      <c r="E1479" s="46"/>
      <c r="F1479" s="97"/>
      <c r="G1479" s="99"/>
      <c r="J1479" s="67"/>
      <c r="K1479" s="14"/>
      <c r="L1479" s="2"/>
    </row>
    <row r="1480" spans="1:12" x14ac:dyDescent="0.2">
      <c r="A1480" s="14"/>
      <c r="B1480" s="97"/>
      <c r="C1480" s="46"/>
      <c r="D1480" s="46"/>
      <c r="E1480" s="46"/>
      <c r="F1480" s="97"/>
      <c r="G1480" s="99"/>
      <c r="J1480" s="67"/>
      <c r="K1480" s="14"/>
      <c r="L1480" s="2"/>
    </row>
    <row r="1481" spans="1:12" x14ac:dyDescent="0.2">
      <c r="A1481" s="14"/>
      <c r="B1481" s="97"/>
      <c r="C1481" s="46"/>
      <c r="D1481" s="46"/>
      <c r="E1481" s="46"/>
      <c r="F1481" s="97"/>
      <c r="G1481" s="99"/>
      <c r="J1481" s="67"/>
      <c r="K1481" s="14"/>
      <c r="L1481" s="2"/>
    </row>
    <row r="1482" spans="1:12" x14ac:dyDescent="0.2">
      <c r="A1482" s="14"/>
      <c r="B1482" s="97"/>
      <c r="C1482" s="46"/>
      <c r="D1482" s="46"/>
      <c r="E1482" s="46"/>
      <c r="F1482" s="97"/>
      <c r="G1482" s="99"/>
      <c r="J1482" s="67"/>
      <c r="K1482" s="14"/>
      <c r="L1482" s="2"/>
    </row>
    <row r="1483" spans="1:12" x14ac:dyDescent="0.2">
      <c r="A1483" s="14"/>
      <c r="B1483" s="97"/>
      <c r="C1483" s="46"/>
      <c r="D1483" s="46"/>
      <c r="E1483" s="46"/>
      <c r="F1483" s="97"/>
      <c r="G1483" s="99"/>
      <c r="J1483" s="67"/>
      <c r="K1483" s="14"/>
      <c r="L1483" s="2"/>
    </row>
    <row r="1484" spans="1:12" x14ac:dyDescent="0.2">
      <c r="A1484" s="14"/>
      <c r="B1484" s="97"/>
      <c r="C1484" s="46"/>
      <c r="D1484" s="46"/>
      <c r="E1484" s="46"/>
      <c r="F1484" s="97"/>
      <c r="G1484" s="99"/>
      <c r="J1484" s="67"/>
      <c r="K1484" s="14"/>
      <c r="L1484" s="2"/>
    </row>
    <row r="1485" spans="1:12" x14ac:dyDescent="0.2">
      <c r="A1485" s="14"/>
      <c r="B1485" s="97"/>
      <c r="C1485" s="46"/>
      <c r="D1485" s="46"/>
      <c r="E1485" s="46"/>
      <c r="F1485" s="97"/>
      <c r="G1485" s="99"/>
      <c r="J1485" s="67"/>
      <c r="K1485" s="14"/>
      <c r="L1485" s="2"/>
    </row>
    <row r="1486" spans="1:12" x14ac:dyDescent="0.2">
      <c r="A1486" s="14"/>
      <c r="B1486" s="97"/>
      <c r="C1486" s="46"/>
      <c r="D1486" s="46"/>
      <c r="E1486" s="46"/>
      <c r="F1486" s="97"/>
      <c r="G1486" s="99"/>
      <c r="J1486" s="67"/>
      <c r="K1486" s="14"/>
      <c r="L1486" s="2"/>
    </row>
    <row r="1487" spans="1:12" x14ac:dyDescent="0.2">
      <c r="A1487" s="14"/>
      <c r="B1487" s="97"/>
      <c r="C1487" s="46"/>
      <c r="D1487" s="46"/>
      <c r="E1487" s="46"/>
      <c r="F1487" s="97"/>
      <c r="G1487" s="99"/>
      <c r="J1487" s="67"/>
      <c r="K1487" s="14"/>
      <c r="L1487" s="2"/>
    </row>
    <row r="1488" spans="1:12" x14ac:dyDescent="0.2">
      <c r="A1488" s="14"/>
      <c r="B1488" s="97"/>
      <c r="C1488" s="46"/>
      <c r="D1488" s="46"/>
      <c r="E1488" s="46"/>
      <c r="F1488" s="97"/>
      <c r="G1488" s="99"/>
      <c r="J1488" s="67"/>
      <c r="K1488" s="14"/>
      <c r="L1488" s="2"/>
    </row>
    <row r="1489" spans="1:12" x14ac:dyDescent="0.2">
      <c r="A1489" s="14"/>
      <c r="B1489" s="97"/>
      <c r="C1489" s="46"/>
      <c r="D1489" s="46"/>
      <c r="E1489" s="46"/>
      <c r="F1489" s="97"/>
      <c r="G1489" s="99"/>
      <c r="J1489" s="67"/>
      <c r="K1489" s="14"/>
      <c r="L1489" s="2"/>
    </row>
    <row r="1490" spans="1:12" x14ac:dyDescent="0.2">
      <c r="A1490" s="14"/>
      <c r="B1490" s="97"/>
      <c r="C1490" s="46"/>
      <c r="D1490" s="46"/>
      <c r="E1490" s="46"/>
      <c r="F1490" s="97"/>
      <c r="G1490" s="99"/>
      <c r="J1490" s="67"/>
      <c r="K1490" s="14"/>
      <c r="L1490" s="2"/>
    </row>
    <row r="1491" spans="1:12" x14ac:dyDescent="0.2">
      <c r="A1491" s="14"/>
      <c r="B1491" s="97"/>
      <c r="C1491" s="46"/>
      <c r="D1491" s="46"/>
      <c r="E1491" s="46"/>
      <c r="F1491" s="97"/>
      <c r="G1491" s="99"/>
      <c r="J1491" s="67"/>
      <c r="K1491" s="14"/>
      <c r="L1491" s="2"/>
    </row>
    <row r="1492" spans="1:12" x14ac:dyDescent="0.2">
      <c r="A1492" s="14"/>
      <c r="B1492" s="97"/>
      <c r="C1492" s="46"/>
      <c r="D1492" s="46"/>
      <c r="E1492" s="46"/>
      <c r="F1492" s="97"/>
      <c r="G1492" s="99"/>
      <c r="J1492" s="67"/>
      <c r="K1492" s="14"/>
      <c r="L1492" s="2"/>
    </row>
    <row r="1493" spans="1:12" x14ac:dyDescent="0.2">
      <c r="A1493" s="14"/>
      <c r="B1493" s="97"/>
      <c r="C1493" s="46"/>
      <c r="D1493" s="46"/>
      <c r="E1493" s="46"/>
      <c r="F1493" s="97"/>
      <c r="G1493" s="99"/>
      <c r="J1493" s="67"/>
      <c r="K1493" s="14"/>
      <c r="L1493" s="2"/>
    </row>
    <row r="1494" spans="1:12" x14ac:dyDescent="0.2">
      <c r="A1494" s="14"/>
      <c r="B1494" s="97"/>
      <c r="C1494" s="46"/>
      <c r="D1494" s="46"/>
      <c r="E1494" s="46"/>
      <c r="F1494" s="97"/>
      <c r="G1494" s="99"/>
      <c r="J1494" s="67"/>
      <c r="K1494" s="14"/>
      <c r="L1494" s="2"/>
    </row>
    <row r="1495" spans="1:12" x14ac:dyDescent="0.2">
      <c r="A1495" s="14"/>
      <c r="B1495" s="97"/>
      <c r="C1495" s="46"/>
      <c r="D1495" s="46"/>
      <c r="E1495" s="46"/>
      <c r="F1495" s="97"/>
      <c r="G1495" s="99"/>
      <c r="J1495" s="67"/>
      <c r="K1495" s="14"/>
      <c r="L1495" s="2"/>
    </row>
    <row r="1496" spans="1:12" x14ac:dyDescent="0.2">
      <c r="A1496" s="14"/>
      <c r="B1496" s="97"/>
      <c r="C1496" s="46"/>
      <c r="D1496" s="46"/>
      <c r="E1496" s="46"/>
      <c r="F1496" s="97"/>
      <c r="G1496" s="99"/>
      <c r="J1496" s="67"/>
      <c r="K1496" s="14"/>
      <c r="L1496" s="2"/>
    </row>
    <row r="1497" spans="1:12" x14ac:dyDescent="0.2">
      <c r="A1497" s="14"/>
      <c r="B1497" s="97"/>
      <c r="C1497" s="46"/>
      <c r="D1497" s="46"/>
      <c r="E1497" s="46"/>
      <c r="F1497" s="97"/>
      <c r="G1497" s="99"/>
      <c r="J1497" s="67"/>
      <c r="K1497" s="14"/>
      <c r="L1497" s="2"/>
    </row>
    <row r="1498" spans="1:12" x14ac:dyDescent="0.2">
      <c r="A1498" s="14"/>
      <c r="B1498" s="97"/>
      <c r="C1498" s="46"/>
      <c r="D1498" s="46"/>
      <c r="E1498" s="46"/>
      <c r="F1498" s="97"/>
      <c r="G1498" s="99"/>
      <c r="J1498" s="67"/>
      <c r="K1498" s="14"/>
      <c r="L1498" s="2"/>
    </row>
    <row r="1499" spans="1:12" x14ac:dyDescent="0.2">
      <c r="A1499" s="14"/>
      <c r="B1499" s="97"/>
      <c r="C1499" s="46"/>
      <c r="D1499" s="46"/>
      <c r="E1499" s="46"/>
      <c r="F1499" s="97"/>
      <c r="G1499" s="99"/>
      <c r="J1499" s="67"/>
      <c r="K1499" s="14"/>
      <c r="L1499" s="2"/>
    </row>
    <row r="1500" spans="1:12" x14ac:dyDescent="0.2">
      <c r="A1500" s="14"/>
      <c r="B1500" s="97"/>
      <c r="C1500" s="46"/>
      <c r="D1500" s="46"/>
      <c r="E1500" s="46"/>
      <c r="F1500" s="97"/>
      <c r="G1500" s="99"/>
      <c r="J1500" s="67"/>
      <c r="K1500" s="14"/>
      <c r="L1500" s="2"/>
    </row>
    <row r="1501" spans="1:12" x14ac:dyDescent="0.2">
      <c r="A1501" s="14"/>
      <c r="B1501" s="97"/>
      <c r="C1501" s="46"/>
      <c r="D1501" s="46"/>
      <c r="E1501" s="46"/>
      <c r="F1501" s="97"/>
      <c r="G1501" s="99"/>
      <c r="J1501" s="67"/>
      <c r="K1501" s="14"/>
      <c r="L1501" s="2"/>
    </row>
    <row r="1502" spans="1:12" x14ac:dyDescent="0.2">
      <c r="A1502" s="14"/>
      <c r="B1502" s="97"/>
      <c r="C1502" s="46"/>
      <c r="D1502" s="46"/>
      <c r="E1502" s="46"/>
      <c r="F1502" s="97"/>
      <c r="G1502" s="99"/>
      <c r="J1502" s="67"/>
      <c r="K1502" s="14"/>
      <c r="L1502" s="2"/>
    </row>
    <row r="1503" spans="1:12" x14ac:dyDescent="0.2">
      <c r="A1503" s="14"/>
      <c r="B1503" s="97"/>
      <c r="C1503" s="46"/>
      <c r="D1503" s="46"/>
      <c r="E1503" s="46"/>
      <c r="F1503" s="97"/>
      <c r="G1503" s="99"/>
      <c r="J1503" s="67"/>
      <c r="K1503" s="14"/>
      <c r="L1503" s="2"/>
    </row>
    <row r="1504" spans="1:12" x14ac:dyDescent="0.2">
      <c r="A1504" s="14"/>
      <c r="B1504" s="97"/>
      <c r="C1504" s="46"/>
      <c r="D1504" s="46"/>
      <c r="E1504" s="46"/>
      <c r="F1504" s="97"/>
      <c r="G1504" s="99"/>
      <c r="J1504" s="67"/>
      <c r="K1504" s="14"/>
      <c r="L1504" s="2"/>
    </row>
    <row r="1505" spans="1:12" x14ac:dyDescent="0.2">
      <c r="A1505" s="14"/>
      <c r="B1505" s="97"/>
      <c r="C1505" s="46"/>
      <c r="D1505" s="46"/>
      <c r="E1505" s="46"/>
      <c r="F1505" s="97"/>
      <c r="G1505" s="99"/>
      <c r="J1505" s="67"/>
      <c r="K1505" s="14"/>
      <c r="L1505" s="2"/>
    </row>
    <row r="1506" spans="1:12" x14ac:dyDescent="0.2">
      <c r="A1506" s="14"/>
      <c r="B1506" s="97"/>
      <c r="C1506" s="46"/>
      <c r="D1506" s="46"/>
      <c r="E1506" s="46"/>
      <c r="F1506" s="97"/>
      <c r="G1506" s="99"/>
      <c r="J1506" s="67"/>
      <c r="K1506" s="14"/>
      <c r="L1506" s="2"/>
    </row>
    <row r="1507" spans="1:12" x14ac:dyDescent="0.2">
      <c r="A1507" s="14"/>
      <c r="B1507" s="97"/>
      <c r="C1507" s="46"/>
      <c r="D1507" s="46"/>
      <c r="E1507" s="46"/>
      <c r="F1507" s="97"/>
      <c r="G1507" s="99"/>
      <c r="J1507" s="67"/>
      <c r="K1507" s="14"/>
      <c r="L1507" s="2"/>
    </row>
    <row r="1508" spans="1:12" x14ac:dyDescent="0.2">
      <c r="A1508" s="14"/>
      <c r="B1508" s="97"/>
      <c r="C1508" s="46"/>
      <c r="D1508" s="46"/>
      <c r="E1508" s="46"/>
      <c r="F1508" s="97"/>
      <c r="G1508" s="99"/>
      <c r="J1508" s="67"/>
      <c r="K1508" s="14"/>
      <c r="L1508" s="2"/>
    </row>
    <row r="1509" spans="1:12" x14ac:dyDescent="0.2">
      <c r="A1509" s="14"/>
      <c r="B1509" s="97"/>
      <c r="C1509" s="46"/>
      <c r="D1509" s="46"/>
      <c r="E1509" s="46"/>
      <c r="F1509" s="97"/>
      <c r="G1509" s="99"/>
      <c r="J1509" s="67"/>
      <c r="K1509" s="14"/>
      <c r="L1509" s="2"/>
    </row>
    <row r="1510" spans="1:12" x14ac:dyDescent="0.2">
      <c r="A1510" s="14"/>
      <c r="B1510" s="97"/>
      <c r="C1510" s="46"/>
      <c r="D1510" s="46"/>
      <c r="E1510" s="46"/>
      <c r="F1510" s="97"/>
      <c r="G1510" s="99"/>
      <c r="J1510" s="67"/>
      <c r="K1510" s="14"/>
      <c r="L1510" s="2"/>
    </row>
    <row r="1511" spans="1:12" x14ac:dyDescent="0.2">
      <c r="A1511" s="14"/>
      <c r="B1511" s="97"/>
      <c r="C1511" s="46"/>
      <c r="D1511" s="46"/>
      <c r="E1511" s="46"/>
      <c r="F1511" s="97"/>
      <c r="G1511" s="99"/>
      <c r="J1511" s="67"/>
      <c r="K1511" s="14"/>
      <c r="L1511" s="2"/>
    </row>
    <row r="1512" spans="1:12" x14ac:dyDescent="0.2">
      <c r="A1512" s="14"/>
      <c r="B1512" s="97"/>
      <c r="C1512" s="46"/>
      <c r="D1512" s="46"/>
      <c r="E1512" s="46"/>
      <c r="F1512" s="97"/>
      <c r="G1512" s="99"/>
      <c r="J1512" s="67"/>
      <c r="K1512" s="14"/>
      <c r="L1512" s="2"/>
    </row>
    <row r="1513" spans="1:12" x14ac:dyDescent="0.2">
      <c r="A1513" s="14"/>
      <c r="B1513" s="97"/>
      <c r="C1513" s="46"/>
      <c r="D1513" s="46"/>
      <c r="E1513" s="46"/>
      <c r="F1513" s="97"/>
      <c r="G1513" s="99"/>
      <c r="J1513" s="67"/>
      <c r="K1513" s="14"/>
      <c r="L1513" s="2"/>
    </row>
    <row r="1514" spans="1:12" x14ac:dyDescent="0.2">
      <c r="A1514" s="14"/>
      <c r="B1514" s="97"/>
      <c r="C1514" s="46"/>
      <c r="D1514" s="46"/>
      <c r="E1514" s="46"/>
      <c r="F1514" s="97"/>
      <c r="G1514" s="99"/>
      <c r="J1514" s="67"/>
      <c r="K1514" s="14"/>
      <c r="L1514" s="2"/>
    </row>
    <row r="1515" spans="1:12" x14ac:dyDescent="0.2">
      <c r="A1515" s="14"/>
      <c r="B1515" s="97"/>
      <c r="C1515" s="46"/>
      <c r="D1515" s="46"/>
      <c r="E1515" s="46"/>
      <c r="F1515" s="97"/>
      <c r="G1515" s="99"/>
      <c r="J1515" s="67"/>
      <c r="K1515" s="14"/>
      <c r="L1515" s="2"/>
    </row>
    <row r="1516" spans="1:12" x14ac:dyDescent="0.2">
      <c r="A1516" s="14"/>
      <c r="B1516" s="97"/>
      <c r="C1516" s="46"/>
      <c r="D1516" s="46"/>
      <c r="E1516" s="46"/>
      <c r="F1516" s="97"/>
      <c r="G1516" s="99"/>
      <c r="J1516" s="67"/>
      <c r="K1516" s="14"/>
      <c r="L1516" s="2"/>
    </row>
    <row r="1517" spans="1:12" x14ac:dyDescent="0.2">
      <c r="A1517" s="14"/>
      <c r="B1517" s="97"/>
      <c r="C1517" s="46"/>
      <c r="D1517" s="46"/>
      <c r="E1517" s="46"/>
      <c r="F1517" s="97"/>
      <c r="G1517" s="99"/>
      <c r="J1517" s="67"/>
      <c r="K1517" s="14"/>
      <c r="L1517" s="2"/>
    </row>
    <row r="1518" spans="1:12" x14ac:dyDescent="0.2">
      <c r="A1518" s="14"/>
      <c r="B1518" s="97"/>
      <c r="C1518" s="46"/>
      <c r="D1518" s="46"/>
      <c r="E1518" s="46"/>
      <c r="F1518" s="97"/>
      <c r="G1518" s="99"/>
      <c r="J1518" s="67"/>
      <c r="K1518" s="14"/>
      <c r="L1518" s="2"/>
    </row>
    <row r="1519" spans="1:12" x14ac:dyDescent="0.2">
      <c r="A1519" s="14"/>
      <c r="B1519" s="97"/>
      <c r="C1519" s="46"/>
      <c r="D1519" s="46"/>
      <c r="E1519" s="46"/>
      <c r="F1519" s="97"/>
      <c r="G1519" s="99"/>
      <c r="J1519" s="67"/>
      <c r="K1519" s="14"/>
      <c r="L1519" s="2"/>
    </row>
    <row r="1520" spans="1:12" x14ac:dyDescent="0.2">
      <c r="A1520" s="14"/>
      <c r="B1520" s="97"/>
      <c r="C1520" s="46"/>
      <c r="D1520" s="46"/>
      <c r="E1520" s="46"/>
      <c r="F1520" s="97"/>
      <c r="G1520" s="99"/>
      <c r="J1520" s="67"/>
      <c r="K1520" s="14"/>
      <c r="L1520" s="2"/>
    </row>
    <row r="1521" spans="1:12" x14ac:dyDescent="0.2">
      <c r="A1521" s="14"/>
      <c r="B1521" s="97"/>
      <c r="C1521" s="46"/>
      <c r="D1521" s="46"/>
      <c r="E1521" s="46"/>
      <c r="F1521" s="97"/>
      <c r="G1521" s="99"/>
      <c r="J1521" s="67"/>
      <c r="K1521" s="14"/>
      <c r="L1521" s="2"/>
    </row>
    <row r="1522" spans="1:12" x14ac:dyDescent="0.2">
      <c r="A1522" s="14"/>
      <c r="B1522" s="97"/>
      <c r="C1522" s="46"/>
      <c r="D1522" s="46"/>
      <c r="E1522" s="46"/>
      <c r="F1522" s="97"/>
      <c r="G1522" s="99"/>
      <c r="J1522" s="67"/>
      <c r="K1522" s="14"/>
      <c r="L1522" s="2"/>
    </row>
    <row r="1523" spans="1:12" x14ac:dyDescent="0.2">
      <c r="A1523" s="14"/>
      <c r="B1523" s="97"/>
      <c r="C1523" s="46"/>
      <c r="D1523" s="46"/>
      <c r="E1523" s="46"/>
      <c r="F1523" s="97"/>
      <c r="G1523" s="99"/>
      <c r="J1523" s="67"/>
      <c r="K1523" s="14"/>
      <c r="L1523" s="2"/>
    </row>
    <row r="1524" spans="1:12" x14ac:dyDescent="0.2">
      <c r="A1524" s="14"/>
      <c r="B1524" s="97"/>
      <c r="C1524" s="46"/>
      <c r="D1524" s="46"/>
      <c r="E1524" s="46"/>
      <c r="F1524" s="97"/>
      <c r="G1524" s="99"/>
      <c r="J1524" s="67"/>
      <c r="K1524" s="14"/>
      <c r="L1524" s="2"/>
    </row>
    <row r="1525" spans="1:12" x14ac:dyDescent="0.2">
      <c r="A1525" s="14"/>
      <c r="B1525" s="97"/>
      <c r="C1525" s="46"/>
      <c r="D1525" s="46"/>
      <c r="E1525" s="46"/>
      <c r="F1525" s="97"/>
      <c r="G1525" s="99"/>
      <c r="J1525" s="67"/>
      <c r="K1525" s="14"/>
      <c r="L1525" s="2"/>
    </row>
    <row r="1526" spans="1:12" x14ac:dyDescent="0.2">
      <c r="A1526" s="14"/>
      <c r="B1526" s="97"/>
      <c r="C1526" s="46"/>
      <c r="D1526" s="46"/>
      <c r="E1526" s="46"/>
      <c r="F1526" s="97"/>
      <c r="G1526" s="99"/>
      <c r="J1526" s="67"/>
      <c r="K1526" s="14"/>
      <c r="L1526" s="2"/>
    </row>
    <row r="1527" spans="1:12" x14ac:dyDescent="0.2">
      <c r="A1527" s="14"/>
      <c r="B1527" s="97"/>
      <c r="C1527" s="46"/>
      <c r="D1527" s="46"/>
      <c r="E1527" s="46"/>
      <c r="F1527" s="97"/>
      <c r="G1527" s="99"/>
      <c r="J1527" s="67"/>
      <c r="K1527" s="14"/>
      <c r="L1527" s="2"/>
    </row>
    <row r="1528" spans="1:12" x14ac:dyDescent="0.2">
      <c r="A1528" s="14"/>
      <c r="B1528" s="97"/>
      <c r="C1528" s="46"/>
      <c r="D1528" s="46"/>
      <c r="E1528" s="46"/>
      <c r="F1528" s="97"/>
      <c r="G1528" s="99"/>
      <c r="J1528" s="67"/>
      <c r="K1528" s="14"/>
      <c r="L1528" s="2"/>
    </row>
    <row r="1529" spans="1:12" x14ac:dyDescent="0.2">
      <c r="A1529" s="14"/>
      <c r="B1529" s="97"/>
      <c r="C1529" s="46"/>
      <c r="D1529" s="46"/>
      <c r="E1529" s="46"/>
      <c r="F1529" s="97"/>
      <c r="G1529" s="99"/>
      <c r="J1529" s="67"/>
      <c r="K1529" s="14"/>
      <c r="L1529" s="2"/>
    </row>
    <row r="1530" spans="1:12" x14ac:dyDescent="0.2">
      <c r="A1530" s="14"/>
      <c r="B1530" s="97"/>
      <c r="C1530" s="46"/>
      <c r="D1530" s="46"/>
      <c r="E1530" s="46"/>
      <c r="F1530" s="97"/>
      <c r="G1530" s="99"/>
      <c r="J1530" s="67"/>
      <c r="K1530" s="14"/>
      <c r="L1530" s="2"/>
    </row>
    <row r="1531" spans="1:12" x14ac:dyDescent="0.2">
      <c r="A1531" s="14"/>
      <c r="B1531" s="97"/>
      <c r="C1531" s="46"/>
      <c r="D1531" s="46"/>
      <c r="E1531" s="46"/>
      <c r="F1531" s="97"/>
      <c r="G1531" s="99"/>
      <c r="J1531" s="67"/>
      <c r="K1531" s="14"/>
      <c r="L1531" s="2"/>
    </row>
    <row r="1532" spans="1:12" x14ac:dyDescent="0.2">
      <c r="A1532" s="14"/>
      <c r="B1532" s="97"/>
      <c r="C1532" s="46"/>
      <c r="D1532" s="46"/>
      <c r="E1532" s="46"/>
      <c r="F1532" s="97"/>
      <c r="G1532" s="99"/>
      <c r="J1532" s="67"/>
      <c r="K1532" s="14"/>
      <c r="L1532" s="2"/>
    </row>
    <row r="1533" spans="1:12" x14ac:dyDescent="0.2">
      <c r="A1533" s="14"/>
      <c r="B1533" s="97"/>
      <c r="C1533" s="46"/>
      <c r="D1533" s="46"/>
      <c r="E1533" s="46"/>
      <c r="F1533" s="97"/>
      <c r="G1533" s="99"/>
      <c r="J1533" s="67"/>
      <c r="K1533" s="14"/>
      <c r="L1533" s="2"/>
    </row>
    <row r="1534" spans="1:12" x14ac:dyDescent="0.2">
      <c r="A1534" s="14"/>
      <c r="B1534" s="97"/>
      <c r="C1534" s="46"/>
      <c r="D1534" s="46"/>
      <c r="E1534" s="46"/>
      <c r="F1534" s="97"/>
      <c r="G1534" s="99"/>
      <c r="J1534" s="67"/>
      <c r="K1534" s="14"/>
      <c r="L1534" s="2"/>
    </row>
    <row r="1535" spans="1:12" x14ac:dyDescent="0.2">
      <c r="A1535" s="14"/>
      <c r="B1535" s="97"/>
      <c r="C1535" s="46"/>
      <c r="D1535" s="46"/>
      <c r="E1535" s="46"/>
      <c r="F1535" s="97"/>
      <c r="G1535" s="99"/>
      <c r="J1535" s="67"/>
      <c r="K1535" s="14"/>
      <c r="L1535" s="2"/>
    </row>
    <row r="1536" spans="1:12" x14ac:dyDescent="0.2">
      <c r="A1536" s="14"/>
      <c r="B1536" s="97"/>
      <c r="C1536" s="46"/>
      <c r="D1536" s="46"/>
      <c r="E1536" s="46"/>
      <c r="F1536" s="97"/>
      <c r="G1536" s="99"/>
      <c r="J1536" s="67"/>
      <c r="K1536" s="14"/>
      <c r="L1536" s="2"/>
    </row>
    <row r="1537" spans="1:12" x14ac:dyDescent="0.2">
      <c r="A1537" s="14"/>
      <c r="B1537" s="97"/>
      <c r="C1537" s="46"/>
      <c r="D1537" s="46"/>
      <c r="E1537" s="46"/>
      <c r="F1537" s="97"/>
      <c r="G1537" s="99"/>
      <c r="J1537" s="67"/>
      <c r="K1537" s="14"/>
      <c r="L1537" s="2"/>
    </row>
    <row r="1538" spans="1:12" x14ac:dyDescent="0.2">
      <c r="A1538" s="14"/>
      <c r="B1538" s="97"/>
      <c r="C1538" s="46"/>
      <c r="D1538" s="46"/>
      <c r="E1538" s="46"/>
      <c r="F1538" s="97"/>
      <c r="G1538" s="99"/>
      <c r="J1538" s="67"/>
      <c r="K1538" s="14"/>
      <c r="L1538" s="2"/>
    </row>
    <row r="1539" spans="1:12" x14ac:dyDescent="0.2">
      <c r="A1539" s="14"/>
      <c r="B1539" s="97"/>
      <c r="C1539" s="46"/>
      <c r="D1539" s="46"/>
      <c r="E1539" s="46"/>
      <c r="F1539" s="97"/>
      <c r="G1539" s="99"/>
      <c r="J1539" s="67"/>
      <c r="K1539" s="14"/>
      <c r="L1539" s="2"/>
    </row>
    <row r="1540" spans="1:12" x14ac:dyDescent="0.2">
      <c r="A1540" s="14"/>
      <c r="B1540" s="97"/>
      <c r="C1540" s="46"/>
      <c r="D1540" s="46"/>
      <c r="E1540" s="46"/>
      <c r="F1540" s="97"/>
      <c r="G1540" s="99"/>
      <c r="J1540" s="67"/>
      <c r="K1540" s="14"/>
      <c r="L1540" s="2"/>
    </row>
    <row r="1541" spans="1:12" x14ac:dyDescent="0.2">
      <c r="A1541" s="14"/>
      <c r="B1541" s="97"/>
      <c r="C1541" s="46"/>
      <c r="D1541" s="46"/>
      <c r="E1541" s="46"/>
      <c r="F1541" s="97"/>
      <c r="G1541" s="99"/>
      <c r="J1541" s="67"/>
      <c r="K1541" s="14"/>
      <c r="L1541" s="2"/>
    </row>
    <row r="1542" spans="1:12" x14ac:dyDescent="0.2">
      <c r="A1542" s="14"/>
      <c r="B1542" s="97"/>
      <c r="C1542" s="46"/>
      <c r="D1542" s="46"/>
      <c r="E1542" s="46"/>
      <c r="F1542" s="97"/>
      <c r="G1542" s="99"/>
      <c r="J1542" s="67"/>
      <c r="K1542" s="14"/>
      <c r="L1542" s="2"/>
    </row>
    <row r="1543" spans="1:12" x14ac:dyDescent="0.2">
      <c r="A1543" s="14"/>
      <c r="B1543" s="97"/>
      <c r="C1543" s="46"/>
      <c r="D1543" s="46"/>
      <c r="E1543" s="46"/>
      <c r="F1543" s="97"/>
      <c r="G1543" s="99"/>
      <c r="J1543" s="67"/>
      <c r="K1543" s="14"/>
      <c r="L1543" s="2"/>
    </row>
    <row r="1544" spans="1:12" x14ac:dyDescent="0.2">
      <c r="A1544" s="14"/>
      <c r="B1544" s="97"/>
      <c r="C1544" s="46"/>
      <c r="D1544" s="46"/>
      <c r="E1544" s="46"/>
      <c r="F1544" s="97"/>
      <c r="G1544" s="99"/>
      <c r="J1544" s="67"/>
      <c r="K1544" s="14"/>
      <c r="L1544" s="2"/>
    </row>
    <row r="1545" spans="1:12" x14ac:dyDescent="0.2">
      <c r="A1545" s="14"/>
      <c r="B1545" s="97"/>
      <c r="C1545" s="46"/>
      <c r="D1545" s="46"/>
      <c r="E1545" s="46"/>
      <c r="F1545" s="97"/>
      <c r="G1545" s="99"/>
      <c r="J1545" s="67"/>
      <c r="K1545" s="14"/>
      <c r="L1545" s="2"/>
    </row>
    <row r="1546" spans="1:12" x14ac:dyDescent="0.2">
      <c r="A1546" s="14"/>
      <c r="B1546" s="97"/>
      <c r="C1546" s="46"/>
      <c r="D1546" s="46"/>
      <c r="E1546" s="46"/>
      <c r="F1546" s="97"/>
      <c r="G1546" s="99"/>
      <c r="J1546" s="67"/>
      <c r="K1546" s="14"/>
      <c r="L1546" s="2"/>
    </row>
    <row r="1547" spans="1:12" x14ac:dyDescent="0.2">
      <c r="A1547" s="14"/>
      <c r="B1547" s="97"/>
      <c r="C1547" s="46"/>
      <c r="D1547" s="46"/>
      <c r="E1547" s="46"/>
      <c r="F1547" s="97"/>
      <c r="G1547" s="99"/>
      <c r="J1547" s="67"/>
      <c r="K1547" s="14"/>
      <c r="L1547" s="2"/>
    </row>
    <row r="1548" spans="1:12" x14ac:dyDescent="0.2">
      <c r="A1548" s="14"/>
      <c r="B1548" s="97"/>
      <c r="C1548" s="46"/>
      <c r="D1548" s="46"/>
      <c r="E1548" s="46"/>
      <c r="F1548" s="97"/>
      <c r="G1548" s="99"/>
      <c r="J1548" s="67"/>
      <c r="K1548" s="14"/>
      <c r="L1548" s="2"/>
    </row>
    <row r="1549" spans="1:12" x14ac:dyDescent="0.2">
      <c r="A1549" s="14"/>
      <c r="B1549" s="97"/>
      <c r="C1549" s="46"/>
      <c r="D1549" s="46"/>
      <c r="E1549" s="46"/>
      <c r="F1549" s="97"/>
      <c r="G1549" s="99"/>
      <c r="J1549" s="67"/>
      <c r="K1549" s="14"/>
      <c r="L1549" s="2"/>
    </row>
    <row r="1550" spans="1:12" x14ac:dyDescent="0.2">
      <c r="A1550" s="14"/>
      <c r="B1550" s="97"/>
      <c r="C1550" s="46"/>
      <c r="D1550" s="46"/>
      <c r="E1550" s="46"/>
      <c r="F1550" s="97"/>
      <c r="G1550" s="99"/>
      <c r="J1550" s="67"/>
      <c r="K1550" s="14"/>
      <c r="L1550" s="2"/>
    </row>
    <row r="1551" spans="1:12" x14ac:dyDescent="0.2">
      <c r="A1551" s="14"/>
      <c r="B1551" s="97"/>
      <c r="C1551" s="46"/>
      <c r="D1551" s="46"/>
      <c r="E1551" s="46"/>
      <c r="F1551" s="97"/>
      <c r="G1551" s="99"/>
      <c r="J1551" s="67"/>
      <c r="K1551" s="14"/>
      <c r="L1551" s="2"/>
    </row>
    <row r="1552" spans="1:12" x14ac:dyDescent="0.2">
      <c r="A1552" s="14"/>
      <c r="B1552" s="97"/>
      <c r="C1552" s="46"/>
      <c r="D1552" s="46"/>
      <c r="E1552" s="46"/>
      <c r="F1552" s="97"/>
      <c r="G1552" s="99"/>
      <c r="J1552" s="67"/>
      <c r="K1552" s="14"/>
      <c r="L1552" s="2"/>
    </row>
    <row r="1553" spans="1:12" x14ac:dyDescent="0.2">
      <c r="A1553" s="14"/>
      <c r="B1553" s="97"/>
      <c r="C1553" s="46"/>
      <c r="D1553" s="46"/>
      <c r="E1553" s="46"/>
      <c r="F1553" s="97"/>
      <c r="G1553" s="99"/>
      <c r="J1553" s="67"/>
      <c r="K1553" s="14"/>
      <c r="L1553" s="2"/>
    </row>
    <row r="1554" spans="1:12" x14ac:dyDescent="0.2">
      <c r="A1554" s="14"/>
      <c r="B1554" s="97"/>
      <c r="C1554" s="46"/>
      <c r="D1554" s="46"/>
      <c r="E1554" s="46"/>
      <c r="F1554" s="97"/>
      <c r="G1554" s="99"/>
      <c r="J1554" s="67"/>
      <c r="K1554" s="14"/>
      <c r="L1554" s="2"/>
    </row>
    <row r="1555" spans="1:12" x14ac:dyDescent="0.2">
      <c r="A1555" s="14"/>
      <c r="B1555" s="97"/>
      <c r="C1555" s="46"/>
      <c r="D1555" s="46"/>
      <c r="E1555" s="46"/>
      <c r="F1555" s="97"/>
      <c r="G1555" s="99"/>
      <c r="J1555" s="67"/>
      <c r="K1555" s="14"/>
      <c r="L1555" s="2"/>
    </row>
    <row r="1556" spans="1:12" x14ac:dyDescent="0.2">
      <c r="A1556" s="14"/>
      <c r="B1556" s="97"/>
      <c r="C1556" s="46"/>
      <c r="D1556" s="46"/>
      <c r="E1556" s="46"/>
      <c r="F1556" s="97"/>
      <c r="G1556" s="99"/>
      <c r="J1556" s="67"/>
      <c r="K1556" s="14"/>
      <c r="L1556" s="2"/>
    </row>
    <row r="1557" spans="1:12" x14ac:dyDescent="0.2">
      <c r="A1557" s="14"/>
      <c r="B1557" s="97"/>
      <c r="C1557" s="46"/>
      <c r="D1557" s="46"/>
      <c r="E1557" s="46"/>
      <c r="F1557" s="97"/>
      <c r="G1557" s="99"/>
      <c r="J1557" s="67"/>
      <c r="K1557" s="14"/>
      <c r="L1557" s="2"/>
    </row>
    <row r="1558" spans="1:12" x14ac:dyDescent="0.2">
      <c r="A1558" s="14"/>
      <c r="B1558" s="97"/>
      <c r="C1558" s="46"/>
      <c r="D1558" s="46"/>
      <c r="E1558" s="46"/>
      <c r="F1558" s="97"/>
      <c r="G1558" s="99"/>
      <c r="J1558" s="67"/>
      <c r="K1558" s="14"/>
      <c r="L1558" s="2"/>
    </row>
    <row r="1559" spans="1:12" x14ac:dyDescent="0.2">
      <c r="A1559" s="14"/>
      <c r="B1559" s="97"/>
      <c r="C1559" s="46"/>
      <c r="D1559" s="46"/>
      <c r="E1559" s="46"/>
      <c r="F1559" s="97"/>
      <c r="G1559" s="99"/>
      <c r="J1559" s="67"/>
      <c r="K1559" s="14"/>
      <c r="L1559" s="2"/>
    </row>
    <row r="1560" spans="1:12" x14ac:dyDescent="0.2">
      <c r="A1560" s="14"/>
      <c r="B1560" s="97"/>
      <c r="C1560" s="46"/>
      <c r="D1560" s="46"/>
      <c r="E1560" s="46"/>
      <c r="F1560" s="97"/>
      <c r="G1560" s="99"/>
      <c r="J1560" s="67"/>
      <c r="K1560" s="14"/>
      <c r="L1560" s="2"/>
    </row>
    <row r="1561" spans="1:12" x14ac:dyDescent="0.2">
      <c r="A1561" s="14"/>
      <c r="B1561" s="97"/>
      <c r="C1561" s="46"/>
      <c r="D1561" s="46"/>
      <c r="E1561" s="46"/>
      <c r="F1561" s="97"/>
      <c r="G1561" s="99"/>
      <c r="J1561" s="67"/>
      <c r="K1561" s="14"/>
      <c r="L1561" s="2"/>
    </row>
    <row r="1562" spans="1:12" x14ac:dyDescent="0.2">
      <c r="A1562" s="14"/>
      <c r="B1562" s="97"/>
      <c r="C1562" s="46"/>
      <c r="D1562" s="46"/>
      <c r="E1562" s="46"/>
      <c r="F1562" s="97"/>
      <c r="G1562" s="99"/>
      <c r="J1562" s="67"/>
      <c r="K1562" s="14"/>
      <c r="L1562" s="2"/>
    </row>
    <row r="1563" spans="1:12" x14ac:dyDescent="0.2">
      <c r="A1563" s="14"/>
      <c r="B1563" s="97"/>
      <c r="C1563" s="46"/>
      <c r="D1563" s="46"/>
      <c r="E1563" s="46"/>
      <c r="F1563" s="97"/>
      <c r="G1563" s="99"/>
      <c r="J1563" s="67"/>
      <c r="K1563" s="14"/>
      <c r="L1563" s="2"/>
    </row>
    <row r="1564" spans="1:12" x14ac:dyDescent="0.2">
      <c r="A1564" s="14"/>
      <c r="B1564" s="97"/>
      <c r="C1564" s="46"/>
      <c r="D1564" s="46"/>
      <c r="E1564" s="46"/>
      <c r="F1564" s="97"/>
      <c r="G1564" s="99"/>
      <c r="J1564" s="67"/>
      <c r="K1564" s="14"/>
      <c r="L1564" s="2"/>
    </row>
    <row r="1565" spans="1:12" x14ac:dyDescent="0.2">
      <c r="A1565" s="14"/>
      <c r="B1565" s="97"/>
      <c r="C1565" s="46"/>
      <c r="D1565" s="46"/>
      <c r="E1565" s="46"/>
      <c r="F1565" s="97"/>
      <c r="G1565" s="99"/>
      <c r="J1565" s="67"/>
      <c r="K1565" s="14"/>
      <c r="L1565" s="2"/>
    </row>
    <row r="1566" spans="1:12" x14ac:dyDescent="0.2">
      <c r="A1566" s="14"/>
      <c r="B1566" s="97"/>
      <c r="C1566" s="46"/>
      <c r="D1566" s="46"/>
      <c r="E1566" s="46"/>
      <c r="F1566" s="97"/>
      <c r="G1566" s="99"/>
      <c r="J1566" s="67"/>
      <c r="K1566" s="14"/>
      <c r="L1566" s="2"/>
    </row>
    <row r="1567" spans="1:12" x14ac:dyDescent="0.2">
      <c r="A1567" s="14"/>
      <c r="B1567" s="97"/>
      <c r="C1567" s="46"/>
      <c r="D1567" s="46"/>
      <c r="E1567" s="46"/>
      <c r="F1567" s="97"/>
      <c r="G1567" s="99"/>
      <c r="J1567" s="67"/>
      <c r="K1567" s="14"/>
      <c r="L1567" s="2"/>
    </row>
    <row r="1568" spans="1:12" x14ac:dyDescent="0.2">
      <c r="A1568" s="14"/>
      <c r="B1568" s="97"/>
      <c r="C1568" s="46"/>
      <c r="D1568" s="46"/>
      <c r="E1568" s="46"/>
      <c r="F1568" s="97"/>
      <c r="G1568" s="99"/>
      <c r="J1568" s="67"/>
      <c r="K1568" s="14"/>
      <c r="L1568" s="2"/>
    </row>
    <row r="1569" spans="1:12" x14ac:dyDescent="0.2">
      <c r="A1569" s="14"/>
      <c r="B1569" s="97"/>
      <c r="C1569" s="46"/>
      <c r="D1569" s="46"/>
      <c r="E1569" s="46"/>
      <c r="F1569" s="97"/>
      <c r="G1569" s="99"/>
      <c r="J1569" s="67"/>
      <c r="K1569" s="14"/>
      <c r="L1569" s="2"/>
    </row>
    <row r="1570" spans="1:12" x14ac:dyDescent="0.2">
      <c r="A1570" s="14"/>
      <c r="B1570" s="97"/>
      <c r="C1570" s="46"/>
      <c r="D1570" s="46"/>
      <c r="E1570" s="46"/>
      <c r="F1570" s="97"/>
      <c r="G1570" s="99"/>
      <c r="J1570" s="67"/>
      <c r="K1570" s="14"/>
      <c r="L1570" s="2"/>
    </row>
    <row r="1571" spans="1:12" x14ac:dyDescent="0.2">
      <c r="A1571" s="14"/>
      <c r="B1571" s="97"/>
      <c r="C1571" s="46"/>
      <c r="D1571" s="46"/>
      <c r="E1571" s="46"/>
      <c r="F1571" s="97"/>
      <c r="G1571" s="99"/>
      <c r="J1571" s="67"/>
      <c r="K1571" s="14"/>
      <c r="L1571" s="2"/>
    </row>
    <row r="1572" spans="1:12" x14ac:dyDescent="0.2">
      <c r="A1572" s="14"/>
      <c r="B1572" s="97"/>
      <c r="C1572" s="46"/>
      <c r="D1572" s="46"/>
      <c r="E1572" s="46"/>
      <c r="F1572" s="97"/>
      <c r="G1572" s="99"/>
      <c r="J1572" s="67"/>
      <c r="K1572" s="14"/>
      <c r="L1572" s="2"/>
    </row>
    <row r="1573" spans="1:12" x14ac:dyDescent="0.2">
      <c r="A1573" s="14"/>
      <c r="B1573" s="97"/>
      <c r="C1573" s="46"/>
      <c r="D1573" s="46"/>
      <c r="E1573" s="46"/>
      <c r="F1573" s="97"/>
      <c r="G1573" s="99"/>
      <c r="J1573" s="67"/>
      <c r="K1573" s="14"/>
      <c r="L1573" s="2"/>
    </row>
    <row r="1574" spans="1:12" x14ac:dyDescent="0.2">
      <c r="A1574" s="14"/>
      <c r="B1574" s="97"/>
      <c r="C1574" s="46"/>
      <c r="D1574" s="46"/>
      <c r="E1574" s="46"/>
      <c r="F1574" s="97"/>
      <c r="G1574" s="99"/>
      <c r="J1574" s="67"/>
      <c r="K1574" s="14"/>
      <c r="L1574" s="2"/>
    </row>
    <row r="1575" spans="1:12" x14ac:dyDescent="0.2">
      <c r="A1575" s="14"/>
      <c r="B1575" s="97"/>
      <c r="C1575" s="46"/>
      <c r="D1575" s="46"/>
      <c r="E1575" s="46"/>
      <c r="F1575" s="97"/>
      <c r="G1575" s="99"/>
      <c r="J1575" s="67"/>
      <c r="K1575" s="14"/>
      <c r="L1575" s="2"/>
    </row>
    <row r="1576" spans="1:12" x14ac:dyDescent="0.2">
      <c r="A1576" s="14"/>
      <c r="B1576" s="97"/>
      <c r="C1576" s="46"/>
      <c r="D1576" s="46"/>
      <c r="E1576" s="46"/>
      <c r="F1576" s="97"/>
      <c r="G1576" s="99"/>
      <c r="J1576" s="67"/>
      <c r="K1576" s="14"/>
      <c r="L1576" s="2"/>
    </row>
    <row r="1577" spans="1:12" x14ac:dyDescent="0.2">
      <c r="A1577" s="14"/>
      <c r="B1577" s="97"/>
      <c r="C1577" s="46"/>
      <c r="F1577" s="7"/>
      <c r="G1577" s="23"/>
      <c r="K1577" s="14"/>
      <c r="L1577" s="2"/>
    </row>
    <row r="1578" spans="1:12" x14ac:dyDescent="0.2">
      <c r="A1578" s="14"/>
      <c r="B1578" s="97"/>
      <c r="C1578" s="46"/>
      <c r="F1578" s="11"/>
      <c r="K1578" s="14"/>
      <c r="L1578" s="2"/>
    </row>
    <row r="1579" spans="1:12" x14ac:dyDescent="0.2">
      <c r="A1579" s="14"/>
      <c r="B1579" s="97"/>
      <c r="C1579" s="46"/>
      <c r="F1579" s="11"/>
      <c r="K1579" s="14"/>
      <c r="L1579" s="2"/>
    </row>
    <row r="1580" spans="1:12" x14ac:dyDescent="0.2">
      <c r="A1580" s="14"/>
      <c r="B1580" s="97"/>
      <c r="C1580" s="46"/>
      <c r="F1580" s="11"/>
      <c r="K1580" s="14"/>
      <c r="L1580" s="2"/>
    </row>
    <row r="1581" spans="1:12" x14ac:dyDescent="0.2">
      <c r="A1581" s="14"/>
      <c r="B1581" s="97"/>
      <c r="C1581" s="46"/>
      <c r="F1581" s="11"/>
      <c r="K1581" s="14"/>
      <c r="L1581" s="2"/>
    </row>
    <row r="1582" spans="1:12" x14ac:dyDescent="0.2">
      <c r="A1582" s="14"/>
      <c r="B1582" s="97"/>
      <c r="C1582" s="46"/>
      <c r="F1582" s="11"/>
      <c r="K1582" s="14"/>
      <c r="L1582" s="2"/>
    </row>
    <row r="1583" spans="1:12" x14ac:dyDescent="0.2">
      <c r="A1583" s="14"/>
      <c r="B1583" s="97"/>
      <c r="C1583" s="46"/>
      <c r="F1583" s="11"/>
      <c r="K1583" s="14"/>
      <c r="L1583" s="2"/>
    </row>
    <row r="1584" spans="1:12" x14ac:dyDescent="0.2">
      <c r="A1584" s="14"/>
      <c r="B1584" s="97"/>
      <c r="C1584" s="46"/>
      <c r="F1584" s="11"/>
      <c r="K1584" s="14"/>
      <c r="L1584" s="2"/>
    </row>
    <row r="1585" spans="1:12" x14ac:dyDescent="0.2">
      <c r="A1585" s="14"/>
      <c r="B1585" s="97"/>
      <c r="C1585" s="46"/>
      <c r="F1585" s="11"/>
      <c r="K1585" s="14"/>
      <c r="L1585" s="2"/>
    </row>
    <row r="1586" spans="1:12" x14ac:dyDescent="0.2">
      <c r="A1586" s="14"/>
      <c r="B1586" s="97"/>
      <c r="C1586" s="46"/>
      <c r="F1586" s="11"/>
      <c r="K1586" s="14"/>
      <c r="L1586" s="2"/>
    </row>
    <row r="1587" spans="1:12" x14ac:dyDescent="0.2">
      <c r="A1587" s="14"/>
      <c r="B1587" s="97"/>
      <c r="C1587" s="46"/>
      <c r="F1587" s="11"/>
      <c r="K1587" s="14"/>
      <c r="L1587" s="2"/>
    </row>
    <row r="1588" spans="1:12" x14ac:dyDescent="0.2">
      <c r="A1588" s="14"/>
      <c r="B1588" s="97"/>
      <c r="C1588" s="46"/>
      <c r="F1588" s="11"/>
      <c r="K1588" s="14"/>
      <c r="L1588" s="2"/>
    </row>
    <row r="1589" spans="1:12" x14ac:dyDescent="0.2">
      <c r="A1589" s="14"/>
      <c r="B1589" s="97"/>
      <c r="C1589" s="46"/>
      <c r="F1589" s="11"/>
      <c r="K1589" s="14"/>
      <c r="L1589" s="2"/>
    </row>
    <row r="1590" spans="1:12" x14ac:dyDescent="0.2">
      <c r="A1590" s="14"/>
      <c r="B1590" s="97"/>
      <c r="C1590" s="46"/>
      <c r="F1590" s="11"/>
      <c r="K1590" s="14"/>
      <c r="L1590" s="2"/>
    </row>
    <row r="1591" spans="1:12" x14ac:dyDescent="0.2">
      <c r="A1591" s="14"/>
      <c r="B1591" s="97"/>
      <c r="C1591" s="46"/>
      <c r="F1591" s="11"/>
      <c r="K1591" s="14"/>
      <c r="L1591" s="2"/>
    </row>
    <row r="1592" spans="1:12" x14ac:dyDescent="0.2">
      <c r="A1592" s="14"/>
      <c r="B1592" s="97"/>
      <c r="C1592" s="46"/>
      <c r="F1592" s="11"/>
      <c r="K1592" s="14"/>
      <c r="L1592" s="2"/>
    </row>
    <row r="1593" spans="1:12" x14ac:dyDescent="0.2">
      <c r="A1593" s="14"/>
      <c r="B1593" s="97"/>
      <c r="C1593" s="46"/>
      <c r="F1593" s="11"/>
      <c r="K1593" s="14"/>
      <c r="L1593" s="2"/>
    </row>
    <row r="1594" spans="1:12" x14ac:dyDescent="0.2">
      <c r="A1594" s="14"/>
      <c r="B1594" s="97"/>
      <c r="C1594" s="46"/>
      <c r="F1594" s="11"/>
      <c r="K1594" s="14"/>
      <c r="L1594" s="2"/>
    </row>
    <row r="1595" spans="1:12" x14ac:dyDescent="0.2">
      <c r="A1595" s="14"/>
      <c r="B1595" s="97"/>
      <c r="C1595" s="46"/>
      <c r="F1595" s="11"/>
      <c r="K1595" s="14"/>
      <c r="L1595" s="2"/>
    </row>
    <row r="1596" spans="1:12" x14ac:dyDescent="0.2">
      <c r="A1596" s="14"/>
      <c r="B1596" s="97"/>
      <c r="C1596" s="46"/>
      <c r="F1596" s="11"/>
      <c r="K1596" s="14"/>
      <c r="L1596" s="2"/>
    </row>
    <row r="1597" spans="1:12" x14ac:dyDescent="0.2">
      <c r="A1597" s="14"/>
      <c r="B1597" s="97"/>
      <c r="C1597" s="46"/>
      <c r="F1597" s="11"/>
      <c r="K1597" s="14"/>
      <c r="L1597" s="2"/>
    </row>
    <row r="1598" spans="1:12" x14ac:dyDescent="0.2">
      <c r="A1598" s="14"/>
      <c r="B1598" s="97"/>
      <c r="C1598" s="46"/>
      <c r="F1598" s="11"/>
      <c r="K1598" s="14"/>
      <c r="L1598" s="2"/>
    </row>
    <row r="1599" spans="1:12" x14ac:dyDescent="0.2">
      <c r="A1599" s="14"/>
      <c r="B1599" s="97"/>
      <c r="C1599" s="46"/>
      <c r="F1599" s="11"/>
      <c r="K1599" s="14"/>
      <c r="L1599" s="2"/>
    </row>
    <row r="1600" spans="1:12" x14ac:dyDescent="0.2">
      <c r="A1600" s="14"/>
      <c r="B1600" s="97"/>
      <c r="C1600" s="46"/>
      <c r="F1600" s="11"/>
      <c r="K1600" s="14"/>
      <c r="L1600" s="2"/>
    </row>
    <row r="1601" spans="1:12" x14ac:dyDescent="0.2">
      <c r="A1601" s="14"/>
      <c r="B1601" s="97"/>
      <c r="C1601" s="46"/>
      <c r="F1601" s="11"/>
      <c r="K1601" s="14"/>
      <c r="L1601" s="2"/>
    </row>
    <row r="1602" spans="1:12" x14ac:dyDescent="0.2">
      <c r="A1602" s="14"/>
      <c r="B1602" s="97"/>
      <c r="C1602" s="46"/>
      <c r="F1602" s="11"/>
      <c r="K1602" s="14"/>
      <c r="L1602" s="2"/>
    </row>
    <row r="1603" spans="1:12" x14ac:dyDescent="0.2">
      <c r="A1603" s="14"/>
      <c r="B1603" s="97"/>
      <c r="C1603" s="46"/>
      <c r="F1603" s="11"/>
      <c r="K1603" s="14"/>
      <c r="L1603" s="2"/>
    </row>
    <row r="1604" spans="1:12" x14ac:dyDescent="0.2">
      <c r="A1604" s="14"/>
      <c r="B1604" s="97"/>
      <c r="C1604" s="46"/>
      <c r="F1604" s="11"/>
      <c r="K1604" s="14"/>
      <c r="L1604" s="2"/>
    </row>
    <row r="1605" spans="1:12" x14ac:dyDescent="0.2">
      <c r="A1605" s="14"/>
      <c r="B1605" s="97"/>
      <c r="C1605" s="46"/>
      <c r="F1605" s="11"/>
      <c r="K1605" s="14"/>
      <c r="L1605" s="2"/>
    </row>
    <row r="1606" spans="1:12" x14ac:dyDescent="0.2">
      <c r="A1606" s="14"/>
      <c r="B1606" s="97"/>
      <c r="C1606" s="46"/>
      <c r="F1606" s="11"/>
      <c r="K1606" s="14"/>
      <c r="L1606" s="2"/>
    </row>
    <row r="1607" spans="1:12" x14ac:dyDescent="0.2">
      <c r="A1607" s="14"/>
      <c r="B1607" s="97"/>
      <c r="C1607" s="46"/>
      <c r="F1607" s="11"/>
      <c r="K1607" s="14"/>
      <c r="L1607" s="2"/>
    </row>
    <row r="1608" spans="1:12" x14ac:dyDescent="0.2">
      <c r="A1608" s="14"/>
      <c r="B1608" s="97"/>
      <c r="C1608" s="46"/>
      <c r="F1608" s="11"/>
      <c r="K1608" s="14"/>
      <c r="L1608" s="2"/>
    </row>
    <row r="1609" spans="1:12" x14ac:dyDescent="0.2">
      <c r="A1609" s="14"/>
      <c r="B1609" s="97"/>
      <c r="C1609" s="46"/>
      <c r="F1609" s="11"/>
      <c r="K1609" s="14"/>
      <c r="L1609" s="2"/>
    </row>
    <row r="1610" spans="1:12" x14ac:dyDescent="0.2">
      <c r="A1610" s="14"/>
      <c r="B1610" s="97"/>
      <c r="C1610" s="46"/>
      <c r="F1610" s="11"/>
      <c r="K1610" s="14"/>
      <c r="L1610" s="2"/>
    </row>
    <row r="1611" spans="1:12" x14ac:dyDescent="0.2">
      <c r="A1611" s="14"/>
      <c r="B1611" s="97"/>
      <c r="C1611" s="46"/>
      <c r="F1611" s="11"/>
      <c r="K1611" s="14"/>
      <c r="L1611" s="2"/>
    </row>
    <row r="1612" spans="1:12" x14ac:dyDescent="0.2">
      <c r="A1612" s="14"/>
      <c r="B1612" s="97"/>
      <c r="C1612" s="46"/>
      <c r="F1612" s="11"/>
      <c r="K1612" s="14"/>
      <c r="L1612" s="2"/>
    </row>
    <row r="1613" spans="1:12" x14ac:dyDescent="0.2">
      <c r="A1613" s="14"/>
      <c r="B1613" s="97"/>
      <c r="C1613" s="46"/>
      <c r="F1613" s="11"/>
      <c r="K1613" s="14"/>
      <c r="L1613" s="2"/>
    </row>
    <row r="1614" spans="1:12" x14ac:dyDescent="0.2">
      <c r="A1614" s="14"/>
      <c r="B1614" s="97"/>
      <c r="C1614" s="46"/>
      <c r="F1614" s="11"/>
      <c r="K1614" s="14"/>
      <c r="L1614" s="2"/>
    </row>
    <row r="1615" spans="1:12" x14ac:dyDescent="0.2">
      <c r="A1615" s="14"/>
      <c r="B1615" s="97"/>
      <c r="C1615" s="46"/>
      <c r="F1615" s="11"/>
      <c r="K1615" s="14"/>
      <c r="L1615" s="2"/>
    </row>
    <row r="1616" spans="1:12" x14ac:dyDescent="0.2">
      <c r="A1616" s="14"/>
      <c r="B1616" s="97"/>
      <c r="C1616" s="46"/>
      <c r="F1616" s="11"/>
      <c r="K1616" s="14"/>
      <c r="L1616" s="2"/>
    </row>
    <row r="1617" spans="1:12" x14ac:dyDescent="0.2">
      <c r="A1617" s="14"/>
      <c r="B1617" s="97"/>
      <c r="C1617" s="46"/>
      <c r="F1617" s="11"/>
      <c r="K1617" s="14"/>
      <c r="L1617" s="2"/>
    </row>
    <row r="1618" spans="1:12" x14ac:dyDescent="0.2">
      <c r="A1618" s="14"/>
      <c r="B1618" s="97"/>
      <c r="C1618" s="46"/>
      <c r="F1618" s="11"/>
      <c r="K1618" s="14"/>
      <c r="L1618" s="2"/>
    </row>
    <row r="1619" spans="1:12" x14ac:dyDescent="0.2">
      <c r="A1619" s="14"/>
      <c r="B1619" s="97"/>
      <c r="C1619" s="46"/>
      <c r="F1619" s="11"/>
      <c r="K1619" s="14"/>
      <c r="L1619" s="2"/>
    </row>
    <row r="1620" spans="1:12" x14ac:dyDescent="0.2">
      <c r="A1620" s="14"/>
      <c r="B1620" s="97"/>
      <c r="C1620" s="46"/>
      <c r="F1620" s="11"/>
      <c r="K1620" s="14"/>
      <c r="L1620" s="2"/>
    </row>
    <row r="1621" spans="1:12" x14ac:dyDescent="0.2">
      <c r="A1621" s="14"/>
      <c r="B1621" s="97"/>
      <c r="C1621" s="46"/>
      <c r="F1621" s="11"/>
      <c r="K1621" s="14"/>
      <c r="L1621" s="2"/>
    </row>
    <row r="1622" spans="1:12" x14ac:dyDescent="0.2">
      <c r="A1622" s="14"/>
      <c r="B1622" s="97"/>
      <c r="C1622" s="46"/>
      <c r="F1622" s="11"/>
      <c r="K1622" s="14"/>
      <c r="L1622" s="2"/>
    </row>
    <row r="1623" spans="1:12" x14ac:dyDescent="0.2">
      <c r="A1623" s="14"/>
      <c r="B1623" s="97"/>
      <c r="C1623" s="46"/>
      <c r="F1623" s="11"/>
      <c r="K1623" s="14"/>
      <c r="L1623" s="2"/>
    </row>
    <row r="1624" spans="1:12" x14ac:dyDescent="0.2">
      <c r="A1624" s="14"/>
      <c r="B1624" s="97"/>
      <c r="C1624" s="46"/>
      <c r="F1624" s="11"/>
      <c r="K1624" s="14"/>
      <c r="L1624" s="2"/>
    </row>
    <row r="1625" spans="1:12" x14ac:dyDescent="0.2">
      <c r="A1625" s="14"/>
      <c r="B1625" s="97"/>
      <c r="C1625" s="46"/>
      <c r="F1625" s="11"/>
      <c r="K1625" s="14"/>
      <c r="L1625" s="2"/>
    </row>
    <row r="1626" spans="1:12" x14ac:dyDescent="0.2">
      <c r="A1626" s="14"/>
      <c r="B1626" s="97"/>
      <c r="C1626" s="46"/>
      <c r="F1626" s="11"/>
      <c r="K1626" s="14"/>
      <c r="L1626" s="2"/>
    </row>
    <row r="1627" spans="1:12" x14ac:dyDescent="0.2">
      <c r="A1627" s="14"/>
      <c r="B1627" s="97"/>
      <c r="C1627" s="46"/>
      <c r="F1627" s="11"/>
      <c r="K1627" s="14"/>
      <c r="L1627" s="2"/>
    </row>
    <row r="1628" spans="1:12" x14ac:dyDescent="0.2">
      <c r="A1628" s="14"/>
      <c r="B1628" s="97"/>
      <c r="C1628" s="46"/>
      <c r="F1628" s="11"/>
      <c r="K1628" s="14"/>
      <c r="L1628" s="2"/>
    </row>
    <row r="1629" spans="1:12" x14ac:dyDescent="0.2">
      <c r="A1629" s="14"/>
      <c r="B1629" s="97"/>
      <c r="C1629" s="46"/>
      <c r="F1629" s="11"/>
      <c r="K1629" s="14"/>
      <c r="L1629" s="2"/>
    </row>
    <row r="1630" spans="1:12" x14ac:dyDescent="0.2">
      <c r="A1630" s="14"/>
      <c r="B1630" s="97"/>
      <c r="C1630" s="46"/>
      <c r="F1630" s="11"/>
      <c r="K1630" s="14"/>
      <c r="L1630" s="2"/>
    </row>
    <row r="1631" spans="1:12" x14ac:dyDescent="0.2">
      <c r="A1631" s="14"/>
      <c r="B1631" s="97"/>
      <c r="C1631" s="46"/>
      <c r="F1631" s="11"/>
      <c r="K1631" s="14"/>
      <c r="L1631" s="2"/>
    </row>
    <row r="1632" spans="1:12" x14ac:dyDescent="0.2">
      <c r="A1632" s="14"/>
      <c r="B1632" s="97"/>
      <c r="C1632" s="46"/>
      <c r="F1632" s="11"/>
      <c r="K1632" s="14"/>
      <c r="L1632" s="2"/>
    </row>
    <row r="1633" spans="1:12" x14ac:dyDescent="0.2">
      <c r="A1633" s="14"/>
      <c r="B1633" s="97"/>
      <c r="C1633" s="46"/>
      <c r="F1633" s="11"/>
      <c r="K1633" s="14"/>
      <c r="L1633" s="2"/>
    </row>
    <row r="1634" spans="1:12" x14ac:dyDescent="0.2">
      <c r="A1634" s="14"/>
      <c r="B1634" s="97"/>
      <c r="C1634" s="46"/>
      <c r="F1634" s="11"/>
      <c r="K1634" s="14"/>
      <c r="L1634" s="2"/>
    </row>
    <row r="1635" spans="1:12" x14ac:dyDescent="0.2">
      <c r="A1635" s="14"/>
      <c r="B1635" s="97"/>
      <c r="C1635" s="46"/>
      <c r="F1635" s="11"/>
      <c r="K1635" s="14"/>
      <c r="L1635" s="2"/>
    </row>
    <row r="1636" spans="1:12" x14ac:dyDescent="0.2">
      <c r="A1636" s="14"/>
      <c r="B1636" s="97"/>
      <c r="C1636" s="46"/>
      <c r="F1636" s="11"/>
      <c r="K1636" s="14"/>
      <c r="L1636" s="2"/>
    </row>
    <row r="1637" spans="1:12" x14ac:dyDescent="0.2">
      <c r="A1637" s="14"/>
      <c r="B1637" s="97"/>
      <c r="C1637" s="46"/>
      <c r="F1637" s="11"/>
      <c r="K1637" s="14"/>
      <c r="L1637" s="2"/>
    </row>
    <row r="1638" spans="1:12" x14ac:dyDescent="0.2">
      <c r="A1638" s="14"/>
      <c r="B1638" s="97"/>
      <c r="C1638" s="46"/>
      <c r="F1638" s="11"/>
      <c r="K1638" s="14"/>
      <c r="L1638" s="2"/>
    </row>
    <row r="1639" spans="1:12" x14ac:dyDescent="0.2">
      <c r="A1639" s="14"/>
      <c r="B1639" s="97"/>
      <c r="C1639" s="46"/>
      <c r="F1639" s="11"/>
      <c r="K1639" s="14"/>
      <c r="L1639" s="2"/>
    </row>
    <row r="1640" spans="1:12" x14ac:dyDescent="0.2">
      <c r="A1640" s="14"/>
      <c r="B1640" s="97"/>
      <c r="C1640" s="46"/>
      <c r="F1640" s="11"/>
      <c r="K1640" s="14"/>
      <c r="L1640" s="2"/>
    </row>
    <row r="1641" spans="1:12" x14ac:dyDescent="0.2">
      <c r="A1641" s="14"/>
      <c r="B1641" s="97"/>
      <c r="C1641" s="46"/>
      <c r="F1641" s="11"/>
      <c r="K1641" s="14"/>
      <c r="L1641" s="2"/>
    </row>
    <row r="1642" spans="1:12" x14ac:dyDescent="0.2">
      <c r="A1642" s="14"/>
      <c r="B1642" s="97"/>
      <c r="C1642" s="46"/>
      <c r="F1642" s="11"/>
      <c r="K1642" s="14"/>
      <c r="L1642" s="2"/>
    </row>
    <row r="1643" spans="1:12" x14ac:dyDescent="0.2">
      <c r="A1643" s="14"/>
      <c r="B1643" s="97"/>
      <c r="C1643" s="46"/>
      <c r="F1643" s="11"/>
      <c r="K1643" s="14"/>
      <c r="L1643" s="2"/>
    </row>
    <row r="1644" spans="1:12" x14ac:dyDescent="0.2">
      <c r="A1644" s="14"/>
      <c r="B1644" s="97"/>
      <c r="C1644" s="46"/>
      <c r="F1644" s="11"/>
      <c r="K1644" s="14"/>
      <c r="L1644" s="2"/>
    </row>
    <row r="1645" spans="1:12" x14ac:dyDescent="0.2">
      <c r="A1645" s="14"/>
      <c r="B1645" s="97"/>
      <c r="C1645" s="46"/>
      <c r="F1645" s="11"/>
      <c r="K1645" s="14"/>
      <c r="L1645" s="2"/>
    </row>
    <row r="1646" spans="1:12" x14ac:dyDescent="0.2">
      <c r="A1646" s="14"/>
      <c r="B1646" s="97"/>
      <c r="C1646" s="46"/>
      <c r="F1646" s="11"/>
      <c r="K1646" s="14"/>
      <c r="L1646" s="2"/>
    </row>
    <row r="1647" spans="1:12" x14ac:dyDescent="0.2">
      <c r="A1647" s="14"/>
      <c r="B1647" s="97"/>
      <c r="C1647" s="46"/>
      <c r="F1647" s="11"/>
      <c r="K1647" s="14"/>
      <c r="L1647" s="2"/>
    </row>
    <row r="1648" spans="1:12" x14ac:dyDescent="0.2">
      <c r="A1648" s="14"/>
      <c r="B1648" s="97"/>
      <c r="C1648" s="46"/>
      <c r="F1648" s="11"/>
      <c r="K1648" s="14"/>
      <c r="L1648" s="2"/>
    </row>
    <row r="1649" spans="1:12" x14ac:dyDescent="0.2">
      <c r="A1649" s="14"/>
      <c r="B1649" s="97"/>
      <c r="C1649" s="46"/>
      <c r="F1649" s="11"/>
      <c r="K1649" s="14"/>
      <c r="L1649" s="2"/>
    </row>
    <row r="1650" spans="1:12" x14ac:dyDescent="0.2">
      <c r="A1650" s="14"/>
      <c r="B1650" s="97"/>
      <c r="C1650" s="46"/>
      <c r="F1650" s="11"/>
      <c r="K1650" s="14"/>
      <c r="L1650" s="2"/>
    </row>
    <row r="1651" spans="1:12" x14ac:dyDescent="0.2">
      <c r="A1651" s="14"/>
      <c r="B1651" s="97"/>
      <c r="C1651" s="46"/>
      <c r="F1651" s="11"/>
      <c r="K1651" s="14"/>
      <c r="L1651" s="2"/>
    </row>
    <row r="1652" spans="1:12" x14ac:dyDescent="0.2">
      <c r="A1652" s="14"/>
      <c r="B1652" s="97"/>
      <c r="C1652" s="46"/>
      <c r="F1652" s="11"/>
      <c r="K1652" s="14"/>
      <c r="L1652" s="2"/>
    </row>
    <row r="1653" spans="1:12" x14ac:dyDescent="0.2">
      <c r="A1653" s="14"/>
      <c r="B1653" s="97"/>
      <c r="C1653" s="46"/>
      <c r="F1653" s="11"/>
      <c r="K1653" s="14"/>
      <c r="L1653" s="2"/>
    </row>
    <row r="1654" spans="1:12" x14ac:dyDescent="0.2">
      <c r="A1654" s="14"/>
      <c r="B1654" s="97"/>
      <c r="C1654" s="46"/>
      <c r="F1654" s="11"/>
      <c r="K1654" s="14"/>
      <c r="L1654" s="2"/>
    </row>
    <row r="1655" spans="1:12" x14ac:dyDescent="0.2">
      <c r="A1655" s="14"/>
      <c r="B1655" s="97"/>
      <c r="C1655" s="46"/>
      <c r="F1655" s="11"/>
      <c r="K1655" s="14"/>
      <c r="L1655" s="2"/>
    </row>
    <row r="1656" spans="1:12" x14ac:dyDescent="0.2">
      <c r="A1656" s="14"/>
      <c r="B1656" s="97"/>
      <c r="C1656" s="46"/>
      <c r="F1656" s="11"/>
      <c r="K1656" s="14"/>
      <c r="L1656" s="2"/>
    </row>
    <row r="1657" spans="1:12" x14ac:dyDescent="0.2">
      <c r="A1657" s="14"/>
      <c r="B1657" s="97"/>
      <c r="C1657" s="46"/>
      <c r="F1657" s="11"/>
      <c r="K1657" s="14"/>
      <c r="L1657" s="2"/>
    </row>
    <row r="1658" spans="1:12" x14ac:dyDescent="0.2">
      <c r="A1658" s="14"/>
      <c r="B1658" s="97"/>
      <c r="C1658" s="46"/>
      <c r="F1658" s="11"/>
      <c r="K1658" s="14"/>
      <c r="L1658" s="2"/>
    </row>
    <row r="1659" spans="1:12" x14ac:dyDescent="0.2">
      <c r="A1659" s="14"/>
      <c r="B1659" s="97"/>
      <c r="C1659" s="46"/>
      <c r="F1659" s="11"/>
      <c r="K1659" s="14"/>
      <c r="L1659" s="2"/>
    </row>
    <row r="1660" spans="1:12" x14ac:dyDescent="0.2">
      <c r="A1660" s="14"/>
      <c r="B1660" s="97"/>
      <c r="C1660" s="46"/>
      <c r="F1660" s="11"/>
      <c r="K1660" s="14"/>
      <c r="L1660" s="2"/>
    </row>
    <row r="1661" spans="1:12" x14ac:dyDescent="0.2">
      <c r="A1661" s="14"/>
      <c r="B1661" s="97"/>
      <c r="C1661" s="46"/>
      <c r="F1661" s="11"/>
      <c r="K1661" s="14"/>
      <c r="L1661" s="2"/>
    </row>
    <row r="1662" spans="1:12" x14ac:dyDescent="0.2">
      <c r="A1662" s="14"/>
      <c r="B1662" s="97"/>
      <c r="C1662" s="46"/>
      <c r="F1662" s="11"/>
      <c r="K1662" s="14"/>
      <c r="L1662" s="2"/>
    </row>
    <row r="1663" spans="1:12" x14ac:dyDescent="0.2">
      <c r="A1663" s="14"/>
      <c r="B1663" s="97"/>
      <c r="C1663" s="46"/>
      <c r="F1663" s="11"/>
      <c r="K1663" s="14"/>
      <c r="L1663" s="2"/>
    </row>
    <row r="1664" spans="1:12" x14ac:dyDescent="0.2">
      <c r="A1664" s="14"/>
      <c r="B1664" s="97"/>
      <c r="C1664" s="46"/>
      <c r="F1664" s="11"/>
      <c r="K1664" s="14"/>
      <c r="L1664" s="2"/>
    </row>
    <row r="1665" spans="1:12" x14ac:dyDescent="0.2">
      <c r="A1665" s="14"/>
      <c r="B1665" s="97"/>
      <c r="C1665" s="46"/>
      <c r="F1665" s="11"/>
      <c r="K1665" s="14"/>
      <c r="L1665" s="2"/>
    </row>
    <row r="1666" spans="1:12" x14ac:dyDescent="0.2">
      <c r="A1666" s="14"/>
      <c r="B1666" s="97"/>
      <c r="C1666" s="46"/>
      <c r="F1666" s="11"/>
      <c r="K1666" s="14"/>
      <c r="L1666" s="2"/>
    </row>
    <row r="1667" spans="1:12" x14ac:dyDescent="0.2">
      <c r="A1667" s="14"/>
      <c r="B1667" s="97"/>
      <c r="C1667" s="46"/>
      <c r="F1667" s="11"/>
      <c r="K1667" s="14"/>
      <c r="L1667" s="2"/>
    </row>
    <row r="1668" spans="1:12" x14ac:dyDescent="0.2">
      <c r="A1668" s="14"/>
      <c r="B1668" s="97"/>
      <c r="C1668" s="46"/>
      <c r="F1668" s="11"/>
      <c r="K1668" s="14"/>
      <c r="L1668" s="2"/>
    </row>
    <row r="1669" spans="1:12" x14ac:dyDescent="0.2">
      <c r="A1669" s="14"/>
      <c r="B1669" s="97"/>
      <c r="C1669" s="46"/>
      <c r="F1669" s="11"/>
      <c r="K1669" s="14"/>
      <c r="L1669" s="2"/>
    </row>
    <row r="1670" spans="1:12" x14ac:dyDescent="0.2">
      <c r="A1670" s="14"/>
      <c r="B1670" s="97"/>
      <c r="C1670" s="46"/>
      <c r="F1670" s="11"/>
      <c r="K1670" s="14"/>
      <c r="L1670" s="2"/>
    </row>
    <row r="1671" spans="1:12" x14ac:dyDescent="0.2">
      <c r="A1671" s="14"/>
      <c r="B1671" s="97"/>
      <c r="C1671" s="46"/>
      <c r="F1671" s="11"/>
      <c r="K1671" s="14"/>
      <c r="L1671" s="2"/>
    </row>
    <row r="1672" spans="1:12" x14ac:dyDescent="0.2">
      <c r="A1672" s="14"/>
      <c r="B1672" s="97"/>
      <c r="C1672" s="46"/>
      <c r="F1672" s="11"/>
      <c r="K1672" s="14"/>
      <c r="L1672" s="2"/>
    </row>
    <row r="1673" spans="1:12" x14ac:dyDescent="0.2">
      <c r="A1673" s="14"/>
      <c r="B1673" s="97"/>
      <c r="C1673" s="46"/>
      <c r="F1673" s="11"/>
      <c r="K1673" s="14"/>
      <c r="L1673" s="2"/>
    </row>
    <row r="1674" spans="1:12" x14ac:dyDescent="0.2">
      <c r="A1674" s="14"/>
      <c r="B1674" s="97"/>
      <c r="C1674" s="46"/>
      <c r="F1674" s="11"/>
      <c r="K1674" s="14"/>
      <c r="L1674" s="2"/>
    </row>
    <row r="1675" spans="1:12" x14ac:dyDescent="0.2">
      <c r="A1675" s="14"/>
      <c r="B1675" s="97"/>
      <c r="C1675" s="46"/>
      <c r="F1675" s="11"/>
      <c r="K1675" s="14"/>
      <c r="L1675" s="2"/>
    </row>
    <row r="1676" spans="1:12" x14ac:dyDescent="0.2">
      <c r="A1676" s="14"/>
      <c r="B1676" s="97"/>
      <c r="C1676" s="46"/>
      <c r="F1676" s="11"/>
      <c r="K1676" s="14"/>
      <c r="L1676" s="2"/>
    </row>
    <row r="1677" spans="1:12" x14ac:dyDescent="0.2">
      <c r="A1677" s="14"/>
      <c r="B1677" s="97"/>
      <c r="C1677" s="46"/>
      <c r="F1677" s="11"/>
      <c r="K1677" s="14"/>
      <c r="L1677" s="2"/>
    </row>
    <row r="1678" spans="1:12" x14ac:dyDescent="0.2">
      <c r="A1678" s="14"/>
      <c r="B1678" s="97"/>
      <c r="C1678" s="46"/>
      <c r="F1678" s="11"/>
      <c r="K1678" s="14"/>
      <c r="L1678" s="2"/>
    </row>
    <row r="1679" spans="1:12" x14ac:dyDescent="0.2">
      <c r="A1679" s="14"/>
      <c r="B1679" s="97"/>
      <c r="C1679" s="46"/>
      <c r="F1679" s="11"/>
      <c r="K1679" s="14"/>
      <c r="L1679" s="2"/>
    </row>
    <row r="1680" spans="1:12" x14ac:dyDescent="0.2">
      <c r="A1680" s="14"/>
      <c r="B1680" s="97"/>
      <c r="C1680" s="46"/>
      <c r="F1680" s="11"/>
      <c r="K1680" s="14"/>
      <c r="L1680" s="2"/>
    </row>
    <row r="1681" spans="1:12" x14ac:dyDescent="0.2">
      <c r="A1681" s="14"/>
      <c r="B1681" s="97"/>
      <c r="C1681" s="46"/>
      <c r="F1681" s="11"/>
      <c r="K1681" s="14"/>
      <c r="L1681" s="2"/>
    </row>
    <row r="1682" spans="1:12" x14ac:dyDescent="0.2">
      <c r="A1682" s="14"/>
      <c r="B1682" s="97"/>
      <c r="C1682" s="46"/>
      <c r="F1682" s="11"/>
      <c r="K1682" s="14"/>
      <c r="L1682" s="2"/>
    </row>
    <row r="1683" spans="1:12" x14ac:dyDescent="0.2">
      <c r="A1683" s="14"/>
      <c r="B1683" s="97"/>
      <c r="C1683" s="46"/>
      <c r="F1683" s="11"/>
      <c r="K1683" s="14"/>
      <c r="L1683" s="2"/>
    </row>
    <row r="1684" spans="1:12" x14ac:dyDescent="0.2">
      <c r="A1684" s="14"/>
      <c r="B1684" s="97"/>
      <c r="C1684" s="46"/>
      <c r="F1684" s="11"/>
      <c r="K1684" s="14"/>
      <c r="L1684" s="2"/>
    </row>
    <row r="1685" spans="1:12" x14ac:dyDescent="0.2">
      <c r="A1685" s="14"/>
      <c r="B1685" s="97"/>
      <c r="C1685" s="46"/>
      <c r="F1685" s="11"/>
      <c r="K1685" s="14"/>
      <c r="L1685" s="2"/>
    </row>
    <row r="1686" spans="1:12" x14ac:dyDescent="0.2">
      <c r="A1686" s="14"/>
      <c r="B1686" s="97"/>
      <c r="C1686" s="46"/>
      <c r="F1686" s="11"/>
      <c r="K1686" s="14"/>
      <c r="L1686" s="2"/>
    </row>
    <row r="1687" spans="1:12" x14ac:dyDescent="0.2">
      <c r="A1687" s="14"/>
      <c r="B1687" s="97"/>
      <c r="C1687" s="46"/>
      <c r="F1687" s="11"/>
      <c r="K1687" s="14"/>
      <c r="L1687" s="2"/>
    </row>
    <row r="1688" spans="1:12" x14ac:dyDescent="0.2">
      <c r="A1688" s="14"/>
      <c r="B1688" s="97"/>
      <c r="C1688" s="46"/>
      <c r="F1688" s="11"/>
      <c r="K1688" s="14"/>
      <c r="L1688" s="2"/>
    </row>
    <row r="1689" spans="1:12" x14ac:dyDescent="0.2">
      <c r="A1689" s="14"/>
      <c r="B1689" s="97"/>
      <c r="C1689" s="46"/>
      <c r="F1689" s="11"/>
      <c r="K1689" s="14"/>
      <c r="L1689" s="2"/>
    </row>
    <row r="1690" spans="1:12" x14ac:dyDescent="0.2">
      <c r="A1690" s="14"/>
      <c r="B1690" s="97"/>
      <c r="C1690" s="46"/>
      <c r="F1690" s="11"/>
      <c r="K1690" s="14"/>
      <c r="L1690" s="2"/>
    </row>
    <row r="1691" spans="1:12" x14ac:dyDescent="0.2">
      <c r="A1691" s="14"/>
      <c r="B1691" s="97"/>
      <c r="C1691" s="46"/>
      <c r="F1691" s="11"/>
      <c r="K1691" s="14"/>
      <c r="L1691" s="2"/>
    </row>
    <row r="1692" spans="1:12" x14ac:dyDescent="0.2">
      <c r="A1692" s="14"/>
      <c r="B1692" s="97"/>
      <c r="C1692" s="46"/>
      <c r="F1692" s="11"/>
      <c r="K1692" s="14"/>
      <c r="L1692" s="2"/>
    </row>
    <row r="1693" spans="1:12" x14ac:dyDescent="0.2">
      <c r="A1693" s="14"/>
      <c r="B1693" s="97"/>
      <c r="C1693" s="46"/>
      <c r="F1693" s="11"/>
      <c r="K1693" s="14"/>
      <c r="L1693" s="2"/>
    </row>
    <row r="1694" spans="1:12" x14ac:dyDescent="0.2">
      <c r="A1694" s="14"/>
      <c r="B1694" s="97"/>
      <c r="C1694" s="46"/>
      <c r="F1694" s="11"/>
      <c r="K1694" s="14"/>
      <c r="L1694" s="2"/>
    </row>
    <row r="1695" spans="1:12" x14ac:dyDescent="0.2">
      <c r="A1695" s="14"/>
      <c r="B1695" s="97"/>
      <c r="C1695" s="46"/>
      <c r="F1695" s="11"/>
      <c r="K1695" s="14"/>
      <c r="L1695" s="2"/>
    </row>
    <row r="1696" spans="1:12" x14ac:dyDescent="0.2">
      <c r="A1696" s="14"/>
      <c r="B1696" s="97"/>
      <c r="C1696" s="46"/>
      <c r="F1696" s="11"/>
      <c r="K1696" s="14"/>
      <c r="L1696" s="2"/>
    </row>
    <row r="1697" spans="1:12" x14ac:dyDescent="0.2">
      <c r="A1697" s="14"/>
      <c r="B1697" s="97"/>
      <c r="C1697" s="46"/>
      <c r="F1697" s="11"/>
      <c r="K1697" s="14"/>
      <c r="L1697" s="2"/>
    </row>
    <row r="1698" spans="1:12" x14ac:dyDescent="0.2">
      <c r="A1698" s="14"/>
      <c r="B1698" s="97"/>
      <c r="C1698" s="46"/>
      <c r="F1698" s="11"/>
      <c r="K1698" s="14"/>
      <c r="L1698" s="2"/>
    </row>
    <row r="1699" spans="1:12" x14ac:dyDescent="0.2">
      <c r="A1699" s="14"/>
      <c r="B1699" s="97"/>
      <c r="C1699" s="46"/>
      <c r="F1699" s="11"/>
      <c r="K1699" s="14"/>
      <c r="L1699" s="2"/>
    </row>
    <row r="1700" spans="1:12" x14ac:dyDescent="0.2">
      <c r="A1700" s="14"/>
      <c r="B1700" s="97"/>
      <c r="C1700" s="46"/>
      <c r="F1700" s="11"/>
      <c r="K1700" s="14"/>
      <c r="L1700" s="2"/>
    </row>
    <row r="1701" spans="1:12" x14ac:dyDescent="0.2">
      <c r="A1701" s="14"/>
      <c r="B1701" s="97"/>
      <c r="C1701" s="46"/>
      <c r="F1701" s="11"/>
      <c r="K1701" s="14"/>
      <c r="L1701" s="2"/>
    </row>
    <row r="1702" spans="1:12" x14ac:dyDescent="0.2">
      <c r="A1702" s="14"/>
      <c r="B1702" s="97"/>
      <c r="C1702" s="46"/>
      <c r="F1702" s="11"/>
      <c r="K1702" s="14"/>
      <c r="L1702" s="2"/>
    </row>
    <row r="1703" spans="1:12" x14ac:dyDescent="0.2">
      <c r="A1703" s="14"/>
      <c r="B1703" s="97"/>
      <c r="C1703" s="46"/>
      <c r="F1703" s="11"/>
      <c r="K1703" s="14"/>
      <c r="L1703" s="2"/>
    </row>
    <row r="1704" spans="1:12" x14ac:dyDescent="0.2">
      <c r="A1704" s="14"/>
      <c r="B1704" s="97"/>
      <c r="C1704" s="46"/>
      <c r="F1704" s="11"/>
      <c r="K1704" s="14"/>
      <c r="L1704" s="2"/>
    </row>
    <row r="1705" spans="1:12" x14ac:dyDescent="0.2">
      <c r="A1705" s="14"/>
      <c r="B1705" s="97"/>
      <c r="C1705" s="46"/>
      <c r="F1705" s="11"/>
      <c r="K1705" s="14"/>
      <c r="L1705" s="2"/>
    </row>
    <row r="1706" spans="1:12" x14ac:dyDescent="0.2">
      <c r="A1706" s="14"/>
      <c r="B1706" s="97"/>
      <c r="C1706" s="46"/>
      <c r="F1706" s="11"/>
      <c r="K1706" s="14"/>
      <c r="L1706" s="2"/>
    </row>
    <row r="1707" spans="1:12" x14ac:dyDescent="0.2">
      <c r="A1707" s="14"/>
      <c r="B1707" s="97"/>
      <c r="C1707" s="46"/>
      <c r="F1707" s="11"/>
      <c r="K1707" s="14"/>
      <c r="L1707" s="2"/>
    </row>
    <row r="1708" spans="1:12" x14ac:dyDescent="0.2">
      <c r="A1708" s="14"/>
      <c r="B1708" s="97"/>
      <c r="C1708" s="46"/>
      <c r="F1708" s="11"/>
      <c r="K1708" s="14"/>
      <c r="L1708" s="2"/>
    </row>
    <row r="1709" spans="1:12" x14ac:dyDescent="0.2">
      <c r="A1709" s="14"/>
      <c r="B1709" s="97"/>
      <c r="C1709" s="46"/>
      <c r="F1709" s="11"/>
      <c r="K1709" s="14"/>
      <c r="L1709" s="2"/>
    </row>
    <row r="1710" spans="1:12" x14ac:dyDescent="0.2">
      <c r="A1710" s="14"/>
      <c r="B1710" s="97"/>
      <c r="C1710" s="46"/>
      <c r="F1710" s="11"/>
      <c r="K1710" s="14"/>
      <c r="L1710" s="2"/>
    </row>
    <row r="1711" spans="1:12" x14ac:dyDescent="0.2">
      <c r="A1711" s="14"/>
      <c r="B1711" s="97"/>
      <c r="C1711" s="46"/>
      <c r="F1711" s="11"/>
      <c r="K1711" s="14"/>
      <c r="L1711" s="2"/>
    </row>
    <row r="1712" spans="1:12" x14ac:dyDescent="0.2">
      <c r="A1712" s="14"/>
      <c r="B1712" s="97"/>
      <c r="C1712" s="46"/>
      <c r="F1712" s="11"/>
      <c r="K1712" s="14"/>
      <c r="L1712" s="2"/>
    </row>
    <row r="1713" spans="1:12" x14ac:dyDescent="0.2">
      <c r="A1713" s="14"/>
      <c r="B1713" s="97"/>
      <c r="C1713" s="46"/>
      <c r="F1713" s="11"/>
      <c r="K1713" s="14"/>
      <c r="L1713" s="2"/>
    </row>
    <row r="1714" spans="1:12" x14ac:dyDescent="0.2">
      <c r="A1714" s="14"/>
      <c r="B1714" s="97"/>
      <c r="C1714" s="46"/>
      <c r="F1714" s="11"/>
      <c r="K1714" s="14"/>
      <c r="L1714" s="2"/>
    </row>
    <row r="1715" spans="1:12" x14ac:dyDescent="0.2">
      <c r="A1715" s="14"/>
      <c r="B1715" s="97"/>
      <c r="C1715" s="46"/>
      <c r="F1715" s="11"/>
      <c r="K1715" s="14"/>
      <c r="L1715" s="2"/>
    </row>
    <row r="1716" spans="1:12" x14ac:dyDescent="0.2">
      <c r="A1716" s="14"/>
      <c r="B1716" s="97"/>
      <c r="C1716" s="46"/>
      <c r="F1716" s="11"/>
      <c r="K1716" s="14"/>
      <c r="L1716" s="2"/>
    </row>
    <row r="1717" spans="1:12" x14ac:dyDescent="0.2">
      <c r="A1717" s="14"/>
      <c r="B1717" s="97"/>
      <c r="C1717" s="46"/>
      <c r="F1717" s="11"/>
      <c r="K1717" s="14"/>
      <c r="L1717" s="2"/>
    </row>
    <row r="1718" spans="1:12" x14ac:dyDescent="0.2">
      <c r="A1718" s="14"/>
      <c r="B1718" s="97"/>
      <c r="C1718" s="46"/>
      <c r="F1718" s="11"/>
      <c r="K1718" s="14"/>
      <c r="L1718" s="2"/>
    </row>
    <row r="1719" spans="1:12" x14ac:dyDescent="0.2">
      <c r="A1719" s="14"/>
      <c r="B1719" s="97"/>
      <c r="C1719" s="46"/>
      <c r="F1719" s="11"/>
      <c r="K1719" s="14"/>
      <c r="L1719" s="2"/>
    </row>
    <row r="1720" spans="1:12" x14ac:dyDescent="0.2">
      <c r="A1720" s="14"/>
      <c r="B1720" s="97"/>
      <c r="C1720" s="46"/>
      <c r="F1720" s="11"/>
      <c r="K1720" s="14"/>
      <c r="L1720" s="2"/>
    </row>
    <row r="1721" spans="1:12" x14ac:dyDescent="0.2">
      <c r="A1721" s="14"/>
      <c r="B1721" s="97"/>
      <c r="C1721" s="46"/>
      <c r="F1721" s="11"/>
      <c r="K1721" s="14"/>
      <c r="L1721" s="2"/>
    </row>
    <row r="1722" spans="1:12" x14ac:dyDescent="0.2">
      <c r="A1722" s="14"/>
      <c r="B1722" s="97"/>
      <c r="C1722" s="46"/>
      <c r="F1722" s="11"/>
      <c r="K1722" s="14"/>
      <c r="L1722" s="2"/>
    </row>
    <row r="1723" spans="1:12" x14ac:dyDescent="0.2">
      <c r="A1723" s="14"/>
      <c r="B1723" s="97"/>
      <c r="C1723" s="46"/>
      <c r="F1723" s="11"/>
      <c r="K1723" s="14"/>
      <c r="L1723" s="2"/>
    </row>
    <row r="1724" spans="1:12" x14ac:dyDescent="0.2">
      <c r="A1724" s="14"/>
      <c r="B1724" s="97"/>
      <c r="C1724" s="46"/>
      <c r="F1724" s="11"/>
      <c r="K1724" s="14"/>
      <c r="L1724" s="2"/>
    </row>
    <row r="1725" spans="1:12" x14ac:dyDescent="0.2">
      <c r="A1725" s="14"/>
      <c r="B1725" s="97"/>
      <c r="C1725" s="46"/>
      <c r="F1725" s="11"/>
      <c r="K1725" s="14"/>
      <c r="L1725" s="2"/>
    </row>
    <row r="1726" spans="1:12" x14ac:dyDescent="0.2">
      <c r="A1726" s="14"/>
      <c r="B1726" s="97"/>
      <c r="C1726" s="46"/>
      <c r="F1726" s="11"/>
      <c r="K1726" s="14"/>
      <c r="L1726" s="2"/>
    </row>
    <row r="1727" spans="1:12" x14ac:dyDescent="0.2">
      <c r="A1727" s="14"/>
      <c r="B1727" s="97"/>
      <c r="C1727" s="46"/>
      <c r="F1727" s="11"/>
      <c r="K1727" s="14"/>
      <c r="L1727" s="2"/>
    </row>
    <row r="1728" spans="1:12" x14ac:dyDescent="0.2">
      <c r="A1728" s="14"/>
      <c r="B1728" s="97"/>
      <c r="C1728" s="46"/>
      <c r="F1728" s="11"/>
      <c r="K1728" s="14"/>
      <c r="L1728" s="2"/>
    </row>
    <row r="1729" spans="1:12" x14ac:dyDescent="0.2">
      <c r="A1729" s="14"/>
      <c r="B1729" s="97"/>
      <c r="C1729" s="46"/>
      <c r="F1729" s="11"/>
      <c r="K1729" s="14"/>
      <c r="L1729" s="2"/>
    </row>
    <row r="1730" spans="1:12" x14ac:dyDescent="0.2">
      <c r="A1730" s="14"/>
      <c r="B1730" s="97"/>
      <c r="C1730" s="46"/>
      <c r="F1730" s="11"/>
      <c r="K1730" s="14"/>
      <c r="L1730" s="2"/>
    </row>
    <row r="1731" spans="1:12" x14ac:dyDescent="0.2">
      <c r="A1731" s="14"/>
      <c r="B1731" s="97"/>
      <c r="C1731" s="46"/>
      <c r="F1731" s="11"/>
      <c r="K1731" s="14"/>
      <c r="L1731" s="2"/>
    </row>
    <row r="1732" spans="1:12" x14ac:dyDescent="0.2">
      <c r="A1732" s="14"/>
      <c r="B1732" s="97"/>
      <c r="C1732" s="46"/>
      <c r="F1732" s="11"/>
      <c r="K1732" s="14"/>
      <c r="L1732" s="2"/>
    </row>
    <row r="1733" spans="1:12" x14ac:dyDescent="0.2">
      <c r="A1733" s="14"/>
      <c r="B1733" s="97"/>
      <c r="C1733" s="46"/>
      <c r="F1733" s="11"/>
      <c r="K1733" s="14"/>
      <c r="L1733" s="2"/>
    </row>
    <row r="1734" spans="1:12" x14ac:dyDescent="0.2">
      <c r="A1734" s="14"/>
      <c r="B1734" s="97"/>
      <c r="C1734" s="46"/>
      <c r="F1734" s="11"/>
      <c r="K1734" s="14"/>
      <c r="L1734" s="2"/>
    </row>
    <row r="1735" spans="1:12" x14ac:dyDescent="0.2">
      <c r="A1735" s="14"/>
      <c r="B1735" s="97"/>
      <c r="C1735" s="46"/>
      <c r="F1735" s="11"/>
      <c r="K1735" s="14"/>
      <c r="L1735" s="2"/>
    </row>
    <row r="1736" spans="1:12" x14ac:dyDescent="0.2">
      <c r="A1736" s="14"/>
      <c r="B1736" s="97"/>
      <c r="C1736" s="46"/>
      <c r="F1736" s="11"/>
      <c r="K1736" s="14"/>
      <c r="L1736" s="2"/>
    </row>
    <row r="1737" spans="1:12" x14ac:dyDescent="0.2">
      <c r="A1737" s="14"/>
      <c r="B1737" s="97"/>
      <c r="C1737" s="46"/>
      <c r="F1737" s="11"/>
      <c r="K1737" s="14"/>
      <c r="L1737" s="2"/>
    </row>
    <row r="1738" spans="1:12" x14ac:dyDescent="0.2">
      <c r="A1738" s="14"/>
      <c r="B1738" s="97"/>
      <c r="C1738" s="46"/>
      <c r="F1738" s="11"/>
      <c r="K1738" s="14"/>
      <c r="L1738" s="2"/>
    </row>
    <row r="1739" spans="1:12" x14ac:dyDescent="0.2">
      <c r="A1739" s="14"/>
      <c r="B1739" s="97"/>
      <c r="C1739" s="46"/>
      <c r="F1739" s="11"/>
      <c r="K1739" s="14"/>
      <c r="L1739" s="2"/>
    </row>
    <row r="1740" spans="1:12" x14ac:dyDescent="0.2">
      <c r="A1740" s="14"/>
      <c r="B1740" s="97"/>
      <c r="C1740" s="46"/>
      <c r="F1740" s="11"/>
      <c r="K1740" s="14"/>
      <c r="L1740" s="2"/>
    </row>
    <row r="1741" spans="1:12" x14ac:dyDescent="0.2">
      <c r="A1741" s="14"/>
      <c r="B1741" s="97"/>
      <c r="C1741" s="46"/>
      <c r="F1741" s="11"/>
      <c r="K1741" s="14"/>
      <c r="L1741" s="2"/>
    </row>
    <row r="1742" spans="1:12" x14ac:dyDescent="0.2">
      <c r="A1742" s="14"/>
      <c r="B1742" s="97"/>
      <c r="C1742" s="46"/>
      <c r="F1742" s="11"/>
      <c r="K1742" s="14"/>
      <c r="L1742" s="2"/>
    </row>
    <row r="1743" spans="1:12" x14ac:dyDescent="0.2">
      <c r="A1743" s="14"/>
      <c r="B1743" s="97"/>
      <c r="C1743" s="46"/>
      <c r="F1743" s="11"/>
      <c r="K1743" s="14"/>
      <c r="L1743" s="2"/>
    </row>
    <row r="1744" spans="1:12" x14ac:dyDescent="0.2">
      <c r="A1744" s="14"/>
      <c r="B1744" s="97"/>
      <c r="C1744" s="46"/>
      <c r="F1744" s="11"/>
      <c r="K1744" s="14"/>
      <c r="L1744" s="2"/>
    </row>
    <row r="1745" spans="1:12" x14ac:dyDescent="0.2">
      <c r="A1745" s="14"/>
      <c r="B1745" s="97"/>
      <c r="C1745" s="46"/>
      <c r="F1745" s="11"/>
      <c r="K1745" s="14"/>
      <c r="L1745" s="2"/>
    </row>
    <row r="1746" spans="1:12" x14ac:dyDescent="0.2">
      <c r="A1746" s="14"/>
      <c r="B1746" s="97"/>
      <c r="C1746" s="46"/>
      <c r="F1746" s="11"/>
      <c r="K1746" s="14"/>
      <c r="L1746" s="2"/>
    </row>
    <row r="1747" spans="1:12" x14ac:dyDescent="0.2">
      <c r="A1747" s="14"/>
      <c r="B1747" s="97"/>
      <c r="C1747" s="46"/>
      <c r="F1747" s="11"/>
      <c r="K1747" s="14"/>
      <c r="L1747" s="2"/>
    </row>
    <row r="1748" spans="1:12" x14ac:dyDescent="0.2">
      <c r="A1748" s="14"/>
      <c r="B1748" s="97"/>
      <c r="C1748" s="46"/>
      <c r="F1748" s="11"/>
      <c r="K1748" s="14"/>
      <c r="L1748" s="2"/>
    </row>
    <row r="1749" spans="1:12" x14ac:dyDescent="0.2">
      <c r="A1749" s="14"/>
      <c r="B1749" s="97"/>
      <c r="C1749" s="46"/>
      <c r="F1749" s="11"/>
      <c r="K1749" s="14"/>
      <c r="L1749" s="2"/>
    </row>
    <row r="1750" spans="1:12" x14ac:dyDescent="0.2">
      <c r="A1750" s="14"/>
      <c r="B1750" s="97"/>
      <c r="C1750" s="46"/>
      <c r="F1750" s="11"/>
      <c r="K1750" s="14"/>
      <c r="L1750" s="2"/>
    </row>
    <row r="1751" spans="1:12" x14ac:dyDescent="0.2">
      <c r="A1751" s="14"/>
      <c r="B1751" s="97"/>
      <c r="C1751" s="46"/>
      <c r="F1751" s="11"/>
      <c r="K1751" s="14"/>
      <c r="L1751" s="2"/>
    </row>
    <row r="1752" spans="1:12" x14ac:dyDescent="0.2">
      <c r="A1752" s="14"/>
      <c r="B1752" s="97"/>
      <c r="C1752" s="46"/>
      <c r="F1752" s="11"/>
      <c r="K1752" s="14"/>
      <c r="L1752" s="2"/>
    </row>
    <row r="1753" spans="1:12" x14ac:dyDescent="0.2">
      <c r="A1753" s="14"/>
      <c r="B1753" s="97"/>
      <c r="C1753" s="46"/>
      <c r="F1753" s="11"/>
      <c r="K1753" s="14"/>
      <c r="L1753" s="2"/>
    </row>
    <row r="1754" spans="1:12" x14ac:dyDescent="0.2">
      <c r="A1754" s="14"/>
      <c r="B1754" s="97"/>
      <c r="C1754" s="46"/>
      <c r="F1754" s="11"/>
      <c r="K1754" s="14"/>
      <c r="L1754" s="2"/>
    </row>
    <row r="1755" spans="1:12" x14ac:dyDescent="0.2">
      <c r="A1755" s="14"/>
      <c r="B1755" s="97"/>
      <c r="C1755" s="46"/>
      <c r="F1755" s="11"/>
      <c r="K1755" s="14"/>
      <c r="L1755" s="2"/>
    </row>
    <row r="1756" spans="1:12" x14ac:dyDescent="0.2">
      <c r="A1756" s="14"/>
      <c r="B1756" s="97"/>
      <c r="C1756" s="46"/>
      <c r="F1756" s="11"/>
      <c r="K1756" s="14"/>
      <c r="L1756" s="2"/>
    </row>
    <row r="1757" spans="1:12" x14ac:dyDescent="0.2">
      <c r="A1757" s="14"/>
      <c r="B1757" s="97"/>
      <c r="C1757" s="46"/>
      <c r="F1757" s="11"/>
      <c r="K1757" s="14"/>
      <c r="L1757" s="2"/>
    </row>
    <row r="1758" spans="1:12" x14ac:dyDescent="0.2">
      <c r="A1758" s="14"/>
      <c r="B1758" s="97"/>
      <c r="C1758" s="46"/>
      <c r="F1758" s="11"/>
      <c r="K1758" s="14"/>
      <c r="L1758" s="2"/>
    </row>
    <row r="1759" spans="1:12" x14ac:dyDescent="0.2">
      <c r="A1759" s="14"/>
      <c r="B1759" s="97"/>
      <c r="C1759" s="46"/>
      <c r="F1759" s="11"/>
      <c r="K1759" s="14"/>
      <c r="L1759" s="2"/>
    </row>
    <row r="1760" spans="1:12" x14ac:dyDescent="0.2">
      <c r="A1760" s="14"/>
      <c r="B1760" s="97"/>
      <c r="C1760" s="46"/>
      <c r="F1760" s="11"/>
      <c r="K1760" s="14"/>
      <c r="L1760" s="2"/>
    </row>
    <row r="1761" spans="1:12" x14ac:dyDescent="0.2">
      <c r="A1761" s="14"/>
      <c r="B1761" s="97"/>
      <c r="C1761" s="46"/>
      <c r="F1761" s="11"/>
      <c r="K1761" s="14"/>
      <c r="L1761" s="2"/>
    </row>
    <row r="1762" spans="1:12" x14ac:dyDescent="0.2">
      <c r="A1762" s="14"/>
      <c r="B1762" s="97"/>
      <c r="C1762" s="46"/>
      <c r="F1762" s="11"/>
      <c r="K1762" s="14"/>
      <c r="L1762" s="2"/>
    </row>
    <row r="1763" spans="1:12" x14ac:dyDescent="0.2">
      <c r="A1763" s="14"/>
      <c r="B1763" s="97"/>
      <c r="C1763" s="46"/>
      <c r="F1763" s="11"/>
      <c r="K1763" s="14"/>
      <c r="L1763" s="2"/>
    </row>
    <row r="1764" spans="1:12" x14ac:dyDescent="0.2">
      <c r="A1764" s="14"/>
      <c r="B1764" s="97"/>
      <c r="C1764" s="46"/>
      <c r="F1764" s="11"/>
      <c r="K1764" s="14"/>
      <c r="L1764" s="2"/>
    </row>
    <row r="1765" spans="1:12" x14ac:dyDescent="0.2">
      <c r="A1765" s="14"/>
      <c r="B1765" s="97"/>
      <c r="C1765" s="46"/>
      <c r="F1765" s="11"/>
      <c r="K1765" s="14"/>
      <c r="L1765" s="2"/>
    </row>
    <row r="1766" spans="1:12" x14ac:dyDescent="0.2">
      <c r="A1766" s="14"/>
      <c r="B1766" s="97"/>
      <c r="C1766" s="46"/>
      <c r="F1766" s="11"/>
      <c r="K1766" s="14"/>
      <c r="L1766" s="2"/>
    </row>
    <row r="1767" spans="1:12" x14ac:dyDescent="0.2">
      <c r="A1767" s="14"/>
      <c r="B1767" s="97"/>
      <c r="C1767" s="46"/>
      <c r="F1767" s="11"/>
      <c r="K1767" s="14"/>
      <c r="L1767" s="2"/>
    </row>
    <row r="1768" spans="1:12" x14ac:dyDescent="0.2">
      <c r="A1768" s="14"/>
      <c r="B1768" s="97"/>
      <c r="C1768" s="46"/>
      <c r="F1768" s="11"/>
      <c r="K1768" s="14"/>
      <c r="L1768" s="2"/>
    </row>
    <row r="1769" spans="1:12" x14ac:dyDescent="0.2">
      <c r="A1769" s="14"/>
      <c r="B1769" s="97"/>
      <c r="C1769" s="46"/>
      <c r="F1769" s="11"/>
      <c r="K1769" s="14"/>
      <c r="L1769" s="2"/>
    </row>
    <row r="1770" spans="1:12" x14ac:dyDescent="0.2">
      <c r="A1770" s="14"/>
      <c r="B1770" s="97"/>
      <c r="C1770" s="46"/>
      <c r="F1770" s="11"/>
      <c r="K1770" s="14"/>
      <c r="L1770" s="2"/>
    </row>
    <row r="1771" spans="1:12" x14ac:dyDescent="0.2">
      <c r="A1771" s="14"/>
      <c r="B1771" s="97"/>
      <c r="C1771" s="46"/>
      <c r="F1771" s="11"/>
      <c r="K1771" s="14"/>
      <c r="L1771" s="2"/>
    </row>
    <row r="1772" spans="1:12" x14ac:dyDescent="0.2">
      <c r="A1772" s="14"/>
      <c r="B1772" s="97"/>
      <c r="C1772" s="46"/>
      <c r="F1772" s="11"/>
      <c r="K1772" s="14"/>
      <c r="L1772" s="2"/>
    </row>
    <row r="1773" spans="1:12" x14ac:dyDescent="0.2">
      <c r="A1773" s="14"/>
      <c r="B1773" s="97"/>
      <c r="C1773" s="46"/>
      <c r="F1773" s="11"/>
      <c r="K1773" s="14"/>
      <c r="L1773" s="2"/>
    </row>
    <row r="1774" spans="1:12" x14ac:dyDescent="0.2">
      <c r="A1774" s="14"/>
      <c r="B1774" s="97"/>
      <c r="C1774" s="46"/>
      <c r="F1774" s="11"/>
      <c r="K1774" s="14"/>
      <c r="L1774" s="2"/>
    </row>
    <row r="1775" spans="1:12" x14ac:dyDescent="0.2">
      <c r="A1775" s="14"/>
      <c r="B1775" s="97"/>
      <c r="C1775" s="46"/>
      <c r="F1775" s="11"/>
      <c r="K1775" s="14"/>
      <c r="L1775" s="2"/>
    </row>
    <row r="1776" spans="1:12" x14ac:dyDescent="0.2">
      <c r="A1776" s="14"/>
      <c r="B1776" s="97"/>
      <c r="C1776" s="46"/>
      <c r="F1776" s="11"/>
      <c r="K1776" s="14"/>
      <c r="L1776" s="2"/>
    </row>
    <row r="1777" spans="1:12" x14ac:dyDescent="0.2">
      <c r="A1777" s="14"/>
      <c r="B1777" s="97"/>
      <c r="C1777" s="46"/>
      <c r="F1777" s="11"/>
      <c r="K1777" s="14"/>
      <c r="L1777" s="2"/>
    </row>
    <row r="1778" spans="1:12" x14ac:dyDescent="0.2">
      <c r="A1778" s="14"/>
      <c r="B1778" s="97"/>
      <c r="C1778" s="46"/>
      <c r="F1778" s="11"/>
      <c r="K1778" s="14"/>
      <c r="L1778" s="2"/>
    </row>
    <row r="1779" spans="1:12" x14ac:dyDescent="0.2">
      <c r="A1779" s="14"/>
      <c r="B1779" s="97"/>
      <c r="C1779" s="46"/>
      <c r="F1779" s="11"/>
      <c r="K1779" s="14"/>
      <c r="L1779" s="2"/>
    </row>
    <row r="1780" spans="1:12" x14ac:dyDescent="0.2">
      <c r="A1780" s="14"/>
      <c r="B1780" s="97"/>
      <c r="C1780" s="46"/>
      <c r="F1780" s="11"/>
      <c r="K1780" s="14"/>
      <c r="L1780" s="2"/>
    </row>
    <row r="1781" spans="1:12" x14ac:dyDescent="0.2">
      <c r="A1781" s="14"/>
      <c r="B1781" s="97"/>
      <c r="C1781" s="46"/>
      <c r="F1781" s="11"/>
      <c r="K1781" s="14"/>
      <c r="L1781" s="2"/>
    </row>
    <row r="1782" spans="1:12" x14ac:dyDescent="0.2">
      <c r="A1782" s="14"/>
      <c r="B1782" s="97"/>
      <c r="C1782" s="46"/>
      <c r="F1782" s="11"/>
      <c r="K1782" s="1"/>
      <c r="L1782" s="2"/>
    </row>
    <row r="1783" spans="1:12" x14ac:dyDescent="0.2">
      <c r="A1783" s="14"/>
      <c r="B1783" s="97"/>
      <c r="C1783" s="46"/>
      <c r="F1783" s="11"/>
      <c r="K1783" s="1"/>
      <c r="L1783" s="2"/>
    </row>
    <row r="1784" spans="1:12" x14ac:dyDescent="0.2">
      <c r="A1784" s="14"/>
      <c r="B1784" s="97"/>
      <c r="C1784" s="46"/>
      <c r="F1784" s="11"/>
      <c r="K1784" s="1"/>
      <c r="L1784" s="2"/>
    </row>
    <row r="1785" spans="1:12" x14ac:dyDescent="0.2">
      <c r="A1785" s="14"/>
      <c r="B1785" s="97"/>
      <c r="C1785" s="46"/>
      <c r="F1785" s="11"/>
      <c r="K1785" s="1"/>
      <c r="L1785" s="2"/>
    </row>
    <row r="1786" spans="1:12" x14ac:dyDescent="0.2">
      <c r="A1786" s="14"/>
      <c r="B1786" s="97"/>
      <c r="C1786" s="46"/>
      <c r="F1786" s="11"/>
      <c r="K1786" s="1"/>
      <c r="L1786" s="2"/>
    </row>
    <row r="1787" spans="1:12" x14ac:dyDescent="0.2">
      <c r="A1787" s="14"/>
      <c r="B1787" s="97"/>
      <c r="C1787" s="46"/>
      <c r="F1787" s="11"/>
      <c r="K1787" s="1"/>
      <c r="L1787" s="2"/>
    </row>
    <row r="1788" spans="1:12" x14ac:dyDescent="0.2">
      <c r="A1788" s="14"/>
      <c r="B1788" s="97"/>
      <c r="C1788" s="46"/>
      <c r="F1788" s="11"/>
      <c r="K1788" s="1"/>
      <c r="L1788" s="2"/>
    </row>
    <row r="1789" spans="1:12" x14ac:dyDescent="0.2">
      <c r="A1789" s="14"/>
      <c r="B1789" s="97"/>
      <c r="C1789" s="46"/>
      <c r="F1789" s="11"/>
      <c r="K1789" s="1"/>
      <c r="L1789" s="2"/>
    </row>
    <row r="1790" spans="1:12" x14ac:dyDescent="0.2">
      <c r="A1790" s="14"/>
      <c r="B1790" s="97"/>
      <c r="C1790" s="46"/>
      <c r="F1790" s="11"/>
      <c r="K1790" s="1"/>
      <c r="L1790" s="2"/>
    </row>
    <row r="1791" spans="1:12" x14ac:dyDescent="0.2">
      <c r="A1791" s="14"/>
      <c r="B1791" s="97"/>
      <c r="C1791" s="46"/>
      <c r="F1791" s="11"/>
      <c r="K1791" s="1"/>
      <c r="L1791" s="2"/>
    </row>
    <row r="1792" spans="1:12" x14ac:dyDescent="0.2">
      <c r="A1792" s="14"/>
      <c r="B1792" s="97"/>
      <c r="C1792" s="46"/>
      <c r="F1792" s="11"/>
      <c r="K1792" s="1"/>
      <c r="L1792" s="2"/>
    </row>
    <row r="1793" spans="1:12" x14ac:dyDescent="0.2">
      <c r="A1793" s="14"/>
      <c r="B1793" s="97"/>
      <c r="C1793" s="46"/>
      <c r="F1793" s="11"/>
      <c r="K1793" s="1"/>
      <c r="L1793" s="2"/>
    </row>
    <row r="1794" spans="1:12" x14ac:dyDescent="0.2">
      <c r="A1794" s="14"/>
      <c r="B1794" s="97"/>
      <c r="C1794" s="46"/>
      <c r="F1794" s="11"/>
      <c r="K1794" s="1"/>
      <c r="L1794" s="2"/>
    </row>
    <row r="1795" spans="1:12" x14ac:dyDescent="0.2">
      <c r="A1795" s="14"/>
      <c r="B1795" s="97"/>
      <c r="C1795" s="46"/>
      <c r="F1795" s="11"/>
      <c r="K1795" s="1"/>
      <c r="L1795" s="2"/>
    </row>
    <row r="1796" spans="1:12" x14ac:dyDescent="0.2">
      <c r="A1796" s="14"/>
      <c r="B1796" s="97"/>
      <c r="C1796" s="46"/>
      <c r="F1796" s="11"/>
      <c r="K1796" s="1"/>
      <c r="L1796" s="2"/>
    </row>
    <row r="1797" spans="1:12" x14ac:dyDescent="0.2">
      <c r="A1797" s="14"/>
      <c r="B1797" s="97"/>
      <c r="C1797" s="46"/>
      <c r="F1797" s="11"/>
      <c r="K1797" s="1"/>
      <c r="L1797" s="2"/>
    </row>
    <row r="1798" spans="1:12" x14ac:dyDescent="0.2">
      <c r="A1798" s="14"/>
      <c r="B1798" s="97"/>
      <c r="C1798" s="46"/>
      <c r="F1798" s="11"/>
      <c r="K1798" s="1"/>
      <c r="L1798" s="2"/>
    </row>
    <row r="1799" spans="1:12" x14ac:dyDescent="0.2">
      <c r="A1799" s="14"/>
      <c r="B1799" s="97"/>
      <c r="C1799" s="46"/>
      <c r="F1799" s="11"/>
      <c r="K1799" s="1"/>
      <c r="L1799" s="2"/>
    </row>
    <row r="1800" spans="1:12" x14ac:dyDescent="0.2">
      <c r="A1800" s="14"/>
      <c r="B1800" s="97"/>
      <c r="C1800" s="46"/>
      <c r="F1800" s="11"/>
      <c r="K1800" s="1"/>
      <c r="L1800" s="2"/>
    </row>
    <row r="1801" spans="1:12" x14ac:dyDescent="0.2">
      <c r="A1801" s="14"/>
      <c r="B1801" s="97"/>
      <c r="C1801" s="46"/>
      <c r="F1801" s="11"/>
      <c r="K1801" s="1"/>
      <c r="L1801" s="2"/>
    </row>
    <row r="1802" spans="1:12" x14ac:dyDescent="0.2">
      <c r="A1802" s="14"/>
      <c r="B1802" s="97"/>
      <c r="C1802" s="46"/>
      <c r="F1802" s="11"/>
      <c r="K1802" s="1"/>
      <c r="L1802" s="2"/>
    </row>
    <row r="1803" spans="1:12" x14ac:dyDescent="0.2">
      <c r="A1803" s="14"/>
      <c r="B1803" s="97"/>
      <c r="C1803" s="46"/>
      <c r="F1803" s="11"/>
      <c r="K1803" s="1"/>
      <c r="L1803" s="2"/>
    </row>
    <row r="1804" spans="1:12" x14ac:dyDescent="0.2">
      <c r="A1804" s="14"/>
      <c r="B1804" s="97"/>
      <c r="C1804" s="46"/>
      <c r="F1804" s="11"/>
      <c r="K1804" s="1"/>
      <c r="L1804" s="2"/>
    </row>
    <row r="1805" spans="1:12" x14ac:dyDescent="0.2">
      <c r="A1805" s="14"/>
      <c r="B1805" s="97"/>
      <c r="C1805" s="46"/>
      <c r="F1805" s="11"/>
      <c r="K1805" s="1"/>
      <c r="L1805" s="2"/>
    </row>
    <row r="1806" spans="1:12" x14ac:dyDescent="0.2">
      <c r="A1806" s="14"/>
      <c r="B1806" s="97"/>
      <c r="C1806" s="46"/>
      <c r="F1806" s="11"/>
      <c r="K1806" s="1"/>
      <c r="L1806" s="2"/>
    </row>
    <row r="1807" spans="1:12" x14ac:dyDescent="0.2">
      <c r="A1807" s="14"/>
      <c r="B1807" s="97"/>
      <c r="C1807" s="46"/>
      <c r="F1807" s="11"/>
      <c r="K1807" s="1"/>
      <c r="L1807" s="2"/>
    </row>
    <row r="1808" spans="1:12" x14ac:dyDescent="0.2">
      <c r="A1808" s="14"/>
      <c r="B1808" s="97"/>
      <c r="C1808" s="46"/>
      <c r="F1808" s="11"/>
      <c r="K1808" s="1"/>
      <c r="L1808" s="2"/>
    </row>
    <row r="1809" spans="1:12" x14ac:dyDescent="0.2">
      <c r="A1809" s="14"/>
      <c r="B1809" s="97"/>
      <c r="C1809" s="46"/>
      <c r="F1809" s="11"/>
      <c r="K1809" s="1"/>
      <c r="L1809" s="2"/>
    </row>
    <row r="1810" spans="1:12" x14ac:dyDescent="0.2">
      <c r="A1810" s="14"/>
      <c r="B1810" s="97"/>
      <c r="C1810" s="46"/>
      <c r="F1810" s="11"/>
      <c r="K1810" s="1"/>
      <c r="L1810" s="2"/>
    </row>
    <row r="1811" spans="1:12" x14ac:dyDescent="0.2">
      <c r="A1811" s="14"/>
      <c r="B1811" s="97"/>
      <c r="C1811" s="46"/>
      <c r="F1811" s="11"/>
      <c r="K1811" s="1"/>
      <c r="L1811" s="2"/>
    </row>
    <row r="1812" spans="1:12" x14ac:dyDescent="0.2">
      <c r="A1812" s="14"/>
      <c r="B1812" s="97"/>
      <c r="C1812" s="46"/>
      <c r="F1812" s="11"/>
      <c r="K1812" s="1"/>
      <c r="L1812" s="2"/>
    </row>
    <row r="1813" spans="1:12" x14ac:dyDescent="0.2">
      <c r="A1813" s="14"/>
      <c r="B1813" s="97"/>
      <c r="C1813" s="46"/>
      <c r="F1813" s="11"/>
      <c r="K1813" s="1"/>
      <c r="L1813" s="2"/>
    </row>
    <row r="1814" spans="1:12" x14ac:dyDescent="0.2">
      <c r="A1814" s="14"/>
      <c r="B1814" s="97"/>
      <c r="C1814" s="46"/>
      <c r="F1814" s="11"/>
      <c r="K1814" s="1"/>
      <c r="L1814" s="2"/>
    </row>
    <row r="1815" spans="1:12" x14ac:dyDescent="0.2">
      <c r="A1815" s="14"/>
      <c r="B1815" s="97"/>
      <c r="C1815" s="46"/>
      <c r="F1815" s="11"/>
      <c r="K1815" s="1"/>
      <c r="L1815" s="2"/>
    </row>
    <row r="1816" spans="1:12" x14ac:dyDescent="0.2">
      <c r="A1816" s="14"/>
      <c r="B1816" s="97"/>
      <c r="C1816" s="46"/>
      <c r="F1816" s="11"/>
      <c r="K1816" s="1"/>
      <c r="L1816" s="2"/>
    </row>
    <row r="1817" spans="1:12" x14ac:dyDescent="0.2">
      <c r="A1817" s="14"/>
      <c r="B1817" s="97"/>
      <c r="C1817" s="46"/>
      <c r="F1817" s="11"/>
      <c r="K1817" s="1"/>
      <c r="L1817" s="2"/>
    </row>
    <row r="1818" spans="1:12" x14ac:dyDescent="0.2">
      <c r="A1818" s="14"/>
      <c r="B1818" s="97"/>
      <c r="C1818" s="46"/>
      <c r="F1818" s="11"/>
      <c r="K1818" s="1"/>
      <c r="L1818" s="2"/>
    </row>
    <row r="1819" spans="1:12" x14ac:dyDescent="0.2">
      <c r="A1819" s="14"/>
      <c r="B1819" s="97"/>
      <c r="C1819" s="46"/>
      <c r="F1819" s="11"/>
      <c r="K1819" s="1"/>
      <c r="L1819" s="2"/>
    </row>
    <row r="1820" spans="1:12" x14ac:dyDescent="0.2">
      <c r="A1820" s="14"/>
      <c r="B1820" s="97"/>
      <c r="C1820" s="46"/>
      <c r="F1820" s="11"/>
      <c r="K1820" s="1"/>
      <c r="L1820" s="2"/>
    </row>
    <row r="1821" spans="1:12" x14ac:dyDescent="0.2">
      <c r="A1821" s="14"/>
      <c r="B1821" s="97"/>
      <c r="C1821" s="46"/>
      <c r="F1821" s="11"/>
      <c r="K1821" s="1"/>
      <c r="L1821" s="2"/>
    </row>
    <row r="1822" spans="1:12" x14ac:dyDescent="0.2">
      <c r="A1822" s="14"/>
      <c r="B1822" s="97"/>
      <c r="C1822" s="46"/>
      <c r="F1822" s="11"/>
      <c r="K1822" s="1"/>
      <c r="L1822" s="2"/>
    </row>
    <row r="1823" spans="1:12" x14ac:dyDescent="0.2">
      <c r="A1823" s="14"/>
      <c r="B1823" s="97"/>
      <c r="C1823" s="46"/>
      <c r="F1823" s="11"/>
      <c r="K1823" s="1"/>
      <c r="L1823" s="2"/>
    </row>
    <row r="1824" spans="1:12" x14ac:dyDescent="0.2">
      <c r="A1824" s="14"/>
      <c r="B1824" s="97"/>
      <c r="C1824" s="46"/>
      <c r="F1824" s="11"/>
      <c r="K1824" s="1"/>
      <c r="L1824" s="2"/>
    </row>
    <row r="1825" spans="1:12" x14ac:dyDescent="0.2">
      <c r="A1825" s="14"/>
      <c r="B1825" s="97"/>
      <c r="C1825" s="46"/>
      <c r="F1825" s="11"/>
      <c r="K1825" s="1"/>
      <c r="L1825" s="2"/>
    </row>
    <row r="1826" spans="1:12" x14ac:dyDescent="0.2">
      <c r="A1826" s="14"/>
      <c r="B1826" s="97"/>
      <c r="C1826" s="46"/>
      <c r="F1826" s="11"/>
      <c r="K1826" s="1"/>
      <c r="L1826" s="2"/>
    </row>
    <row r="1827" spans="1:12" x14ac:dyDescent="0.2">
      <c r="A1827" s="14"/>
      <c r="B1827" s="97"/>
      <c r="C1827" s="46"/>
      <c r="F1827" s="11"/>
      <c r="K1827" s="1"/>
      <c r="L1827" s="2"/>
    </row>
    <row r="1828" spans="1:12" x14ac:dyDescent="0.2">
      <c r="A1828" s="14"/>
      <c r="B1828" s="97"/>
      <c r="C1828" s="46"/>
      <c r="F1828" s="11"/>
      <c r="K1828" s="1"/>
      <c r="L1828" s="2"/>
    </row>
    <row r="1829" spans="1:12" x14ac:dyDescent="0.2">
      <c r="A1829" s="14"/>
      <c r="B1829" s="97"/>
      <c r="C1829" s="46"/>
      <c r="F1829" s="11"/>
      <c r="K1829" s="1"/>
      <c r="L1829" s="2"/>
    </row>
    <row r="1830" spans="1:12" x14ac:dyDescent="0.2">
      <c r="A1830" s="14"/>
      <c r="B1830" s="97"/>
      <c r="C1830" s="46"/>
      <c r="F1830" s="11"/>
      <c r="K1830" s="1"/>
      <c r="L1830" s="2"/>
    </row>
    <row r="1831" spans="1:12" x14ac:dyDescent="0.2">
      <c r="A1831" s="14"/>
      <c r="B1831" s="97"/>
      <c r="C1831" s="46"/>
      <c r="F1831" s="11"/>
      <c r="K1831" s="1"/>
      <c r="L1831" s="2"/>
    </row>
    <row r="1832" spans="1:12" x14ac:dyDescent="0.2">
      <c r="A1832" s="14"/>
      <c r="B1832" s="97"/>
      <c r="C1832" s="46"/>
      <c r="F1832" s="11"/>
      <c r="K1832" s="1"/>
      <c r="L1832" s="2"/>
    </row>
    <row r="1833" spans="1:12" x14ac:dyDescent="0.2">
      <c r="A1833" s="14"/>
      <c r="B1833" s="97"/>
      <c r="C1833" s="46"/>
      <c r="F1833" s="11"/>
      <c r="K1833" s="1"/>
      <c r="L1833" s="2"/>
    </row>
    <row r="1834" spans="1:12" x14ac:dyDescent="0.2">
      <c r="A1834" s="14"/>
      <c r="B1834" s="97"/>
      <c r="C1834" s="46"/>
      <c r="F1834" s="11"/>
      <c r="K1834" s="1"/>
      <c r="L1834" s="2"/>
    </row>
    <row r="1835" spans="1:12" x14ac:dyDescent="0.2">
      <c r="A1835" s="14"/>
      <c r="B1835" s="97"/>
      <c r="C1835" s="46"/>
      <c r="F1835" s="11"/>
      <c r="K1835" s="1"/>
      <c r="L1835" s="2"/>
    </row>
    <row r="1836" spans="1:12" x14ac:dyDescent="0.2">
      <c r="A1836" s="14"/>
      <c r="B1836" s="97"/>
      <c r="C1836" s="46"/>
      <c r="F1836" s="11"/>
      <c r="K1836" s="1"/>
      <c r="L1836" s="2"/>
    </row>
    <row r="1837" spans="1:12" x14ac:dyDescent="0.2">
      <c r="A1837" s="14"/>
      <c r="B1837" s="97"/>
      <c r="C1837" s="46"/>
      <c r="F1837" s="11"/>
      <c r="K1837" s="1"/>
      <c r="L1837" s="2"/>
    </row>
    <row r="1838" spans="1:12" x14ac:dyDescent="0.2">
      <c r="A1838" s="14"/>
      <c r="B1838" s="97"/>
      <c r="C1838" s="46"/>
      <c r="F1838" s="11"/>
      <c r="K1838" s="1"/>
      <c r="L1838" s="2"/>
    </row>
    <row r="1839" spans="1:12" x14ac:dyDescent="0.2">
      <c r="A1839" s="14"/>
      <c r="B1839" s="97"/>
      <c r="C1839" s="46"/>
      <c r="F1839" s="11"/>
      <c r="K1839" s="1"/>
      <c r="L1839" s="2"/>
    </row>
    <row r="1840" spans="1:12" x14ac:dyDescent="0.2">
      <c r="A1840" s="14"/>
      <c r="B1840" s="97"/>
      <c r="C1840" s="46"/>
      <c r="F1840" s="11"/>
      <c r="K1840" s="1"/>
      <c r="L1840" s="2"/>
    </row>
    <row r="1841" spans="1:12" x14ac:dyDescent="0.2">
      <c r="A1841" s="14"/>
      <c r="B1841" s="97"/>
      <c r="C1841" s="46"/>
      <c r="F1841" s="11"/>
      <c r="K1841" s="1"/>
      <c r="L1841" s="2"/>
    </row>
    <row r="1842" spans="1:12" x14ac:dyDescent="0.2">
      <c r="A1842" s="14"/>
      <c r="B1842" s="97"/>
      <c r="C1842" s="46"/>
      <c r="F1842" s="11"/>
      <c r="K1842" s="1"/>
      <c r="L1842" s="2"/>
    </row>
    <row r="1843" spans="1:12" x14ac:dyDescent="0.2">
      <c r="A1843" s="14"/>
      <c r="B1843" s="97"/>
      <c r="C1843" s="46"/>
      <c r="F1843" s="11"/>
      <c r="K1843" s="1"/>
      <c r="L1843" s="2"/>
    </row>
    <row r="1844" spans="1:12" x14ac:dyDescent="0.2">
      <c r="A1844" s="14"/>
      <c r="B1844" s="97"/>
      <c r="C1844" s="46"/>
      <c r="F1844" s="11"/>
      <c r="K1844" s="1"/>
      <c r="L1844" s="2"/>
    </row>
    <row r="1845" spans="1:12" x14ac:dyDescent="0.2">
      <c r="A1845" s="14"/>
      <c r="B1845" s="97"/>
      <c r="C1845" s="46"/>
      <c r="F1845" s="11"/>
      <c r="K1845" s="1"/>
      <c r="L1845" s="2"/>
    </row>
    <row r="1846" spans="1:12" x14ac:dyDescent="0.2">
      <c r="A1846" s="14"/>
      <c r="B1846" s="97"/>
      <c r="C1846" s="46"/>
      <c r="F1846" s="11"/>
      <c r="K1846" s="1"/>
      <c r="L1846" s="2"/>
    </row>
    <row r="1847" spans="1:12" x14ac:dyDescent="0.2">
      <c r="A1847" s="14"/>
      <c r="B1847" s="97"/>
      <c r="C1847" s="46"/>
      <c r="F1847" s="11"/>
      <c r="K1847" s="1"/>
      <c r="L1847" s="2"/>
    </row>
    <row r="1848" spans="1:12" x14ac:dyDescent="0.2">
      <c r="A1848" s="14"/>
      <c r="B1848" s="97"/>
      <c r="C1848" s="46"/>
      <c r="F1848" s="11"/>
      <c r="K1848" s="1"/>
      <c r="L1848" s="2"/>
    </row>
    <row r="1849" spans="1:12" x14ac:dyDescent="0.2">
      <c r="A1849" s="14"/>
      <c r="B1849" s="97"/>
      <c r="C1849" s="46"/>
      <c r="F1849" s="11"/>
      <c r="K1849" s="1"/>
      <c r="L1849" s="2"/>
    </row>
    <row r="1850" spans="1:12" x14ac:dyDescent="0.2">
      <c r="A1850" s="14"/>
      <c r="B1850" s="97"/>
      <c r="C1850" s="46"/>
      <c r="F1850" s="11"/>
      <c r="K1850" s="1"/>
      <c r="L1850" s="2"/>
    </row>
    <row r="1851" spans="1:12" x14ac:dyDescent="0.2">
      <c r="A1851" s="14"/>
      <c r="B1851" s="97"/>
      <c r="C1851" s="46"/>
      <c r="F1851" s="11"/>
      <c r="K1851" s="1"/>
      <c r="L1851" s="2"/>
    </row>
    <row r="1852" spans="1:12" x14ac:dyDescent="0.2">
      <c r="A1852" s="14"/>
      <c r="B1852" s="97"/>
      <c r="C1852" s="46"/>
      <c r="F1852" s="11"/>
      <c r="K1852" s="1"/>
      <c r="L1852" s="2"/>
    </row>
    <row r="1853" spans="1:12" x14ac:dyDescent="0.2">
      <c r="A1853" s="14"/>
      <c r="B1853" s="97"/>
      <c r="C1853" s="46"/>
      <c r="F1853" s="11"/>
      <c r="K1853" s="1"/>
      <c r="L1853" s="2"/>
    </row>
    <row r="1854" spans="1:12" x14ac:dyDescent="0.2">
      <c r="A1854" s="14"/>
      <c r="B1854" s="97"/>
      <c r="C1854" s="46"/>
      <c r="F1854" s="11"/>
      <c r="K1854" s="1"/>
      <c r="L1854" s="2"/>
    </row>
    <row r="1855" spans="1:12" x14ac:dyDescent="0.2">
      <c r="A1855" s="14"/>
      <c r="B1855" s="97"/>
      <c r="C1855" s="46"/>
      <c r="F1855" s="11"/>
      <c r="K1855" s="1"/>
      <c r="L1855" s="2"/>
    </row>
    <row r="1856" spans="1:12" x14ac:dyDescent="0.2">
      <c r="A1856" s="14"/>
      <c r="B1856" s="97"/>
      <c r="C1856" s="46"/>
      <c r="F1856" s="11"/>
      <c r="K1856" s="1"/>
      <c r="L1856" s="2"/>
    </row>
    <row r="1857" spans="1:12" x14ac:dyDescent="0.2">
      <c r="A1857" s="14"/>
      <c r="B1857" s="97"/>
      <c r="C1857" s="46"/>
      <c r="F1857" s="11"/>
      <c r="K1857" s="1"/>
      <c r="L1857" s="2"/>
    </row>
    <row r="1858" spans="1:12" x14ac:dyDescent="0.2">
      <c r="A1858" s="14"/>
      <c r="B1858" s="97"/>
      <c r="C1858" s="46"/>
      <c r="F1858" s="11"/>
      <c r="K1858" s="1"/>
      <c r="L1858" s="2"/>
    </row>
    <row r="1859" spans="1:12" x14ac:dyDescent="0.2">
      <c r="A1859" s="14"/>
      <c r="B1859" s="97"/>
      <c r="C1859" s="46"/>
      <c r="F1859" s="11"/>
      <c r="K1859" s="1"/>
      <c r="L1859" s="2"/>
    </row>
    <row r="1860" spans="1:12" x14ac:dyDescent="0.2">
      <c r="A1860" s="14"/>
      <c r="B1860" s="97"/>
      <c r="C1860" s="46"/>
      <c r="F1860" s="11"/>
      <c r="K1860" s="1"/>
      <c r="L1860" s="2"/>
    </row>
    <row r="1861" spans="1:12" x14ac:dyDescent="0.2">
      <c r="A1861" s="14"/>
      <c r="B1861" s="97"/>
      <c r="C1861" s="46"/>
      <c r="F1861" s="11"/>
      <c r="K1861" s="1"/>
      <c r="L1861" s="2"/>
    </row>
    <row r="1862" spans="1:12" x14ac:dyDescent="0.2">
      <c r="A1862" s="14"/>
      <c r="B1862" s="97"/>
      <c r="C1862" s="46"/>
      <c r="F1862" s="11"/>
      <c r="K1862" s="1"/>
      <c r="L1862" s="2"/>
    </row>
    <row r="1863" spans="1:12" x14ac:dyDescent="0.2">
      <c r="A1863" s="14"/>
      <c r="B1863" s="97"/>
      <c r="C1863" s="46"/>
      <c r="F1863" s="11"/>
      <c r="K1863" s="1"/>
      <c r="L1863" s="2"/>
    </row>
    <row r="1864" spans="1:12" x14ac:dyDescent="0.2">
      <c r="A1864" s="14"/>
      <c r="B1864" s="97"/>
      <c r="C1864" s="46"/>
      <c r="F1864" s="11"/>
      <c r="K1864" s="1"/>
      <c r="L1864" s="2"/>
    </row>
    <row r="1865" spans="1:12" x14ac:dyDescent="0.2">
      <c r="A1865" s="14"/>
      <c r="B1865" s="97"/>
      <c r="C1865" s="46"/>
      <c r="F1865" s="11"/>
      <c r="K1865" s="1"/>
      <c r="L1865" s="2"/>
    </row>
    <row r="1866" spans="1:12" x14ac:dyDescent="0.2">
      <c r="A1866" s="14"/>
      <c r="B1866" s="97"/>
      <c r="C1866" s="46"/>
      <c r="F1866" s="11"/>
      <c r="K1866" s="1"/>
      <c r="L1866" s="2"/>
    </row>
    <row r="1867" spans="1:12" x14ac:dyDescent="0.2">
      <c r="A1867" s="14"/>
      <c r="B1867" s="97"/>
      <c r="C1867" s="46"/>
      <c r="F1867" s="11"/>
      <c r="K1867" s="1"/>
      <c r="L1867" s="2"/>
    </row>
    <row r="1868" spans="1:12" x14ac:dyDescent="0.2">
      <c r="A1868" s="14"/>
      <c r="B1868" s="97"/>
      <c r="C1868" s="46"/>
      <c r="F1868" s="11"/>
      <c r="K1868" s="1"/>
      <c r="L1868" s="2"/>
    </row>
    <row r="1869" spans="1:12" x14ac:dyDescent="0.2">
      <c r="A1869" s="14"/>
      <c r="B1869" s="97"/>
      <c r="C1869" s="46"/>
      <c r="F1869" s="11"/>
      <c r="K1869" s="1"/>
      <c r="L1869" s="2"/>
    </row>
    <row r="1870" spans="1:12" x14ac:dyDescent="0.2">
      <c r="A1870" s="14"/>
      <c r="B1870" s="97"/>
      <c r="C1870" s="46"/>
      <c r="F1870" s="11"/>
      <c r="K1870" s="1"/>
      <c r="L1870" s="2"/>
    </row>
    <row r="1871" spans="1:12" x14ac:dyDescent="0.2">
      <c r="A1871" s="14"/>
      <c r="B1871" s="97"/>
      <c r="C1871" s="46"/>
      <c r="F1871" s="11"/>
      <c r="K1871" s="1"/>
      <c r="L1871" s="2"/>
    </row>
    <row r="1872" spans="1:12" x14ac:dyDescent="0.2">
      <c r="A1872" s="14"/>
      <c r="B1872" s="97"/>
      <c r="C1872" s="46"/>
      <c r="F1872" s="11"/>
      <c r="K1872" s="1"/>
      <c r="L1872" s="2"/>
    </row>
    <row r="1873" spans="1:12" x14ac:dyDescent="0.2">
      <c r="A1873" s="14"/>
      <c r="B1873" s="97"/>
      <c r="C1873" s="46"/>
      <c r="F1873" s="11"/>
      <c r="K1873" s="1"/>
      <c r="L1873" s="2"/>
    </row>
    <row r="1874" spans="1:12" x14ac:dyDescent="0.2">
      <c r="A1874" s="14"/>
      <c r="B1874" s="97"/>
      <c r="C1874" s="46"/>
      <c r="F1874" s="11"/>
      <c r="K1874" s="1"/>
      <c r="L1874" s="2"/>
    </row>
    <row r="1875" spans="1:12" x14ac:dyDescent="0.2">
      <c r="A1875" s="14"/>
      <c r="B1875" s="97"/>
      <c r="C1875" s="46"/>
      <c r="F1875" s="11"/>
      <c r="K1875" s="1"/>
      <c r="L1875" s="2"/>
    </row>
    <row r="1876" spans="1:12" x14ac:dyDescent="0.2">
      <c r="A1876" s="14"/>
      <c r="B1876" s="97"/>
      <c r="C1876" s="46"/>
      <c r="F1876" s="11"/>
      <c r="K1876" s="1"/>
      <c r="L1876" s="2"/>
    </row>
    <row r="1877" spans="1:12" x14ac:dyDescent="0.2">
      <c r="A1877" s="14"/>
      <c r="B1877" s="97"/>
      <c r="C1877" s="46"/>
      <c r="F1877" s="11"/>
      <c r="K1877" s="1"/>
      <c r="L1877" s="2"/>
    </row>
    <row r="1878" spans="1:12" x14ac:dyDescent="0.2">
      <c r="A1878" s="14"/>
      <c r="B1878" s="97"/>
      <c r="C1878" s="46"/>
      <c r="F1878" s="11"/>
      <c r="K1878" s="1"/>
      <c r="L1878" s="2"/>
    </row>
    <row r="1879" spans="1:12" x14ac:dyDescent="0.2">
      <c r="A1879" s="14"/>
      <c r="B1879" s="97"/>
      <c r="C1879" s="46"/>
      <c r="F1879" s="11"/>
      <c r="K1879" s="1"/>
      <c r="L1879" s="2"/>
    </row>
    <row r="1880" spans="1:12" x14ac:dyDescent="0.2">
      <c r="A1880" s="14"/>
      <c r="B1880" s="97"/>
      <c r="C1880" s="46"/>
      <c r="F1880" s="11"/>
      <c r="K1880" s="1"/>
      <c r="L1880" s="2"/>
    </row>
    <row r="1881" spans="1:12" x14ac:dyDescent="0.2">
      <c r="A1881" s="14"/>
      <c r="B1881" s="97"/>
      <c r="C1881" s="46"/>
      <c r="F1881" s="11"/>
      <c r="K1881" s="1"/>
      <c r="L1881" s="2"/>
    </row>
    <row r="1882" spans="1:12" x14ac:dyDescent="0.2">
      <c r="A1882" s="14"/>
      <c r="B1882" s="97"/>
      <c r="C1882" s="46"/>
      <c r="F1882" s="11"/>
      <c r="K1882" s="1"/>
      <c r="L1882" s="2"/>
    </row>
    <row r="1883" spans="1:12" x14ac:dyDescent="0.2">
      <c r="A1883" s="14"/>
      <c r="B1883" s="97"/>
      <c r="C1883" s="46"/>
      <c r="F1883" s="11"/>
      <c r="K1883" s="1"/>
      <c r="L1883" s="2"/>
    </row>
    <row r="1884" spans="1:12" x14ac:dyDescent="0.2">
      <c r="A1884" s="14"/>
      <c r="B1884" s="97"/>
      <c r="C1884" s="46"/>
      <c r="F1884" s="11"/>
      <c r="K1884" s="1"/>
      <c r="L1884" s="2"/>
    </row>
    <row r="1885" spans="1:12" x14ac:dyDescent="0.2">
      <c r="A1885" s="14"/>
      <c r="B1885" s="97"/>
      <c r="C1885" s="46"/>
      <c r="F1885" s="11"/>
      <c r="K1885" s="1"/>
      <c r="L1885" s="2"/>
    </row>
    <row r="1886" spans="1:12" x14ac:dyDescent="0.2">
      <c r="A1886" s="14"/>
      <c r="B1886" s="97"/>
      <c r="C1886" s="46"/>
      <c r="F1886" s="11"/>
      <c r="K1886" s="1"/>
      <c r="L1886" s="2"/>
    </row>
    <row r="1887" spans="1:12" x14ac:dyDescent="0.2">
      <c r="A1887" s="14"/>
      <c r="B1887" s="97"/>
      <c r="C1887" s="46"/>
      <c r="F1887" s="11"/>
      <c r="K1887" s="1"/>
      <c r="L1887" s="2"/>
    </row>
    <row r="1888" spans="1:12" x14ac:dyDescent="0.2">
      <c r="A1888" s="14"/>
      <c r="B1888" s="97"/>
      <c r="C1888" s="46"/>
      <c r="F1888" s="11"/>
      <c r="K1888" s="1"/>
      <c r="L1888" s="2"/>
    </row>
    <row r="1889" spans="1:12" x14ac:dyDescent="0.2">
      <c r="A1889" s="14"/>
      <c r="B1889" s="97"/>
      <c r="C1889" s="46"/>
      <c r="F1889" s="11"/>
      <c r="K1889" s="1"/>
      <c r="L1889" s="2"/>
    </row>
    <row r="1890" spans="1:12" x14ac:dyDescent="0.2">
      <c r="A1890" s="14"/>
      <c r="B1890" s="97"/>
      <c r="C1890" s="46"/>
      <c r="F1890" s="11"/>
      <c r="K1890" s="1"/>
      <c r="L1890" s="2"/>
    </row>
    <row r="1891" spans="1:12" x14ac:dyDescent="0.2">
      <c r="A1891" s="14"/>
      <c r="B1891" s="97"/>
      <c r="C1891" s="46"/>
      <c r="F1891" s="11"/>
      <c r="K1891" s="1"/>
      <c r="L1891" s="2"/>
    </row>
    <row r="1892" spans="1:12" x14ac:dyDescent="0.2">
      <c r="A1892" s="14"/>
      <c r="B1892" s="97"/>
      <c r="C1892" s="46"/>
      <c r="F1892" s="11"/>
      <c r="K1892" s="1"/>
      <c r="L1892" s="2"/>
    </row>
    <row r="1893" spans="1:12" x14ac:dyDescent="0.2">
      <c r="A1893" s="14"/>
      <c r="B1893" s="97"/>
      <c r="C1893" s="46"/>
      <c r="F1893" s="11"/>
      <c r="K1893" s="1"/>
      <c r="L1893" s="2"/>
    </row>
    <row r="1894" spans="1:12" x14ac:dyDescent="0.2">
      <c r="A1894" s="14"/>
      <c r="B1894" s="97"/>
      <c r="C1894" s="46"/>
      <c r="F1894" s="11"/>
      <c r="K1894" s="1"/>
      <c r="L1894" s="2"/>
    </row>
    <row r="1895" spans="1:12" x14ac:dyDescent="0.2">
      <c r="A1895" s="14"/>
      <c r="B1895" s="97"/>
      <c r="C1895" s="46"/>
      <c r="F1895" s="11"/>
      <c r="K1895" s="1"/>
      <c r="L1895" s="2"/>
    </row>
    <row r="1896" spans="1:12" x14ac:dyDescent="0.2">
      <c r="A1896" s="14"/>
      <c r="B1896" s="97"/>
      <c r="C1896" s="46"/>
      <c r="F1896" s="11"/>
      <c r="K1896" s="1"/>
      <c r="L1896" s="2"/>
    </row>
    <row r="1897" spans="1:12" x14ac:dyDescent="0.2">
      <c r="A1897" s="14"/>
      <c r="B1897" s="97"/>
      <c r="C1897" s="46"/>
      <c r="F1897" s="11"/>
      <c r="K1897" s="1"/>
      <c r="L1897" s="2"/>
    </row>
    <row r="1898" spans="1:12" x14ac:dyDescent="0.2">
      <c r="A1898" s="14"/>
      <c r="B1898" s="97"/>
      <c r="C1898" s="46"/>
      <c r="F1898" s="11"/>
      <c r="K1898" s="1"/>
      <c r="L1898" s="2"/>
    </row>
    <row r="1899" spans="1:12" x14ac:dyDescent="0.2">
      <c r="A1899" s="14"/>
      <c r="B1899" s="97"/>
      <c r="C1899" s="46"/>
      <c r="F1899" s="11"/>
      <c r="K1899" s="1"/>
      <c r="L1899" s="2"/>
    </row>
    <row r="1900" spans="1:12" x14ac:dyDescent="0.2">
      <c r="A1900" s="14"/>
      <c r="B1900" s="97"/>
      <c r="C1900" s="46"/>
      <c r="F1900" s="11"/>
      <c r="K1900" s="1"/>
      <c r="L1900" s="2"/>
    </row>
    <row r="1901" spans="1:12" x14ac:dyDescent="0.2">
      <c r="A1901" s="14"/>
      <c r="B1901" s="97"/>
      <c r="C1901" s="46"/>
      <c r="F1901" s="11"/>
      <c r="K1901" s="1"/>
      <c r="L1901" s="2"/>
    </row>
    <row r="1902" spans="1:12" x14ac:dyDescent="0.2">
      <c r="A1902" s="14"/>
      <c r="B1902" s="97"/>
      <c r="C1902" s="46"/>
      <c r="F1902" s="11"/>
      <c r="K1902" s="1"/>
      <c r="L1902" s="2"/>
    </row>
    <row r="1903" spans="1:12" x14ac:dyDescent="0.2">
      <c r="A1903" s="14"/>
      <c r="B1903" s="97"/>
      <c r="C1903" s="46"/>
      <c r="F1903" s="11"/>
      <c r="K1903" s="1"/>
      <c r="L1903" s="2"/>
    </row>
    <row r="1904" spans="1:12" x14ac:dyDescent="0.2">
      <c r="A1904" s="14"/>
      <c r="B1904" s="97"/>
      <c r="C1904" s="46"/>
      <c r="F1904" s="11"/>
      <c r="K1904" s="1"/>
      <c r="L1904" s="2"/>
    </row>
    <row r="1905" spans="1:12" x14ac:dyDescent="0.2">
      <c r="A1905" s="14"/>
      <c r="B1905" s="97"/>
      <c r="C1905" s="46"/>
      <c r="F1905" s="11"/>
      <c r="K1905" s="1"/>
      <c r="L1905" s="2"/>
    </row>
    <row r="1906" spans="1:12" x14ac:dyDescent="0.2">
      <c r="A1906" s="14"/>
      <c r="B1906" s="97"/>
      <c r="C1906" s="46"/>
      <c r="F1906" s="11"/>
      <c r="K1906" s="1"/>
      <c r="L1906" s="2"/>
    </row>
    <row r="1907" spans="1:12" x14ac:dyDescent="0.2">
      <c r="A1907" s="14"/>
      <c r="B1907" s="97"/>
      <c r="C1907" s="46"/>
      <c r="F1907" s="11"/>
      <c r="K1907" s="1"/>
      <c r="L1907" s="2"/>
    </row>
    <row r="1908" spans="1:12" x14ac:dyDescent="0.2">
      <c r="A1908" s="14"/>
      <c r="B1908" s="97"/>
      <c r="C1908" s="46"/>
      <c r="F1908" s="11"/>
      <c r="K1908" s="1"/>
      <c r="L1908" s="2"/>
    </row>
    <row r="1909" spans="1:12" x14ac:dyDescent="0.2">
      <c r="A1909" s="14"/>
      <c r="B1909" s="97"/>
      <c r="C1909" s="46"/>
      <c r="F1909" s="11"/>
      <c r="K1909" s="1"/>
      <c r="L1909" s="2"/>
    </row>
    <row r="1910" spans="1:12" x14ac:dyDescent="0.2">
      <c r="A1910" s="14"/>
      <c r="B1910" s="97"/>
      <c r="C1910" s="46"/>
      <c r="F1910" s="11"/>
      <c r="K1910" s="1"/>
      <c r="L1910" s="2"/>
    </row>
    <row r="1911" spans="1:12" x14ac:dyDescent="0.2">
      <c r="A1911" s="14"/>
      <c r="B1911" s="97"/>
      <c r="C1911" s="46"/>
      <c r="F1911" s="11"/>
      <c r="K1911" s="1"/>
      <c r="L1911" s="2"/>
    </row>
    <row r="1912" spans="1:12" x14ac:dyDescent="0.2">
      <c r="A1912" s="14"/>
      <c r="B1912" s="97"/>
      <c r="C1912" s="46"/>
      <c r="F1912" s="11"/>
      <c r="K1912" s="1"/>
      <c r="L1912" s="2"/>
    </row>
    <row r="1913" spans="1:12" x14ac:dyDescent="0.2">
      <c r="A1913" s="14"/>
      <c r="B1913" s="97"/>
      <c r="C1913" s="46"/>
      <c r="F1913" s="11"/>
      <c r="K1913" s="1"/>
      <c r="L1913" s="2"/>
    </row>
    <row r="1914" spans="1:12" x14ac:dyDescent="0.2">
      <c r="A1914" s="14"/>
      <c r="B1914" s="97"/>
      <c r="C1914" s="46"/>
      <c r="F1914" s="11"/>
      <c r="K1914" s="1"/>
      <c r="L1914" s="2"/>
    </row>
    <row r="1915" spans="1:12" x14ac:dyDescent="0.2">
      <c r="A1915" s="14"/>
      <c r="B1915" s="97"/>
      <c r="C1915" s="46"/>
      <c r="F1915" s="11"/>
      <c r="K1915" s="1"/>
      <c r="L1915" s="2"/>
    </row>
    <row r="1916" spans="1:12" x14ac:dyDescent="0.2">
      <c r="A1916" s="14"/>
      <c r="B1916" s="97"/>
      <c r="C1916" s="46"/>
      <c r="F1916" s="11"/>
      <c r="K1916" s="1"/>
      <c r="L1916" s="2"/>
    </row>
    <row r="1917" spans="1:12" x14ac:dyDescent="0.2">
      <c r="A1917" s="14"/>
      <c r="B1917" s="97"/>
      <c r="C1917" s="46"/>
      <c r="F1917" s="11"/>
      <c r="K1917" s="1"/>
      <c r="L1917" s="2"/>
    </row>
    <row r="1918" spans="1:12" x14ac:dyDescent="0.2">
      <c r="A1918" s="14"/>
      <c r="B1918" s="97"/>
      <c r="C1918" s="46"/>
      <c r="F1918" s="11"/>
      <c r="K1918" s="1"/>
      <c r="L1918" s="2"/>
    </row>
    <row r="1919" spans="1:12" x14ac:dyDescent="0.2">
      <c r="A1919" s="14"/>
      <c r="B1919" s="97"/>
      <c r="C1919" s="46"/>
      <c r="F1919" s="11"/>
      <c r="K1919" s="1"/>
      <c r="L1919" s="2"/>
    </row>
    <row r="1920" spans="1:12" x14ac:dyDescent="0.2">
      <c r="A1920" s="14"/>
      <c r="B1920" s="97"/>
      <c r="C1920" s="46"/>
      <c r="F1920" s="11"/>
      <c r="K1920" s="1"/>
      <c r="L1920" s="2"/>
    </row>
    <row r="1921" spans="1:12" x14ac:dyDescent="0.2">
      <c r="A1921" s="14"/>
      <c r="B1921" s="97"/>
      <c r="C1921" s="46"/>
      <c r="F1921" s="11"/>
      <c r="K1921" s="1"/>
      <c r="L1921" s="2"/>
    </row>
    <row r="1922" spans="1:12" x14ac:dyDescent="0.2">
      <c r="A1922" s="14"/>
      <c r="B1922" s="97"/>
      <c r="C1922" s="46"/>
      <c r="F1922" s="11"/>
      <c r="K1922" s="1"/>
      <c r="L1922" s="2"/>
    </row>
    <row r="1923" spans="1:12" x14ac:dyDescent="0.2">
      <c r="A1923" s="14"/>
      <c r="B1923" s="97"/>
      <c r="C1923" s="46"/>
      <c r="F1923" s="11"/>
      <c r="K1923" s="1"/>
      <c r="L1923" s="2"/>
    </row>
    <row r="1924" spans="1:12" x14ac:dyDescent="0.2">
      <c r="A1924" s="14"/>
      <c r="B1924" s="97"/>
      <c r="C1924" s="46"/>
      <c r="F1924" s="11"/>
      <c r="K1924" s="1"/>
      <c r="L1924" s="2"/>
    </row>
    <row r="1925" spans="1:12" x14ac:dyDescent="0.2">
      <c r="A1925" s="14"/>
      <c r="B1925" s="97"/>
      <c r="C1925" s="46"/>
      <c r="F1925" s="11"/>
      <c r="K1925" s="1"/>
      <c r="L1925" s="2"/>
    </row>
    <row r="1926" spans="1:12" x14ac:dyDescent="0.2">
      <c r="A1926" s="14"/>
      <c r="B1926" s="97"/>
      <c r="C1926" s="46"/>
      <c r="F1926" s="11"/>
      <c r="K1926" s="1"/>
      <c r="L1926" s="2"/>
    </row>
    <row r="1927" spans="1:12" x14ac:dyDescent="0.2">
      <c r="A1927" s="14"/>
      <c r="B1927" s="97"/>
      <c r="C1927" s="46"/>
      <c r="F1927" s="11"/>
      <c r="K1927" s="1"/>
      <c r="L1927" s="2"/>
    </row>
    <row r="1928" spans="1:12" x14ac:dyDescent="0.2">
      <c r="A1928" s="14"/>
      <c r="B1928" s="97"/>
      <c r="C1928" s="46"/>
      <c r="F1928" s="11"/>
      <c r="K1928" s="1"/>
      <c r="L1928" s="2"/>
    </row>
    <row r="1929" spans="1:12" x14ac:dyDescent="0.2">
      <c r="A1929" s="14"/>
      <c r="B1929" s="97"/>
      <c r="C1929" s="46"/>
      <c r="F1929" s="11"/>
      <c r="K1929" s="1"/>
      <c r="L1929" s="2"/>
    </row>
    <row r="1930" spans="1:12" x14ac:dyDescent="0.2">
      <c r="A1930" s="14"/>
      <c r="B1930" s="97"/>
      <c r="C1930" s="46"/>
      <c r="F1930" s="11"/>
      <c r="K1930" s="1"/>
      <c r="L1930" s="2"/>
    </row>
    <row r="1931" spans="1:12" x14ac:dyDescent="0.2">
      <c r="A1931" s="14"/>
      <c r="B1931" s="97"/>
      <c r="C1931" s="46"/>
      <c r="F1931" s="11"/>
      <c r="K1931" s="1"/>
      <c r="L1931" s="2"/>
    </row>
    <row r="1932" spans="1:12" x14ac:dyDescent="0.2">
      <c r="A1932" s="14"/>
      <c r="B1932" s="97"/>
      <c r="C1932" s="46"/>
      <c r="F1932" s="11"/>
      <c r="K1932" s="1"/>
      <c r="L1932" s="2"/>
    </row>
    <row r="1933" spans="1:12" x14ac:dyDescent="0.2">
      <c r="A1933" s="14"/>
      <c r="B1933" s="97"/>
      <c r="C1933" s="46"/>
      <c r="F1933" s="11"/>
      <c r="K1933" s="1"/>
      <c r="L1933" s="2"/>
    </row>
    <row r="1934" spans="1:12" x14ac:dyDescent="0.2">
      <c r="A1934" s="14"/>
      <c r="B1934" s="97"/>
      <c r="C1934" s="46"/>
      <c r="F1934" s="11"/>
      <c r="K1934" s="1"/>
      <c r="L1934" s="2"/>
    </row>
    <row r="1935" spans="1:12" x14ac:dyDescent="0.2">
      <c r="A1935" s="14"/>
      <c r="B1935" s="97"/>
      <c r="C1935" s="46"/>
      <c r="F1935" s="11"/>
      <c r="K1935" s="1"/>
      <c r="L1935" s="2"/>
    </row>
    <row r="1936" spans="1:12" x14ac:dyDescent="0.2">
      <c r="A1936" s="14"/>
      <c r="B1936" s="97"/>
      <c r="C1936" s="46"/>
      <c r="F1936" s="11"/>
      <c r="K1936" s="1"/>
      <c r="L1936" s="2"/>
    </row>
    <row r="1937" spans="1:12" x14ac:dyDescent="0.2">
      <c r="A1937" s="14"/>
      <c r="B1937" s="97"/>
      <c r="C1937" s="46"/>
      <c r="F1937" s="11"/>
      <c r="K1937" s="1"/>
      <c r="L1937" s="2"/>
    </row>
    <row r="1938" spans="1:12" x14ac:dyDescent="0.2">
      <c r="A1938" s="14"/>
      <c r="B1938" s="97"/>
      <c r="C1938" s="46"/>
      <c r="F1938" s="11"/>
      <c r="K1938" s="1"/>
      <c r="L1938" s="2"/>
    </row>
    <row r="1939" spans="1:12" x14ac:dyDescent="0.2">
      <c r="A1939" s="14"/>
      <c r="B1939" s="97"/>
      <c r="C1939" s="46"/>
      <c r="F1939" s="11"/>
      <c r="K1939" s="1"/>
      <c r="L1939" s="2"/>
    </row>
    <row r="1940" spans="1:12" x14ac:dyDescent="0.2">
      <c r="A1940" s="14"/>
      <c r="B1940" s="97"/>
      <c r="C1940" s="46"/>
      <c r="F1940" s="11"/>
      <c r="K1940" s="1"/>
      <c r="L1940" s="2"/>
    </row>
    <row r="1941" spans="1:12" x14ac:dyDescent="0.2">
      <c r="A1941" s="14"/>
      <c r="B1941" s="97"/>
      <c r="C1941" s="46"/>
      <c r="F1941" s="11"/>
      <c r="K1941" s="1"/>
      <c r="L1941" s="2"/>
    </row>
    <row r="1942" spans="1:12" x14ac:dyDescent="0.2">
      <c r="A1942" s="14"/>
      <c r="B1942" s="97"/>
      <c r="C1942" s="46"/>
      <c r="F1942" s="11"/>
      <c r="K1942" s="1"/>
      <c r="L1942" s="2"/>
    </row>
    <row r="1943" spans="1:12" x14ac:dyDescent="0.2">
      <c r="A1943" s="14"/>
      <c r="B1943" s="97"/>
      <c r="C1943" s="46"/>
      <c r="F1943" s="11"/>
      <c r="K1943" s="1"/>
      <c r="L1943" s="2"/>
    </row>
    <row r="1944" spans="1:12" x14ac:dyDescent="0.2">
      <c r="A1944" s="14"/>
      <c r="B1944" s="97"/>
      <c r="C1944" s="46"/>
      <c r="F1944" s="11"/>
      <c r="K1944" s="1"/>
      <c r="L1944" s="2"/>
    </row>
    <row r="1945" spans="1:12" x14ac:dyDescent="0.2">
      <c r="A1945" s="14"/>
      <c r="B1945" s="97"/>
      <c r="C1945" s="46"/>
      <c r="F1945" s="11"/>
      <c r="K1945" s="1"/>
      <c r="L1945" s="2"/>
    </row>
    <row r="1946" spans="1:12" x14ac:dyDescent="0.2">
      <c r="A1946" s="14"/>
      <c r="B1946" s="97"/>
      <c r="C1946" s="46"/>
      <c r="F1946" s="11"/>
      <c r="K1946" s="1"/>
      <c r="L1946" s="2"/>
    </row>
    <row r="1947" spans="1:12" x14ac:dyDescent="0.2">
      <c r="A1947" s="14"/>
      <c r="B1947" s="97"/>
      <c r="C1947" s="46"/>
      <c r="F1947" s="11"/>
      <c r="K1947" s="1"/>
      <c r="L1947" s="2"/>
    </row>
    <row r="1948" spans="1:12" x14ac:dyDescent="0.2">
      <c r="A1948" s="14"/>
      <c r="B1948" s="97"/>
      <c r="C1948" s="46"/>
      <c r="F1948" s="11"/>
      <c r="K1948" s="1"/>
      <c r="L1948" s="2"/>
    </row>
    <row r="1949" spans="1:12" x14ac:dyDescent="0.2">
      <c r="A1949" s="14"/>
      <c r="B1949" s="97"/>
      <c r="C1949" s="46"/>
      <c r="F1949" s="11"/>
      <c r="K1949" s="1"/>
      <c r="L1949" s="2"/>
    </row>
    <row r="1950" spans="1:12" x14ac:dyDescent="0.2">
      <c r="A1950" s="14"/>
      <c r="B1950" s="97"/>
      <c r="C1950" s="46"/>
      <c r="F1950" s="11"/>
      <c r="K1950" s="1"/>
      <c r="L1950" s="2"/>
    </row>
    <row r="1951" spans="1:12" x14ac:dyDescent="0.2">
      <c r="A1951" s="14"/>
      <c r="B1951" s="97"/>
      <c r="C1951" s="46"/>
      <c r="F1951" s="11"/>
      <c r="K1951" s="1"/>
      <c r="L1951" s="2"/>
    </row>
    <row r="1952" spans="1:12" x14ac:dyDescent="0.2">
      <c r="A1952" s="14"/>
      <c r="B1952" s="97"/>
      <c r="C1952" s="46"/>
      <c r="F1952" s="11"/>
      <c r="K1952" s="1"/>
      <c r="L1952" s="2"/>
    </row>
    <row r="1953" spans="1:12" x14ac:dyDescent="0.2">
      <c r="A1953" s="14"/>
      <c r="B1953" s="97"/>
      <c r="C1953" s="46"/>
      <c r="F1953" s="11"/>
      <c r="K1953" s="1"/>
      <c r="L1953" s="2"/>
    </row>
    <row r="1954" spans="1:12" x14ac:dyDescent="0.2">
      <c r="A1954" s="14"/>
      <c r="B1954" s="97"/>
      <c r="C1954" s="46"/>
      <c r="F1954" s="11"/>
      <c r="K1954" s="1"/>
      <c r="L1954" s="2"/>
    </row>
    <row r="1955" spans="1:12" x14ac:dyDescent="0.2">
      <c r="A1955" s="14"/>
      <c r="B1955" s="97"/>
      <c r="C1955" s="46"/>
      <c r="F1955" s="11"/>
      <c r="K1955" s="1"/>
      <c r="L1955" s="2"/>
    </row>
    <row r="1956" spans="1:12" x14ac:dyDescent="0.2">
      <c r="A1956" s="14"/>
      <c r="B1956" s="97"/>
      <c r="C1956" s="46"/>
      <c r="F1956" s="11"/>
      <c r="K1956" s="1"/>
      <c r="L1956" s="2"/>
    </row>
    <row r="1957" spans="1:12" x14ac:dyDescent="0.2">
      <c r="A1957" s="14"/>
      <c r="B1957" s="97"/>
      <c r="C1957" s="46"/>
      <c r="F1957" s="11"/>
      <c r="K1957" s="1"/>
      <c r="L1957" s="2"/>
    </row>
    <row r="1958" spans="1:12" x14ac:dyDescent="0.2">
      <c r="A1958" s="14"/>
      <c r="B1958" s="97"/>
      <c r="C1958" s="46"/>
      <c r="F1958" s="11"/>
      <c r="K1958" s="1"/>
      <c r="L1958" s="2"/>
    </row>
    <row r="1959" spans="1:12" x14ac:dyDescent="0.2">
      <c r="A1959" s="14"/>
      <c r="B1959" s="97"/>
      <c r="C1959" s="46"/>
      <c r="F1959" s="11"/>
      <c r="K1959" s="1"/>
      <c r="L1959" s="2"/>
    </row>
    <row r="1960" spans="1:12" x14ac:dyDescent="0.2">
      <c r="A1960" s="14"/>
      <c r="B1960" s="97"/>
      <c r="C1960" s="46"/>
      <c r="F1960" s="11"/>
      <c r="K1960" s="1"/>
      <c r="L1960" s="2"/>
    </row>
    <row r="1961" spans="1:12" x14ac:dyDescent="0.2">
      <c r="A1961" s="14"/>
      <c r="B1961" s="97"/>
      <c r="C1961" s="46"/>
      <c r="F1961" s="11"/>
      <c r="K1961" s="1"/>
      <c r="L1961" s="2"/>
    </row>
    <row r="1962" spans="1:12" x14ac:dyDescent="0.2">
      <c r="A1962" s="14"/>
      <c r="B1962" s="97"/>
      <c r="C1962" s="46"/>
      <c r="F1962" s="11"/>
      <c r="K1962" s="1"/>
      <c r="L1962" s="2"/>
    </row>
    <row r="1963" spans="1:12" x14ac:dyDescent="0.2">
      <c r="A1963" s="14"/>
      <c r="B1963" s="97"/>
      <c r="C1963" s="46"/>
      <c r="F1963" s="11"/>
      <c r="K1963" s="1"/>
      <c r="L1963" s="2"/>
    </row>
    <row r="1964" spans="1:12" x14ac:dyDescent="0.2">
      <c r="A1964" s="14"/>
      <c r="B1964" s="97"/>
      <c r="C1964" s="46"/>
      <c r="F1964" s="11"/>
      <c r="K1964" s="1"/>
      <c r="L1964" s="2"/>
    </row>
    <row r="1965" spans="1:12" x14ac:dyDescent="0.2">
      <c r="A1965" s="14"/>
      <c r="B1965" s="97"/>
      <c r="C1965" s="46"/>
      <c r="F1965" s="11"/>
      <c r="K1965" s="1"/>
      <c r="L1965" s="2"/>
    </row>
    <row r="1966" spans="1:12" x14ac:dyDescent="0.2">
      <c r="A1966" s="14"/>
      <c r="B1966" s="97"/>
      <c r="C1966" s="46"/>
      <c r="F1966" s="11"/>
      <c r="K1966" s="1"/>
      <c r="L1966" s="2"/>
    </row>
    <row r="1967" spans="1:12" x14ac:dyDescent="0.2">
      <c r="A1967" s="14"/>
      <c r="B1967" s="97"/>
      <c r="C1967" s="46"/>
      <c r="F1967" s="11"/>
      <c r="K1967" s="1"/>
      <c r="L1967" s="2"/>
    </row>
    <row r="1968" spans="1:12" x14ac:dyDescent="0.2">
      <c r="A1968" s="14"/>
      <c r="B1968" s="97"/>
      <c r="C1968" s="46"/>
      <c r="F1968" s="11"/>
      <c r="K1968" s="1"/>
      <c r="L1968" s="2"/>
    </row>
    <row r="1969" spans="1:12" x14ac:dyDescent="0.2">
      <c r="A1969" s="14"/>
      <c r="B1969" s="97"/>
      <c r="C1969" s="46"/>
      <c r="F1969" s="11"/>
      <c r="K1969" s="1"/>
      <c r="L1969" s="2"/>
    </row>
    <row r="1970" spans="1:12" x14ac:dyDescent="0.2">
      <c r="A1970" s="14"/>
      <c r="B1970" s="97"/>
      <c r="C1970" s="46"/>
      <c r="F1970" s="11"/>
      <c r="K1970" s="1"/>
      <c r="L1970" s="2"/>
    </row>
    <row r="1971" spans="1:12" x14ac:dyDescent="0.2">
      <c r="A1971" s="14"/>
      <c r="B1971" s="97"/>
      <c r="C1971" s="46"/>
      <c r="F1971" s="11"/>
      <c r="K1971" s="1"/>
      <c r="L1971" s="2"/>
    </row>
    <row r="1972" spans="1:12" x14ac:dyDescent="0.2">
      <c r="A1972" s="14"/>
      <c r="B1972" s="97"/>
      <c r="C1972" s="46"/>
      <c r="F1972" s="11"/>
      <c r="K1972" s="1"/>
      <c r="L1972" s="2"/>
    </row>
    <row r="1973" spans="1:12" x14ac:dyDescent="0.2">
      <c r="A1973" s="103"/>
      <c r="B1973" s="104"/>
      <c r="C1973" s="105"/>
      <c r="K1973" s="1"/>
      <c r="L1973" s="2"/>
    </row>
    <row r="1974" spans="1:12" x14ac:dyDescent="0.2">
      <c r="A1974" s="103"/>
      <c r="B1974" s="104"/>
      <c r="C1974" s="105"/>
      <c r="K1974" s="1"/>
      <c r="L1974" s="2"/>
    </row>
    <row r="1975" spans="1:12" x14ac:dyDescent="0.2">
      <c r="A1975" s="103"/>
      <c r="B1975" s="104"/>
      <c r="C1975" s="105"/>
      <c r="K1975" s="1"/>
      <c r="L1975" s="2"/>
    </row>
    <row r="1976" spans="1:12" x14ac:dyDescent="0.2">
      <c r="A1976" s="103"/>
      <c r="B1976" s="104"/>
      <c r="C1976" s="105"/>
      <c r="K1976" s="1"/>
      <c r="L1976" s="2"/>
    </row>
    <row r="1977" spans="1:12" x14ac:dyDescent="0.2">
      <c r="A1977" s="103"/>
      <c r="B1977" s="104"/>
      <c r="C1977" s="105"/>
      <c r="K1977" s="1"/>
      <c r="L1977" s="2"/>
    </row>
    <row r="1978" spans="1:12" x14ac:dyDescent="0.2">
      <c r="A1978" s="103"/>
      <c r="B1978" s="104"/>
      <c r="C1978" s="105"/>
      <c r="K1978" s="1"/>
      <c r="L1978" s="2"/>
    </row>
    <row r="1979" spans="1:12" x14ac:dyDescent="0.2">
      <c r="A1979" s="103"/>
      <c r="B1979" s="104"/>
      <c r="C1979" s="105"/>
      <c r="K1979" s="1"/>
      <c r="L1979" s="2"/>
    </row>
    <row r="1980" spans="1:12" x14ac:dyDescent="0.2">
      <c r="A1980" s="103"/>
      <c r="B1980" s="104"/>
      <c r="C1980" s="105"/>
      <c r="K1980" s="1"/>
      <c r="L1980" s="2"/>
    </row>
    <row r="1981" spans="1:12" x14ac:dyDescent="0.2">
      <c r="A1981" s="103"/>
      <c r="B1981" s="104"/>
      <c r="C1981" s="105"/>
      <c r="K1981" s="1"/>
      <c r="L1981" s="2"/>
    </row>
    <row r="1982" spans="1:12" x14ac:dyDescent="0.2">
      <c r="A1982" s="103"/>
      <c r="B1982" s="104"/>
      <c r="C1982" s="105"/>
      <c r="K1982" s="1"/>
      <c r="L1982" s="2"/>
    </row>
    <row r="1983" spans="1:12" x14ac:dyDescent="0.2">
      <c r="A1983" s="103"/>
      <c r="B1983" s="104"/>
      <c r="C1983" s="105"/>
      <c r="K1983" s="1"/>
      <c r="L1983" s="2"/>
    </row>
    <row r="1984" spans="1:12" x14ac:dyDescent="0.2">
      <c r="A1984" s="103"/>
      <c r="B1984" s="104"/>
      <c r="C1984" s="105"/>
      <c r="K1984" s="1"/>
      <c r="L1984" s="2"/>
    </row>
    <row r="1985" spans="1:12" x14ac:dyDescent="0.2">
      <c r="A1985" s="103"/>
      <c r="B1985" s="104"/>
      <c r="C1985" s="105"/>
      <c r="K1985" s="1"/>
      <c r="L1985" s="2"/>
    </row>
    <row r="1986" spans="1:12" x14ac:dyDescent="0.2">
      <c r="A1986" s="103"/>
      <c r="B1986" s="104"/>
      <c r="C1986" s="105"/>
      <c r="K1986" s="1"/>
      <c r="L1986" s="2"/>
    </row>
    <row r="1987" spans="1:12" x14ac:dyDescent="0.2">
      <c r="A1987" s="103"/>
      <c r="B1987" s="104"/>
      <c r="C1987" s="105"/>
      <c r="K1987" s="1"/>
      <c r="L1987" s="2"/>
    </row>
    <row r="1988" spans="1:12" x14ac:dyDescent="0.2">
      <c r="A1988" s="103"/>
      <c r="B1988" s="104"/>
      <c r="C1988" s="105"/>
      <c r="K1988" s="1"/>
      <c r="L1988" s="2"/>
    </row>
    <row r="1989" spans="1:12" x14ac:dyDescent="0.2">
      <c r="A1989" s="103"/>
      <c r="B1989" s="104"/>
      <c r="C1989" s="105"/>
      <c r="K1989" s="1"/>
      <c r="L1989" s="2"/>
    </row>
    <row r="1990" spans="1:12" x14ac:dyDescent="0.2">
      <c r="A1990" s="103"/>
      <c r="B1990" s="104"/>
      <c r="C1990" s="105"/>
      <c r="K1990" s="1"/>
      <c r="L1990" s="2"/>
    </row>
    <row r="1991" spans="1:12" x14ac:dyDescent="0.2">
      <c r="A1991" s="103"/>
      <c r="B1991" s="104"/>
      <c r="C1991" s="105"/>
      <c r="K1991" s="1"/>
      <c r="L1991" s="2"/>
    </row>
    <row r="1992" spans="1:12" x14ac:dyDescent="0.2">
      <c r="A1992" s="103"/>
      <c r="B1992" s="104"/>
      <c r="C1992" s="105"/>
      <c r="K1992" s="1"/>
      <c r="L1992" s="2"/>
    </row>
    <row r="1993" spans="1:12" x14ac:dyDescent="0.2">
      <c r="A1993" s="103"/>
      <c r="B1993" s="104"/>
      <c r="C1993" s="105"/>
      <c r="K1993" s="1"/>
      <c r="L1993" s="2"/>
    </row>
    <row r="1994" spans="1:12" x14ac:dyDescent="0.2">
      <c r="A1994" s="103"/>
      <c r="B1994" s="104"/>
      <c r="C1994" s="105"/>
      <c r="K1994" s="1"/>
      <c r="L1994" s="2"/>
    </row>
    <row r="1995" spans="1:12" x14ac:dyDescent="0.2">
      <c r="A1995" s="103"/>
      <c r="B1995" s="104"/>
      <c r="C1995" s="105"/>
      <c r="K1995" s="1"/>
      <c r="L1995" s="2"/>
    </row>
    <row r="1996" spans="1:12" x14ac:dyDescent="0.2">
      <c r="A1996" s="103"/>
      <c r="B1996" s="104"/>
      <c r="C1996" s="105"/>
      <c r="K1996" s="1"/>
      <c r="L1996" s="2"/>
    </row>
    <row r="1997" spans="1:12" x14ac:dyDescent="0.2">
      <c r="A1997" s="103"/>
      <c r="B1997" s="104"/>
      <c r="C1997" s="105"/>
      <c r="K1997" s="1"/>
      <c r="L1997" s="2"/>
    </row>
    <row r="1998" spans="1:12" x14ac:dyDescent="0.2">
      <c r="A1998" s="103"/>
      <c r="B1998" s="104"/>
      <c r="C1998" s="105"/>
      <c r="K1998" s="1"/>
      <c r="L1998" s="2"/>
    </row>
    <row r="1999" spans="1:12" x14ac:dyDescent="0.2">
      <c r="A1999" s="103"/>
      <c r="B1999" s="104"/>
      <c r="C1999" s="105"/>
      <c r="K1999" s="1"/>
      <c r="L1999" s="2"/>
    </row>
    <row r="2000" spans="1:12" x14ac:dyDescent="0.2">
      <c r="A2000" s="103"/>
      <c r="B2000" s="104"/>
      <c r="C2000" s="105"/>
      <c r="K2000" s="1"/>
      <c r="L2000" s="2"/>
    </row>
    <row r="2001" spans="1:12" x14ac:dyDescent="0.2">
      <c r="A2001" s="103"/>
      <c r="B2001" s="104"/>
      <c r="C2001" s="105"/>
      <c r="K2001" s="1"/>
      <c r="L2001" s="2"/>
    </row>
    <row r="2002" spans="1:12" x14ac:dyDescent="0.2">
      <c r="A2002" s="103"/>
      <c r="B2002" s="104"/>
      <c r="C2002" s="105"/>
      <c r="K2002" s="1"/>
      <c r="L2002" s="2"/>
    </row>
    <row r="2003" spans="1:12" x14ac:dyDescent="0.2">
      <c r="A2003" s="103"/>
      <c r="B2003" s="104"/>
      <c r="C2003" s="105"/>
      <c r="K2003" s="1"/>
      <c r="L2003" s="2"/>
    </row>
    <row r="2004" spans="1:12" x14ac:dyDescent="0.2">
      <c r="A2004" s="103"/>
      <c r="B2004" s="104"/>
      <c r="C2004" s="105"/>
      <c r="K2004" s="1"/>
      <c r="L2004" s="2"/>
    </row>
    <row r="2005" spans="1:12" x14ac:dyDescent="0.2">
      <c r="A2005" s="103"/>
      <c r="B2005" s="104"/>
      <c r="C2005" s="105"/>
      <c r="K2005" s="1"/>
      <c r="L2005" s="2"/>
    </row>
    <row r="2006" spans="1:12" x14ac:dyDescent="0.2">
      <c r="A2006" s="103"/>
      <c r="B2006" s="104"/>
      <c r="C2006" s="105"/>
      <c r="K2006" s="1"/>
      <c r="L2006" s="2"/>
    </row>
    <row r="2007" spans="1:12" x14ac:dyDescent="0.2">
      <c r="A2007" s="103"/>
      <c r="B2007" s="104"/>
      <c r="C2007" s="105"/>
      <c r="K2007" s="1"/>
      <c r="L2007" s="2"/>
    </row>
    <row r="2008" spans="1:12" x14ac:dyDescent="0.2">
      <c r="A2008" s="103"/>
      <c r="B2008" s="104"/>
      <c r="C2008" s="105"/>
      <c r="K2008" s="1"/>
      <c r="L2008" s="2"/>
    </row>
    <row r="2009" spans="1:12" x14ac:dyDescent="0.2">
      <c r="A2009" s="103"/>
      <c r="B2009" s="104"/>
      <c r="C2009" s="105"/>
      <c r="K2009" s="1"/>
      <c r="L2009" s="2"/>
    </row>
    <row r="2010" spans="1:12" x14ac:dyDescent="0.2">
      <c r="A2010" s="103"/>
      <c r="B2010" s="104"/>
      <c r="C2010" s="105"/>
      <c r="K2010" s="1"/>
      <c r="L2010" s="2"/>
    </row>
    <row r="2011" spans="1:12" x14ac:dyDescent="0.2">
      <c r="A2011" s="103"/>
      <c r="B2011" s="104"/>
      <c r="C2011" s="105"/>
      <c r="K2011" s="1"/>
      <c r="L2011" s="2"/>
    </row>
    <row r="2012" spans="1:12" x14ac:dyDescent="0.2">
      <c r="A2012" s="103"/>
      <c r="B2012" s="104"/>
      <c r="C2012" s="105"/>
      <c r="K2012" s="1"/>
      <c r="L2012" s="2"/>
    </row>
    <row r="2013" spans="1:12" x14ac:dyDescent="0.2">
      <c r="A2013" s="103"/>
      <c r="B2013" s="104"/>
      <c r="C2013" s="105"/>
      <c r="K2013" s="1"/>
      <c r="L2013" s="2"/>
    </row>
    <row r="2014" spans="1:12" x14ac:dyDescent="0.2">
      <c r="A2014" s="103"/>
      <c r="B2014" s="104"/>
      <c r="C2014" s="105"/>
      <c r="K2014" s="1"/>
      <c r="L2014" s="2"/>
    </row>
    <row r="2015" spans="1:12" x14ac:dyDescent="0.2">
      <c r="A2015" s="103"/>
      <c r="B2015" s="104"/>
      <c r="C2015" s="105"/>
      <c r="K2015" s="1"/>
      <c r="L2015" s="2"/>
    </row>
    <row r="2016" spans="1:12" x14ac:dyDescent="0.2">
      <c r="A2016" s="103"/>
      <c r="B2016" s="104"/>
      <c r="C2016" s="105"/>
      <c r="K2016" s="1"/>
      <c r="L2016" s="2"/>
    </row>
    <row r="2017" spans="1:12" x14ac:dyDescent="0.2">
      <c r="A2017" s="103"/>
      <c r="B2017" s="104"/>
      <c r="C2017" s="105"/>
      <c r="K2017" s="1"/>
      <c r="L2017" s="2"/>
    </row>
    <row r="2018" spans="1:12" x14ac:dyDescent="0.2">
      <c r="A2018" s="103"/>
      <c r="B2018" s="104"/>
      <c r="C2018" s="105"/>
      <c r="K2018" s="1"/>
      <c r="L2018" s="2"/>
    </row>
    <row r="2019" spans="1:12" x14ac:dyDescent="0.2">
      <c r="A2019" s="103"/>
      <c r="B2019" s="104"/>
      <c r="C2019" s="105"/>
      <c r="K2019" s="1"/>
      <c r="L2019" s="2"/>
    </row>
    <row r="2020" spans="1:12" x14ac:dyDescent="0.2">
      <c r="A2020" s="103"/>
      <c r="B2020" s="104"/>
      <c r="C2020" s="105"/>
      <c r="K2020" s="1"/>
      <c r="L2020" s="2"/>
    </row>
    <row r="2021" spans="1:12" x14ac:dyDescent="0.2">
      <c r="A2021" s="103"/>
      <c r="B2021" s="104"/>
      <c r="C2021" s="105"/>
      <c r="K2021" s="1"/>
      <c r="L2021" s="2"/>
    </row>
    <row r="2022" spans="1:12" x14ac:dyDescent="0.2">
      <c r="A2022" s="103"/>
      <c r="B2022" s="104"/>
      <c r="C2022" s="105"/>
      <c r="K2022" s="1"/>
      <c r="L2022" s="2"/>
    </row>
    <row r="2023" spans="1:12" x14ac:dyDescent="0.2">
      <c r="A2023" s="103"/>
      <c r="B2023" s="104"/>
      <c r="C2023" s="105"/>
      <c r="K2023" s="1"/>
      <c r="L2023" s="2"/>
    </row>
    <row r="2024" spans="1:12" x14ac:dyDescent="0.2">
      <c r="A2024" s="103"/>
      <c r="B2024" s="104"/>
      <c r="C2024" s="105"/>
      <c r="K2024" s="1"/>
      <c r="L2024" s="2"/>
    </row>
    <row r="2025" spans="1:12" x14ac:dyDescent="0.2">
      <c r="A2025" s="103"/>
      <c r="B2025" s="104"/>
      <c r="C2025" s="105"/>
      <c r="K2025" s="1"/>
      <c r="L2025" s="2"/>
    </row>
    <row r="2026" spans="1:12" x14ac:dyDescent="0.2">
      <c r="A2026" s="103"/>
      <c r="B2026" s="104"/>
      <c r="C2026" s="105"/>
      <c r="K2026" s="1"/>
      <c r="L2026" s="2"/>
    </row>
    <row r="2027" spans="1:12" x14ac:dyDescent="0.2">
      <c r="A2027" s="103"/>
      <c r="B2027" s="104"/>
      <c r="C2027" s="105"/>
      <c r="K2027" s="1"/>
      <c r="L2027" s="2"/>
    </row>
    <row r="2028" spans="1:12" x14ac:dyDescent="0.2">
      <c r="A2028" s="103"/>
      <c r="B2028" s="104"/>
      <c r="C2028" s="105"/>
      <c r="K2028" s="1"/>
      <c r="L2028" s="2"/>
    </row>
    <row r="2029" spans="1:12" x14ac:dyDescent="0.2">
      <c r="A2029" s="103"/>
      <c r="B2029" s="104"/>
      <c r="C2029" s="105"/>
      <c r="K2029" s="1"/>
      <c r="L2029" s="2"/>
    </row>
    <row r="2030" spans="1:12" x14ac:dyDescent="0.2">
      <c r="A2030" s="103"/>
      <c r="B2030" s="104"/>
      <c r="C2030" s="105"/>
      <c r="K2030" s="1"/>
      <c r="L2030" s="2"/>
    </row>
    <row r="2031" spans="1:12" x14ac:dyDescent="0.2">
      <c r="A2031" s="103"/>
      <c r="B2031" s="104"/>
      <c r="C2031" s="105"/>
      <c r="K2031" s="1"/>
      <c r="L2031" s="2"/>
    </row>
    <row r="2032" spans="1:12" x14ac:dyDescent="0.2">
      <c r="A2032" s="103"/>
      <c r="B2032" s="104"/>
      <c r="C2032" s="105"/>
      <c r="K2032" s="1"/>
      <c r="L2032" s="2"/>
    </row>
    <row r="2033" spans="1:12" x14ac:dyDescent="0.2">
      <c r="A2033" s="103"/>
      <c r="B2033" s="104"/>
      <c r="C2033" s="105"/>
      <c r="K2033" s="1"/>
      <c r="L2033" s="2"/>
    </row>
    <row r="2034" spans="1:12" x14ac:dyDescent="0.2">
      <c r="A2034" s="103"/>
      <c r="B2034" s="104"/>
      <c r="C2034" s="105"/>
      <c r="K2034" s="1"/>
      <c r="L2034" s="2"/>
    </row>
    <row r="2035" spans="1:12" x14ac:dyDescent="0.2">
      <c r="A2035" s="103"/>
      <c r="B2035" s="104"/>
      <c r="C2035" s="105"/>
      <c r="K2035" s="1"/>
      <c r="L2035" s="2"/>
    </row>
    <row r="2036" spans="1:12" x14ac:dyDescent="0.2">
      <c r="A2036" s="103"/>
      <c r="B2036" s="104"/>
      <c r="C2036" s="105"/>
      <c r="K2036" s="1"/>
      <c r="L2036" s="2"/>
    </row>
    <row r="2037" spans="1:12" x14ac:dyDescent="0.2">
      <c r="A2037" s="103"/>
      <c r="B2037" s="104"/>
      <c r="C2037" s="105"/>
      <c r="K2037" s="1"/>
      <c r="L2037" s="2"/>
    </row>
    <row r="2038" spans="1:12" x14ac:dyDescent="0.2">
      <c r="A2038" s="103"/>
      <c r="B2038" s="104"/>
      <c r="C2038" s="105"/>
      <c r="K2038" s="1"/>
      <c r="L2038" s="2"/>
    </row>
    <row r="2039" spans="1:12" x14ac:dyDescent="0.2">
      <c r="A2039" s="103"/>
      <c r="B2039" s="104"/>
      <c r="C2039" s="105"/>
      <c r="K2039" s="1"/>
      <c r="L2039" s="2"/>
    </row>
    <row r="2040" spans="1:12" x14ac:dyDescent="0.2">
      <c r="A2040" s="103"/>
      <c r="B2040" s="104"/>
      <c r="C2040" s="105"/>
      <c r="K2040" s="1"/>
      <c r="L2040" s="2"/>
    </row>
    <row r="2041" spans="1:12" x14ac:dyDescent="0.2">
      <c r="A2041" s="103"/>
      <c r="B2041" s="104"/>
      <c r="C2041" s="105"/>
      <c r="K2041" s="1"/>
      <c r="L2041" s="2"/>
    </row>
    <row r="2042" spans="1:12" x14ac:dyDescent="0.2">
      <c r="A2042" s="103"/>
      <c r="B2042" s="104"/>
      <c r="C2042" s="105"/>
      <c r="K2042" s="1"/>
      <c r="L2042" s="2"/>
    </row>
    <row r="2043" spans="1:12" x14ac:dyDescent="0.2">
      <c r="A2043" s="103"/>
      <c r="B2043" s="104"/>
      <c r="C2043" s="105"/>
      <c r="K2043" s="1"/>
      <c r="L2043" s="2"/>
    </row>
    <row r="2044" spans="1:12" x14ac:dyDescent="0.2">
      <c r="A2044" s="103"/>
      <c r="B2044" s="104"/>
      <c r="C2044" s="105"/>
      <c r="K2044" s="1"/>
      <c r="L2044" s="2"/>
    </row>
    <row r="2045" spans="1:12" x14ac:dyDescent="0.2">
      <c r="A2045" s="103"/>
      <c r="B2045" s="104"/>
      <c r="C2045" s="105"/>
      <c r="K2045" s="1"/>
      <c r="L2045" s="2"/>
    </row>
    <row r="2046" spans="1:12" x14ac:dyDescent="0.2">
      <c r="A2046" s="103"/>
      <c r="B2046" s="104"/>
      <c r="C2046" s="105"/>
      <c r="K2046" s="1"/>
      <c r="L2046" s="2"/>
    </row>
    <row r="2047" spans="1:12" x14ac:dyDescent="0.2">
      <c r="A2047" s="103"/>
      <c r="B2047" s="104"/>
      <c r="C2047" s="105"/>
      <c r="K2047" s="1"/>
      <c r="L2047" s="2"/>
    </row>
    <row r="2048" spans="1:12" x14ac:dyDescent="0.2">
      <c r="A2048" s="103"/>
      <c r="B2048" s="104"/>
      <c r="C2048" s="105"/>
      <c r="K2048" s="1"/>
      <c r="L2048" s="2"/>
    </row>
    <row r="2049" spans="1:12" x14ac:dyDescent="0.2">
      <c r="A2049" s="103"/>
      <c r="B2049" s="104"/>
      <c r="C2049" s="105"/>
      <c r="K2049" s="1"/>
      <c r="L2049" s="2"/>
    </row>
    <row r="2050" spans="1:12" x14ac:dyDescent="0.2">
      <c r="A2050" s="103"/>
      <c r="B2050" s="104"/>
      <c r="C2050" s="105"/>
      <c r="K2050" s="1"/>
      <c r="L2050" s="2"/>
    </row>
    <row r="2051" spans="1:12" x14ac:dyDescent="0.2">
      <c r="A2051" s="103"/>
      <c r="B2051" s="104"/>
      <c r="C2051" s="105"/>
      <c r="K2051" s="1"/>
      <c r="L2051" s="2"/>
    </row>
    <row r="2052" spans="1:12" x14ac:dyDescent="0.2">
      <c r="A2052" s="103"/>
      <c r="B2052" s="104"/>
      <c r="C2052" s="105"/>
      <c r="K2052" s="1"/>
      <c r="L2052" s="2"/>
    </row>
    <row r="2053" spans="1:12" x14ac:dyDescent="0.2">
      <c r="A2053" s="103"/>
      <c r="B2053" s="104"/>
      <c r="C2053" s="105"/>
      <c r="K2053" s="1"/>
      <c r="L2053" s="2"/>
    </row>
    <row r="2054" spans="1:12" x14ac:dyDescent="0.2">
      <c r="A2054" s="103"/>
      <c r="B2054" s="104"/>
      <c r="C2054" s="105"/>
      <c r="K2054" s="1"/>
      <c r="L2054" s="2"/>
    </row>
    <row r="2055" spans="1:12" x14ac:dyDescent="0.2">
      <c r="A2055" s="103"/>
      <c r="B2055" s="104"/>
      <c r="C2055" s="105"/>
      <c r="K2055" s="1"/>
      <c r="L2055" s="2"/>
    </row>
    <row r="2056" spans="1:12" x14ac:dyDescent="0.2">
      <c r="A2056" s="103"/>
      <c r="B2056" s="104"/>
      <c r="C2056" s="105"/>
      <c r="K2056" s="1"/>
      <c r="L2056" s="2"/>
    </row>
    <row r="2057" spans="1:12" x14ac:dyDescent="0.2">
      <c r="A2057" s="103"/>
      <c r="B2057" s="104"/>
      <c r="C2057" s="105"/>
      <c r="K2057" s="1"/>
      <c r="L2057" s="2"/>
    </row>
    <row r="2058" spans="1:12" x14ac:dyDescent="0.2">
      <c r="A2058" s="103"/>
      <c r="B2058" s="104"/>
      <c r="C2058" s="105"/>
      <c r="K2058" s="1"/>
      <c r="L2058" s="2"/>
    </row>
    <row r="2059" spans="1:12" x14ac:dyDescent="0.2">
      <c r="A2059" s="103"/>
      <c r="B2059" s="104"/>
      <c r="C2059" s="105"/>
      <c r="K2059" s="1"/>
      <c r="L2059" s="2"/>
    </row>
    <row r="2060" spans="1:12" x14ac:dyDescent="0.2">
      <c r="A2060" s="103"/>
      <c r="B2060" s="104"/>
      <c r="C2060" s="105"/>
      <c r="K2060" s="1"/>
      <c r="L2060" s="2"/>
    </row>
    <row r="2061" spans="1:12" x14ac:dyDescent="0.2">
      <c r="A2061" s="103"/>
      <c r="B2061" s="104"/>
      <c r="C2061" s="105"/>
      <c r="K2061" s="1"/>
      <c r="L2061" s="2"/>
    </row>
    <row r="2062" spans="1:12" x14ac:dyDescent="0.2">
      <c r="A2062" s="103"/>
      <c r="B2062" s="104"/>
      <c r="C2062" s="105"/>
      <c r="K2062" s="1"/>
      <c r="L2062" s="2"/>
    </row>
    <row r="2063" spans="1:12" x14ac:dyDescent="0.2">
      <c r="A2063" s="103"/>
      <c r="B2063" s="104"/>
      <c r="C2063" s="105"/>
      <c r="K2063" s="1"/>
      <c r="L2063" s="2"/>
    </row>
    <row r="2064" spans="1:12" x14ac:dyDescent="0.2">
      <c r="A2064" s="103"/>
      <c r="B2064" s="104"/>
      <c r="C2064" s="105"/>
      <c r="K2064" s="1"/>
      <c r="L2064" s="2"/>
    </row>
    <row r="2065" spans="1:12" x14ac:dyDescent="0.2">
      <c r="A2065" s="103"/>
      <c r="B2065" s="104"/>
      <c r="C2065" s="105"/>
      <c r="K2065" s="1"/>
      <c r="L2065" s="2"/>
    </row>
    <row r="2066" spans="1:12" x14ac:dyDescent="0.2">
      <c r="A2066" s="103"/>
      <c r="B2066" s="104"/>
      <c r="C2066" s="105"/>
      <c r="K2066" s="1"/>
      <c r="L2066" s="2"/>
    </row>
    <row r="2067" spans="1:12" x14ac:dyDescent="0.2">
      <c r="A2067" s="103"/>
      <c r="B2067" s="104"/>
      <c r="C2067" s="105"/>
      <c r="K2067" s="1"/>
      <c r="L2067" s="2"/>
    </row>
    <row r="2068" spans="1:12" x14ac:dyDescent="0.2">
      <c r="A2068" s="103"/>
      <c r="B2068" s="104"/>
      <c r="C2068" s="105"/>
      <c r="K2068" s="1"/>
      <c r="L2068" s="2"/>
    </row>
    <row r="2069" spans="1:12" x14ac:dyDescent="0.2">
      <c r="A2069" s="103"/>
      <c r="B2069" s="104"/>
      <c r="C2069" s="105"/>
      <c r="K2069" s="1"/>
      <c r="L2069" s="2"/>
    </row>
    <row r="2070" spans="1:12" x14ac:dyDescent="0.2">
      <c r="A2070" s="103"/>
      <c r="B2070" s="104"/>
      <c r="C2070" s="105"/>
      <c r="K2070" s="1"/>
      <c r="L2070" s="2"/>
    </row>
    <row r="2071" spans="1:12" x14ac:dyDescent="0.2">
      <c r="A2071" s="103"/>
      <c r="B2071" s="104"/>
      <c r="C2071" s="105"/>
      <c r="K2071" s="1"/>
      <c r="L2071" s="2"/>
    </row>
    <row r="2072" spans="1:12" x14ac:dyDescent="0.2">
      <c r="A2072" s="103"/>
      <c r="B2072" s="104"/>
      <c r="C2072" s="105"/>
      <c r="K2072" s="1"/>
      <c r="L2072" s="2"/>
    </row>
    <row r="2073" spans="1:12" x14ac:dyDescent="0.2">
      <c r="A2073" s="103"/>
      <c r="B2073" s="104"/>
      <c r="C2073" s="105"/>
      <c r="K2073" s="1"/>
      <c r="L2073" s="2"/>
    </row>
    <row r="2074" spans="1:12" x14ac:dyDescent="0.2">
      <c r="A2074" s="103"/>
      <c r="B2074" s="104"/>
      <c r="C2074" s="105"/>
      <c r="K2074" s="1"/>
      <c r="L2074" s="2"/>
    </row>
    <row r="2075" spans="1:12" x14ac:dyDescent="0.2">
      <c r="A2075" s="103"/>
      <c r="B2075" s="104"/>
      <c r="C2075" s="105"/>
      <c r="K2075" s="1"/>
      <c r="L2075" s="2"/>
    </row>
    <row r="2076" spans="1:12" x14ac:dyDescent="0.2">
      <c r="A2076" s="103"/>
      <c r="B2076" s="104"/>
      <c r="C2076" s="105"/>
      <c r="K2076" s="1"/>
      <c r="L2076" s="2"/>
    </row>
    <row r="2077" spans="1:12" x14ac:dyDescent="0.2">
      <c r="A2077" s="103"/>
      <c r="B2077" s="104"/>
      <c r="C2077" s="105"/>
      <c r="K2077" s="1"/>
      <c r="L2077" s="2"/>
    </row>
    <row r="2078" spans="1:12" x14ac:dyDescent="0.2">
      <c r="A2078" s="103"/>
      <c r="B2078" s="104"/>
      <c r="C2078" s="105"/>
      <c r="K2078" s="1"/>
      <c r="L2078" s="2"/>
    </row>
    <row r="2079" spans="1:12" x14ac:dyDescent="0.2">
      <c r="A2079" s="103"/>
      <c r="B2079" s="104"/>
      <c r="C2079" s="105"/>
      <c r="K2079" s="1"/>
      <c r="L2079" s="2"/>
    </row>
    <row r="2080" spans="1:12" x14ac:dyDescent="0.2">
      <c r="A2080" s="103"/>
      <c r="B2080" s="104"/>
      <c r="C2080" s="105"/>
      <c r="K2080" s="1"/>
      <c r="L2080" s="2"/>
    </row>
    <row r="2081" spans="1:12" x14ac:dyDescent="0.2">
      <c r="A2081" s="103"/>
      <c r="B2081" s="104"/>
      <c r="C2081" s="105"/>
      <c r="K2081" s="1"/>
      <c r="L2081" s="2"/>
    </row>
    <row r="2082" spans="1:12" x14ac:dyDescent="0.2">
      <c r="A2082" s="103"/>
      <c r="B2082" s="104"/>
      <c r="C2082" s="105"/>
      <c r="K2082" s="1"/>
      <c r="L2082" s="2"/>
    </row>
    <row r="2083" spans="1:12" x14ac:dyDescent="0.2">
      <c r="A2083" s="103"/>
      <c r="B2083" s="104"/>
      <c r="C2083" s="105"/>
      <c r="K2083" s="1"/>
      <c r="L2083" s="2"/>
    </row>
    <row r="2084" spans="1:12" x14ac:dyDescent="0.2">
      <c r="A2084" s="103"/>
      <c r="B2084" s="104"/>
      <c r="C2084" s="105"/>
      <c r="K2084" s="1"/>
      <c r="L2084" s="2"/>
    </row>
    <row r="2085" spans="1:12" x14ac:dyDescent="0.2">
      <c r="A2085" s="103"/>
      <c r="B2085" s="104"/>
      <c r="C2085" s="105"/>
      <c r="K2085" s="1"/>
      <c r="L2085" s="2"/>
    </row>
    <row r="2086" spans="1:12" x14ac:dyDescent="0.2">
      <c r="A2086" s="103"/>
      <c r="B2086" s="104"/>
      <c r="C2086" s="105"/>
      <c r="K2086" s="1"/>
      <c r="L2086" s="2"/>
    </row>
    <row r="2087" spans="1:12" x14ac:dyDescent="0.2">
      <c r="A2087" s="103"/>
      <c r="B2087" s="104"/>
      <c r="C2087" s="105"/>
      <c r="K2087" s="1"/>
      <c r="L2087" s="2"/>
    </row>
    <row r="2088" spans="1:12" x14ac:dyDescent="0.2">
      <c r="A2088" s="103"/>
      <c r="B2088" s="104"/>
      <c r="C2088" s="105"/>
      <c r="K2088" s="1"/>
      <c r="L2088" s="2"/>
    </row>
    <row r="2089" spans="1:12" x14ac:dyDescent="0.2">
      <c r="A2089" s="103"/>
      <c r="B2089" s="104"/>
      <c r="C2089" s="105"/>
      <c r="K2089" s="1"/>
      <c r="L2089" s="2"/>
    </row>
    <row r="2090" spans="1:12" x14ac:dyDescent="0.2">
      <c r="A2090" s="103"/>
      <c r="B2090" s="104"/>
      <c r="C2090" s="105"/>
      <c r="K2090" s="1"/>
      <c r="L2090" s="2"/>
    </row>
    <row r="2091" spans="1:12" x14ac:dyDescent="0.2">
      <c r="A2091" s="103"/>
      <c r="B2091" s="104"/>
      <c r="C2091" s="105"/>
      <c r="K2091" s="1"/>
      <c r="L2091" s="2"/>
    </row>
    <row r="2092" spans="1:12" x14ac:dyDescent="0.2">
      <c r="A2092" s="103"/>
      <c r="B2092" s="104"/>
      <c r="C2092" s="105"/>
      <c r="K2092" s="1"/>
      <c r="L2092" s="2"/>
    </row>
    <row r="2093" spans="1:12" x14ac:dyDescent="0.2">
      <c r="A2093" s="103"/>
      <c r="B2093" s="104"/>
      <c r="C2093" s="105"/>
      <c r="K2093" s="1"/>
      <c r="L2093" s="2"/>
    </row>
    <row r="2094" spans="1:12" x14ac:dyDescent="0.2">
      <c r="A2094" s="103"/>
      <c r="B2094" s="104"/>
      <c r="C2094" s="105"/>
      <c r="K2094" s="1"/>
      <c r="L2094" s="2"/>
    </row>
    <row r="2095" spans="1:12" x14ac:dyDescent="0.2">
      <c r="A2095" s="103"/>
      <c r="B2095" s="104"/>
      <c r="C2095" s="105"/>
      <c r="K2095" s="1"/>
      <c r="L2095" s="2"/>
    </row>
    <row r="2096" spans="1:12" x14ac:dyDescent="0.2">
      <c r="A2096" s="103"/>
      <c r="B2096" s="104"/>
      <c r="C2096" s="105"/>
      <c r="K2096" s="1"/>
      <c r="L2096" s="2"/>
    </row>
    <row r="2097" spans="1:12" x14ac:dyDescent="0.2">
      <c r="A2097" s="103"/>
      <c r="B2097" s="104"/>
      <c r="C2097" s="105"/>
      <c r="K2097" s="1"/>
      <c r="L2097" s="2"/>
    </row>
    <row r="2098" spans="1:12" x14ac:dyDescent="0.2">
      <c r="A2098" s="103"/>
      <c r="B2098" s="104"/>
      <c r="C2098" s="105"/>
      <c r="K2098" s="1"/>
      <c r="L2098" s="2"/>
    </row>
    <row r="2099" spans="1:12" x14ac:dyDescent="0.2">
      <c r="A2099" s="103"/>
      <c r="B2099" s="104"/>
      <c r="C2099" s="105"/>
      <c r="K2099" s="1"/>
      <c r="L2099" s="2"/>
    </row>
    <row r="2100" spans="1:12" x14ac:dyDescent="0.2">
      <c r="A2100" s="103"/>
      <c r="B2100" s="104"/>
      <c r="C2100" s="105"/>
      <c r="K2100" s="1"/>
      <c r="L2100" s="2"/>
    </row>
    <row r="2101" spans="1:12" x14ac:dyDescent="0.2">
      <c r="A2101" s="103"/>
      <c r="B2101" s="104"/>
      <c r="C2101" s="105"/>
      <c r="K2101" s="1"/>
      <c r="L2101" s="2"/>
    </row>
    <row r="2102" spans="1:12" x14ac:dyDescent="0.2">
      <c r="A2102" s="103"/>
      <c r="B2102" s="104"/>
      <c r="C2102" s="105"/>
      <c r="K2102" s="1"/>
      <c r="L2102" s="2"/>
    </row>
    <row r="2103" spans="1:12" x14ac:dyDescent="0.2">
      <c r="A2103" s="103"/>
      <c r="B2103" s="104"/>
      <c r="C2103" s="105"/>
      <c r="K2103" s="1"/>
      <c r="L2103" s="2"/>
    </row>
    <row r="2104" spans="1:12" x14ac:dyDescent="0.2">
      <c r="A2104" s="103"/>
      <c r="B2104" s="104"/>
      <c r="C2104" s="105"/>
      <c r="K2104" s="1"/>
      <c r="L2104" s="2"/>
    </row>
    <row r="2105" spans="1:12" x14ac:dyDescent="0.2">
      <c r="A2105" s="103"/>
      <c r="B2105" s="104"/>
      <c r="C2105" s="105"/>
      <c r="K2105" s="1"/>
      <c r="L2105" s="2"/>
    </row>
    <row r="2106" spans="1:12" x14ac:dyDescent="0.2">
      <c r="A2106" s="103"/>
      <c r="B2106" s="104"/>
      <c r="C2106" s="105"/>
      <c r="K2106" s="1"/>
      <c r="L2106" s="2"/>
    </row>
    <row r="2107" spans="1:12" x14ac:dyDescent="0.2">
      <c r="A2107" s="103"/>
      <c r="B2107" s="104"/>
      <c r="C2107" s="105"/>
      <c r="K2107" s="1"/>
      <c r="L2107" s="2"/>
    </row>
    <row r="2108" spans="1:12" x14ac:dyDescent="0.2">
      <c r="A2108" s="103"/>
      <c r="B2108" s="104"/>
      <c r="C2108" s="105"/>
      <c r="K2108" s="1"/>
      <c r="L2108" s="2"/>
    </row>
    <row r="2109" spans="1:12" x14ac:dyDescent="0.2">
      <c r="A2109" s="103"/>
      <c r="B2109" s="104"/>
      <c r="C2109" s="105"/>
      <c r="K2109" s="1"/>
      <c r="L2109" s="2"/>
    </row>
    <row r="2110" spans="1:12" x14ac:dyDescent="0.2">
      <c r="A2110" s="103"/>
      <c r="B2110" s="104"/>
      <c r="C2110" s="105"/>
      <c r="K2110" s="1"/>
      <c r="L2110" s="2"/>
    </row>
    <row r="2111" spans="1:12" x14ac:dyDescent="0.2">
      <c r="A2111" s="103"/>
      <c r="B2111" s="104"/>
      <c r="C2111" s="105"/>
      <c r="K2111" s="1"/>
      <c r="L2111" s="2"/>
    </row>
    <row r="2112" spans="1:12" x14ac:dyDescent="0.2">
      <c r="A2112" s="103"/>
      <c r="B2112" s="104"/>
      <c r="C2112" s="105"/>
      <c r="K2112" s="1"/>
      <c r="L2112" s="2"/>
    </row>
    <row r="2113" spans="1:12" x14ac:dyDescent="0.2">
      <c r="A2113" s="103"/>
      <c r="B2113" s="104"/>
      <c r="C2113" s="105"/>
      <c r="K2113" s="1"/>
      <c r="L2113" s="2"/>
    </row>
    <row r="2114" spans="1:12" x14ac:dyDescent="0.2">
      <c r="A2114" s="103"/>
      <c r="B2114" s="104"/>
      <c r="C2114" s="105"/>
      <c r="K2114" s="1"/>
      <c r="L2114" s="2"/>
    </row>
    <row r="2115" spans="1:12" x14ac:dyDescent="0.2">
      <c r="A2115" s="103"/>
      <c r="B2115" s="104"/>
      <c r="C2115" s="105"/>
      <c r="K2115" s="1"/>
      <c r="L2115" s="2"/>
    </row>
    <row r="2116" spans="1:12" x14ac:dyDescent="0.2">
      <c r="A2116" s="103"/>
      <c r="B2116" s="104"/>
      <c r="C2116" s="105"/>
      <c r="K2116" s="1"/>
      <c r="L2116" s="2"/>
    </row>
    <row r="2117" spans="1:12" x14ac:dyDescent="0.2">
      <c r="A2117" s="103"/>
      <c r="B2117" s="104"/>
      <c r="C2117" s="105"/>
      <c r="K2117" s="1"/>
      <c r="L2117" s="2"/>
    </row>
    <row r="2118" spans="1:12" x14ac:dyDescent="0.2">
      <c r="A2118" s="103"/>
      <c r="B2118" s="104"/>
      <c r="C2118" s="105"/>
      <c r="K2118" s="1"/>
      <c r="L2118" s="2"/>
    </row>
    <row r="2119" spans="1:12" x14ac:dyDescent="0.2">
      <c r="A2119" s="103"/>
      <c r="B2119" s="104"/>
      <c r="C2119" s="105"/>
      <c r="K2119" s="1"/>
      <c r="L2119" s="2"/>
    </row>
    <row r="2120" spans="1:12" x14ac:dyDescent="0.2">
      <c r="A2120" s="103"/>
      <c r="B2120" s="104"/>
      <c r="C2120" s="105"/>
      <c r="K2120" s="1"/>
      <c r="L2120" s="2"/>
    </row>
    <row r="2121" spans="1:12" x14ac:dyDescent="0.2">
      <c r="A2121" s="103"/>
      <c r="B2121" s="104"/>
      <c r="C2121" s="105"/>
      <c r="K2121" s="1"/>
      <c r="L2121" s="2"/>
    </row>
    <row r="2122" spans="1:12" x14ac:dyDescent="0.2">
      <c r="A2122" s="103"/>
      <c r="B2122" s="104"/>
      <c r="C2122" s="105"/>
      <c r="K2122" s="1"/>
      <c r="L2122" s="2"/>
    </row>
    <row r="2123" spans="1:12" x14ac:dyDescent="0.2">
      <c r="A2123" s="103"/>
      <c r="B2123" s="104"/>
      <c r="C2123" s="105"/>
      <c r="K2123" s="1"/>
      <c r="L2123" s="2"/>
    </row>
    <row r="2124" spans="1:12" x14ac:dyDescent="0.2">
      <c r="A2124" s="103"/>
      <c r="B2124" s="104"/>
      <c r="C2124" s="105"/>
      <c r="K2124" s="1"/>
      <c r="L2124" s="2"/>
    </row>
    <row r="2125" spans="1:12" x14ac:dyDescent="0.2">
      <c r="A2125" s="103"/>
      <c r="B2125" s="104"/>
      <c r="C2125" s="105"/>
      <c r="K2125" s="1"/>
      <c r="L2125" s="2"/>
    </row>
    <row r="2126" spans="1:12" x14ac:dyDescent="0.2">
      <c r="A2126" s="103"/>
      <c r="B2126" s="104"/>
      <c r="C2126" s="105"/>
      <c r="K2126" s="1"/>
      <c r="L2126" s="2"/>
    </row>
    <row r="2127" spans="1:12" x14ac:dyDescent="0.2">
      <c r="A2127" s="103"/>
      <c r="B2127" s="104"/>
      <c r="C2127" s="105"/>
      <c r="K2127" s="1"/>
      <c r="L2127" s="2"/>
    </row>
    <row r="2128" spans="1:12" x14ac:dyDescent="0.2">
      <c r="A2128" s="103"/>
      <c r="B2128" s="104"/>
      <c r="C2128" s="105"/>
      <c r="K2128" s="1"/>
      <c r="L2128" s="2"/>
    </row>
    <row r="2129" spans="1:12" x14ac:dyDescent="0.2">
      <c r="A2129" s="103"/>
      <c r="B2129" s="104"/>
      <c r="C2129" s="105"/>
      <c r="K2129" s="1"/>
      <c r="L2129" s="2"/>
    </row>
    <row r="2130" spans="1:12" x14ac:dyDescent="0.2">
      <c r="A2130" s="103"/>
      <c r="B2130" s="104"/>
      <c r="C2130" s="105"/>
      <c r="K2130" s="1"/>
      <c r="L2130" s="2"/>
    </row>
    <row r="2131" spans="1:12" x14ac:dyDescent="0.2">
      <c r="A2131" s="103"/>
      <c r="B2131" s="104"/>
      <c r="C2131" s="105"/>
      <c r="K2131" s="1"/>
      <c r="L2131" s="2"/>
    </row>
    <row r="2132" spans="1:12" x14ac:dyDescent="0.2">
      <c r="A2132" s="103"/>
      <c r="B2132" s="104"/>
      <c r="C2132" s="105"/>
      <c r="K2132" s="1"/>
      <c r="L2132" s="2"/>
    </row>
    <row r="2133" spans="1:12" x14ac:dyDescent="0.2">
      <c r="A2133" s="103"/>
      <c r="B2133" s="104"/>
      <c r="C2133" s="105"/>
      <c r="K2133" s="1"/>
      <c r="L2133" s="2"/>
    </row>
    <row r="2134" spans="1:12" x14ac:dyDescent="0.2">
      <c r="A2134" s="103"/>
      <c r="B2134" s="104"/>
      <c r="C2134" s="105"/>
      <c r="K2134" s="1"/>
      <c r="L2134" s="2"/>
    </row>
    <row r="2135" spans="1:12" x14ac:dyDescent="0.2">
      <c r="A2135" s="103"/>
      <c r="B2135" s="104"/>
      <c r="C2135" s="105"/>
      <c r="K2135" s="1"/>
      <c r="L2135" s="2"/>
    </row>
    <row r="2136" spans="1:12" x14ac:dyDescent="0.2">
      <c r="A2136" s="103"/>
      <c r="B2136" s="104"/>
      <c r="C2136" s="105"/>
      <c r="K2136" s="1"/>
      <c r="L2136" s="2"/>
    </row>
    <row r="2137" spans="1:12" x14ac:dyDescent="0.2">
      <c r="A2137" s="103"/>
      <c r="B2137" s="104"/>
      <c r="C2137" s="105"/>
      <c r="K2137" s="1"/>
      <c r="L2137" s="2"/>
    </row>
    <row r="2138" spans="1:12" x14ac:dyDescent="0.2">
      <c r="A2138" s="103"/>
      <c r="B2138" s="104"/>
      <c r="C2138" s="105"/>
      <c r="K2138" s="1"/>
      <c r="L2138" s="2"/>
    </row>
    <row r="2139" spans="1:12" x14ac:dyDescent="0.2">
      <c r="A2139" s="103"/>
      <c r="B2139" s="104"/>
      <c r="C2139" s="105"/>
      <c r="K2139" s="1"/>
      <c r="L2139" s="2"/>
    </row>
    <row r="2140" spans="1:12" x14ac:dyDescent="0.2">
      <c r="A2140" s="103"/>
      <c r="B2140" s="104"/>
      <c r="C2140" s="105"/>
      <c r="K2140" s="1"/>
      <c r="L2140" s="2"/>
    </row>
    <row r="2141" spans="1:12" x14ac:dyDescent="0.2">
      <c r="A2141" s="103"/>
      <c r="B2141" s="104"/>
      <c r="C2141" s="105"/>
      <c r="K2141" s="1"/>
      <c r="L2141" s="2"/>
    </row>
    <row r="2142" spans="1:12" x14ac:dyDescent="0.2">
      <c r="A2142" s="103"/>
      <c r="B2142" s="104"/>
      <c r="C2142" s="105"/>
      <c r="K2142" s="1"/>
      <c r="L2142" s="2"/>
    </row>
    <row r="2143" spans="1:12" x14ac:dyDescent="0.2">
      <c r="A2143" s="103"/>
      <c r="B2143" s="104"/>
      <c r="C2143" s="105"/>
      <c r="K2143" s="1"/>
      <c r="L2143" s="2"/>
    </row>
    <row r="2144" spans="1:12" x14ac:dyDescent="0.2">
      <c r="A2144" s="103"/>
      <c r="B2144" s="104"/>
      <c r="C2144" s="105"/>
      <c r="K2144" s="1"/>
      <c r="L2144" s="2"/>
    </row>
    <row r="2145" spans="1:12" x14ac:dyDescent="0.2">
      <c r="A2145" s="103"/>
      <c r="B2145" s="104"/>
      <c r="C2145" s="105"/>
      <c r="K2145" s="1"/>
      <c r="L2145" s="2"/>
    </row>
    <row r="2146" spans="1:12" x14ac:dyDescent="0.2">
      <c r="A2146" s="103"/>
      <c r="B2146" s="104"/>
      <c r="C2146" s="105"/>
      <c r="K2146" s="1"/>
      <c r="L2146" s="2"/>
    </row>
    <row r="2147" spans="1:12" x14ac:dyDescent="0.2">
      <c r="A2147" s="103"/>
      <c r="B2147" s="104"/>
      <c r="C2147" s="105"/>
      <c r="K2147" s="1"/>
      <c r="L2147" s="2"/>
    </row>
    <row r="2148" spans="1:12" x14ac:dyDescent="0.2">
      <c r="A2148" s="103"/>
      <c r="B2148" s="104"/>
      <c r="C2148" s="105"/>
      <c r="K2148" s="1"/>
      <c r="L2148" s="2"/>
    </row>
    <row r="2149" spans="1:12" x14ac:dyDescent="0.2">
      <c r="A2149" s="103"/>
      <c r="B2149" s="104"/>
      <c r="C2149" s="105"/>
      <c r="K2149" s="1"/>
      <c r="L2149" s="2"/>
    </row>
    <row r="2150" spans="1:12" x14ac:dyDescent="0.2">
      <c r="A2150" s="103"/>
      <c r="B2150" s="104"/>
      <c r="C2150" s="105"/>
      <c r="K2150" s="1"/>
      <c r="L2150" s="2"/>
    </row>
    <row r="2151" spans="1:12" x14ac:dyDescent="0.2">
      <c r="A2151" s="103"/>
      <c r="B2151" s="104"/>
      <c r="C2151" s="105"/>
      <c r="K2151" s="1"/>
      <c r="L2151" s="2"/>
    </row>
    <row r="2152" spans="1:12" x14ac:dyDescent="0.2">
      <c r="A2152" s="103"/>
      <c r="B2152" s="104"/>
      <c r="C2152" s="105"/>
      <c r="K2152" s="1"/>
      <c r="L2152" s="2"/>
    </row>
    <row r="2153" spans="1:12" x14ac:dyDescent="0.2">
      <c r="A2153" s="103"/>
      <c r="B2153" s="104"/>
      <c r="C2153" s="105"/>
      <c r="K2153" s="1"/>
      <c r="L2153" s="2"/>
    </row>
    <row r="2154" spans="1:12" x14ac:dyDescent="0.2">
      <c r="A2154" s="103"/>
      <c r="B2154" s="104"/>
      <c r="C2154" s="105"/>
      <c r="K2154" s="1"/>
      <c r="L2154" s="2"/>
    </row>
    <row r="2155" spans="1:12" x14ac:dyDescent="0.2">
      <c r="A2155" s="103"/>
      <c r="B2155" s="104"/>
      <c r="C2155" s="105"/>
      <c r="K2155" s="1"/>
      <c r="L2155" s="2"/>
    </row>
    <row r="2156" spans="1:12" x14ac:dyDescent="0.2">
      <c r="A2156" s="103"/>
      <c r="B2156" s="104"/>
      <c r="C2156" s="105"/>
      <c r="K2156" s="1"/>
      <c r="L2156" s="2"/>
    </row>
    <row r="2157" spans="1:12" x14ac:dyDescent="0.2">
      <c r="A2157" s="103"/>
      <c r="B2157" s="104"/>
      <c r="C2157" s="105"/>
      <c r="K2157" s="1"/>
      <c r="L2157" s="2"/>
    </row>
    <row r="2158" spans="1:12" x14ac:dyDescent="0.2">
      <c r="A2158" s="103"/>
      <c r="B2158" s="104"/>
      <c r="C2158" s="105"/>
      <c r="K2158" s="1"/>
      <c r="L2158" s="2"/>
    </row>
    <row r="2159" spans="1:12" x14ac:dyDescent="0.2">
      <c r="A2159" s="103"/>
      <c r="B2159" s="104"/>
      <c r="C2159" s="105"/>
      <c r="K2159" s="1"/>
      <c r="L2159" s="2"/>
    </row>
    <row r="2160" spans="1:12" x14ac:dyDescent="0.2">
      <c r="A2160" s="103"/>
      <c r="B2160" s="104"/>
      <c r="C2160" s="105"/>
      <c r="K2160" s="1"/>
      <c r="L2160" s="2"/>
    </row>
    <row r="2161" spans="1:12" x14ac:dyDescent="0.2">
      <c r="A2161" s="103"/>
      <c r="B2161" s="104"/>
      <c r="C2161" s="105"/>
      <c r="K2161" s="1"/>
      <c r="L2161" s="2"/>
    </row>
    <row r="2162" spans="1:12" x14ac:dyDescent="0.2">
      <c r="A2162" s="103"/>
      <c r="B2162" s="104"/>
      <c r="C2162" s="105"/>
      <c r="K2162" s="1"/>
      <c r="L2162" s="2"/>
    </row>
    <row r="2163" spans="1:12" x14ac:dyDescent="0.2">
      <c r="A2163" s="103"/>
      <c r="B2163" s="104"/>
      <c r="C2163" s="105"/>
      <c r="K2163" s="1"/>
      <c r="L2163" s="2"/>
    </row>
    <row r="2164" spans="1:12" x14ac:dyDescent="0.2">
      <c r="A2164" s="103"/>
      <c r="B2164" s="104"/>
      <c r="C2164" s="105"/>
      <c r="K2164" s="1"/>
      <c r="L2164" s="2"/>
    </row>
    <row r="2165" spans="1:12" x14ac:dyDescent="0.2">
      <c r="A2165" s="103"/>
      <c r="B2165" s="104"/>
      <c r="C2165" s="105"/>
      <c r="K2165" s="1"/>
      <c r="L2165" s="2"/>
    </row>
    <row r="2166" spans="1:12" x14ac:dyDescent="0.2">
      <c r="A2166" s="103"/>
      <c r="B2166" s="104"/>
      <c r="C2166" s="105"/>
      <c r="K2166" s="1"/>
      <c r="L2166" s="2"/>
    </row>
    <row r="2167" spans="1:12" x14ac:dyDescent="0.2">
      <c r="A2167" s="103"/>
      <c r="B2167" s="104"/>
      <c r="C2167" s="105"/>
      <c r="K2167" s="1"/>
      <c r="L2167" s="2"/>
    </row>
    <row r="2168" spans="1:12" x14ac:dyDescent="0.2">
      <c r="A2168" s="103"/>
      <c r="B2168" s="104"/>
      <c r="C2168" s="105"/>
      <c r="K2168" s="1"/>
      <c r="L2168" s="2"/>
    </row>
    <row r="2169" spans="1:12" x14ac:dyDescent="0.2">
      <c r="A2169" s="103"/>
      <c r="B2169" s="104"/>
      <c r="C2169" s="105"/>
      <c r="K2169" s="1"/>
      <c r="L2169" s="2"/>
    </row>
    <row r="2170" spans="1:12" x14ac:dyDescent="0.2">
      <c r="A2170" s="103"/>
      <c r="B2170" s="104"/>
      <c r="C2170" s="105"/>
      <c r="K2170" s="1"/>
      <c r="L2170" s="2"/>
    </row>
    <row r="2171" spans="1:12" x14ac:dyDescent="0.2">
      <c r="A2171" s="103"/>
      <c r="B2171" s="104"/>
      <c r="C2171" s="105"/>
      <c r="K2171" s="1"/>
      <c r="L2171" s="2"/>
    </row>
    <row r="2172" spans="1:12" x14ac:dyDescent="0.2">
      <c r="A2172" s="103"/>
      <c r="B2172" s="104"/>
      <c r="C2172" s="105"/>
      <c r="K2172" s="1"/>
      <c r="L2172" s="2"/>
    </row>
    <row r="2173" spans="1:12" x14ac:dyDescent="0.2">
      <c r="A2173" s="103"/>
      <c r="B2173" s="104"/>
      <c r="C2173" s="105"/>
      <c r="K2173" s="1"/>
      <c r="L2173" s="2"/>
    </row>
    <row r="2174" spans="1:12" x14ac:dyDescent="0.2">
      <c r="A2174" s="103"/>
      <c r="B2174" s="104"/>
      <c r="C2174" s="105"/>
      <c r="K2174" s="1"/>
      <c r="L2174" s="2"/>
    </row>
    <row r="2175" spans="1:12" x14ac:dyDescent="0.2">
      <c r="A2175" s="103"/>
      <c r="B2175" s="104"/>
      <c r="C2175" s="105"/>
      <c r="K2175" s="1"/>
      <c r="L2175" s="2"/>
    </row>
    <row r="2176" spans="1:12" x14ac:dyDescent="0.2">
      <c r="A2176" s="103"/>
      <c r="B2176" s="104"/>
      <c r="C2176" s="105"/>
      <c r="K2176" s="1"/>
      <c r="L2176" s="2"/>
    </row>
    <row r="2177" spans="1:12" x14ac:dyDescent="0.2">
      <c r="A2177" s="103"/>
      <c r="B2177" s="104"/>
      <c r="C2177" s="105"/>
      <c r="K2177" s="1"/>
      <c r="L2177" s="2"/>
    </row>
    <row r="2178" spans="1:12" x14ac:dyDescent="0.2">
      <c r="A2178" s="103"/>
      <c r="B2178" s="104"/>
      <c r="C2178" s="105"/>
      <c r="K2178" s="1"/>
      <c r="L2178" s="2"/>
    </row>
    <row r="2179" spans="1:12" x14ac:dyDescent="0.2">
      <c r="A2179" s="103"/>
      <c r="B2179" s="104"/>
      <c r="C2179" s="105"/>
      <c r="K2179" s="1"/>
      <c r="L2179" s="2"/>
    </row>
    <row r="2180" spans="1:12" x14ac:dyDescent="0.2">
      <c r="A2180" s="103"/>
      <c r="B2180" s="104"/>
      <c r="C2180" s="105"/>
      <c r="K2180" s="1"/>
      <c r="L2180" s="2"/>
    </row>
    <row r="2181" spans="1:12" x14ac:dyDescent="0.2">
      <c r="A2181" s="103"/>
      <c r="B2181" s="104"/>
      <c r="C2181" s="105"/>
      <c r="K2181" s="1"/>
      <c r="L2181" s="2"/>
    </row>
    <row r="2182" spans="1:12" x14ac:dyDescent="0.2">
      <c r="A2182" s="103"/>
      <c r="B2182" s="104"/>
      <c r="C2182" s="105"/>
      <c r="K2182" s="1"/>
      <c r="L2182" s="2"/>
    </row>
    <row r="2183" spans="1:12" x14ac:dyDescent="0.2">
      <c r="A2183" s="103"/>
      <c r="B2183" s="104"/>
      <c r="C2183" s="105"/>
      <c r="K2183" s="1"/>
      <c r="L2183" s="2"/>
    </row>
    <row r="2184" spans="1:12" x14ac:dyDescent="0.2">
      <c r="A2184" s="103"/>
      <c r="B2184" s="104"/>
      <c r="C2184" s="105"/>
      <c r="K2184" s="1"/>
      <c r="L2184" s="2"/>
    </row>
    <row r="2185" spans="1:12" x14ac:dyDescent="0.2">
      <c r="A2185" s="103"/>
      <c r="B2185" s="104"/>
      <c r="C2185" s="105"/>
      <c r="K2185" s="1"/>
      <c r="L2185" s="2"/>
    </row>
    <row r="2186" spans="1:12" x14ac:dyDescent="0.2">
      <c r="A2186" s="103"/>
      <c r="B2186" s="104"/>
      <c r="C2186" s="105"/>
      <c r="K2186" s="1"/>
      <c r="L2186" s="2"/>
    </row>
    <row r="2187" spans="1:12" x14ac:dyDescent="0.2">
      <c r="A2187" s="103"/>
      <c r="B2187" s="104"/>
      <c r="C2187" s="105"/>
      <c r="K2187" s="1"/>
      <c r="L2187" s="2"/>
    </row>
    <row r="2188" spans="1:12" x14ac:dyDescent="0.2">
      <c r="A2188" s="103"/>
      <c r="B2188" s="104"/>
      <c r="C2188" s="105"/>
      <c r="K2188" s="1"/>
      <c r="L2188" s="2"/>
    </row>
    <row r="2189" spans="1:12" x14ac:dyDescent="0.2">
      <c r="A2189" s="103"/>
      <c r="B2189" s="104"/>
      <c r="C2189" s="105"/>
      <c r="K2189" s="1"/>
      <c r="L2189" s="2"/>
    </row>
    <row r="2190" spans="1:12" x14ac:dyDescent="0.2">
      <c r="A2190" s="103"/>
      <c r="B2190" s="104"/>
      <c r="C2190" s="105"/>
      <c r="K2190" s="1"/>
      <c r="L2190" s="2"/>
    </row>
    <row r="2191" spans="1:12" x14ac:dyDescent="0.2">
      <c r="A2191" s="103"/>
      <c r="B2191" s="104"/>
      <c r="C2191" s="105"/>
      <c r="K2191" s="1"/>
      <c r="L2191" s="2"/>
    </row>
    <row r="2192" spans="1:12" x14ac:dyDescent="0.2">
      <c r="A2192" s="103"/>
      <c r="B2192" s="104"/>
      <c r="C2192" s="105"/>
      <c r="K2192" s="1"/>
      <c r="L2192" s="2"/>
    </row>
    <row r="2193" spans="1:12" x14ac:dyDescent="0.2">
      <c r="A2193" s="103"/>
      <c r="B2193" s="104"/>
      <c r="C2193" s="105"/>
      <c r="K2193" s="1"/>
      <c r="L2193" s="2"/>
    </row>
    <row r="2194" spans="1:12" x14ac:dyDescent="0.2">
      <c r="A2194" s="103"/>
      <c r="B2194" s="104"/>
      <c r="C2194" s="105"/>
      <c r="K2194" s="1"/>
      <c r="L2194" s="2"/>
    </row>
    <row r="2195" spans="1:12" x14ac:dyDescent="0.2">
      <c r="A2195" s="103"/>
      <c r="B2195" s="104"/>
      <c r="C2195" s="105"/>
      <c r="K2195" s="1"/>
      <c r="L2195" s="2"/>
    </row>
    <row r="2196" spans="1:12" x14ac:dyDescent="0.2">
      <c r="A2196" s="103"/>
      <c r="B2196" s="104"/>
      <c r="C2196" s="105"/>
      <c r="K2196" s="1"/>
      <c r="L2196" s="2"/>
    </row>
    <row r="2197" spans="1:12" x14ac:dyDescent="0.2">
      <c r="A2197" s="103"/>
      <c r="B2197" s="104"/>
      <c r="C2197" s="105"/>
      <c r="K2197" s="1"/>
      <c r="L2197" s="2"/>
    </row>
    <row r="2198" spans="1:12" x14ac:dyDescent="0.2">
      <c r="A2198" s="103"/>
      <c r="B2198" s="104"/>
      <c r="C2198" s="105"/>
      <c r="K2198" s="1"/>
      <c r="L2198" s="2"/>
    </row>
    <row r="2199" spans="1:12" x14ac:dyDescent="0.2">
      <c r="A2199" s="103"/>
      <c r="B2199" s="104"/>
      <c r="C2199" s="105"/>
      <c r="K2199" s="1"/>
      <c r="L2199" s="2"/>
    </row>
    <row r="2200" spans="1:12" x14ac:dyDescent="0.2">
      <c r="A2200" s="103"/>
      <c r="B2200" s="104"/>
      <c r="C2200" s="105"/>
      <c r="K2200" s="1"/>
      <c r="L2200" s="2"/>
    </row>
    <row r="2201" spans="1:12" x14ac:dyDescent="0.2">
      <c r="A2201" s="103"/>
      <c r="B2201" s="104"/>
      <c r="C2201" s="105"/>
      <c r="K2201" s="1"/>
      <c r="L2201" s="2"/>
    </row>
    <row r="2202" spans="1:12" x14ac:dyDescent="0.2">
      <c r="A2202" s="103"/>
      <c r="B2202" s="104"/>
      <c r="C2202" s="105"/>
      <c r="K2202" s="1"/>
      <c r="L2202" s="2"/>
    </row>
    <row r="2203" spans="1:12" x14ac:dyDescent="0.2">
      <c r="A2203" s="103"/>
      <c r="B2203" s="104"/>
      <c r="C2203" s="105"/>
      <c r="K2203" s="1"/>
      <c r="L2203" s="2"/>
    </row>
    <row r="2204" spans="1:12" x14ac:dyDescent="0.2">
      <c r="A2204" s="103"/>
      <c r="B2204" s="104"/>
      <c r="C2204" s="105"/>
      <c r="K2204" s="1"/>
      <c r="L2204" s="2"/>
    </row>
    <row r="2205" spans="1:12" x14ac:dyDescent="0.2">
      <c r="A2205" s="103"/>
      <c r="B2205" s="104"/>
      <c r="C2205" s="105"/>
      <c r="K2205" s="1"/>
      <c r="L2205" s="2"/>
    </row>
    <row r="2206" spans="1:12" x14ac:dyDescent="0.2">
      <c r="A2206" s="103"/>
      <c r="B2206" s="104"/>
      <c r="C2206" s="105"/>
      <c r="K2206" s="1"/>
      <c r="L2206" s="2"/>
    </row>
    <row r="2207" spans="1:12" x14ac:dyDescent="0.2">
      <c r="A2207" s="103"/>
      <c r="B2207" s="104"/>
      <c r="C2207" s="105"/>
      <c r="K2207" s="1"/>
      <c r="L2207" s="2"/>
    </row>
    <row r="2208" spans="1:12" x14ac:dyDescent="0.2">
      <c r="A2208" s="103"/>
      <c r="B2208" s="104"/>
      <c r="C2208" s="105"/>
      <c r="K2208" s="1"/>
      <c r="L2208" s="2"/>
    </row>
    <row r="2209" spans="1:12" x14ac:dyDescent="0.2">
      <c r="A2209" s="103"/>
      <c r="B2209" s="104"/>
      <c r="C2209" s="105"/>
      <c r="K2209" s="1"/>
      <c r="L2209" s="2"/>
    </row>
    <row r="2210" spans="1:12" x14ac:dyDescent="0.2">
      <c r="A2210" s="103"/>
      <c r="B2210" s="104"/>
      <c r="C2210" s="105"/>
      <c r="K2210" s="1"/>
      <c r="L2210" s="2"/>
    </row>
    <row r="2211" spans="1:12" x14ac:dyDescent="0.2">
      <c r="A2211" s="103"/>
      <c r="B2211" s="104"/>
      <c r="C2211" s="105"/>
      <c r="K2211" s="1"/>
      <c r="L2211" s="2"/>
    </row>
    <row r="2212" spans="1:12" x14ac:dyDescent="0.2">
      <c r="A2212" s="103"/>
      <c r="B2212" s="104"/>
      <c r="C2212" s="105"/>
      <c r="K2212" s="1"/>
      <c r="L2212" s="2"/>
    </row>
    <row r="2213" spans="1:12" x14ac:dyDescent="0.2">
      <c r="A2213" s="103"/>
      <c r="B2213" s="104"/>
      <c r="C2213" s="105"/>
      <c r="K2213" s="1"/>
      <c r="L2213" s="2"/>
    </row>
    <row r="2214" spans="1:12" x14ac:dyDescent="0.2">
      <c r="A2214" s="103"/>
      <c r="B2214" s="104"/>
      <c r="C2214" s="105"/>
      <c r="K2214" s="1"/>
      <c r="L2214" s="2"/>
    </row>
    <row r="2215" spans="1:12" x14ac:dyDescent="0.2">
      <c r="A2215" s="103"/>
      <c r="B2215" s="104"/>
      <c r="C2215" s="105"/>
      <c r="K2215" s="1"/>
      <c r="L2215" s="2"/>
    </row>
    <row r="2216" spans="1:12" x14ac:dyDescent="0.2">
      <c r="A2216" s="103"/>
      <c r="B2216" s="104"/>
      <c r="C2216" s="105"/>
      <c r="K2216" s="1"/>
      <c r="L2216" s="2"/>
    </row>
    <row r="2217" spans="1:12" x14ac:dyDescent="0.2">
      <c r="A2217" s="103"/>
      <c r="B2217" s="104"/>
      <c r="C2217" s="105"/>
      <c r="K2217" s="1"/>
      <c r="L2217" s="2"/>
    </row>
    <row r="2218" spans="1:12" x14ac:dyDescent="0.2">
      <c r="A2218" s="103"/>
      <c r="B2218" s="104"/>
      <c r="C2218" s="105"/>
      <c r="K2218" s="1"/>
      <c r="L2218" s="2"/>
    </row>
    <row r="2219" spans="1:12" x14ac:dyDescent="0.2">
      <c r="A2219" s="103"/>
      <c r="B2219" s="104"/>
      <c r="C2219" s="105"/>
      <c r="K2219" s="1"/>
      <c r="L2219" s="2"/>
    </row>
    <row r="2220" spans="1:12" x14ac:dyDescent="0.2">
      <c r="A2220" s="103"/>
      <c r="B2220" s="104"/>
      <c r="C2220" s="105"/>
      <c r="K2220" s="1"/>
      <c r="L2220" s="2"/>
    </row>
    <row r="2221" spans="1:12" x14ac:dyDescent="0.2">
      <c r="A2221" s="103"/>
      <c r="B2221" s="104"/>
      <c r="C2221" s="105"/>
      <c r="K2221" s="1"/>
      <c r="L2221" s="2"/>
    </row>
    <row r="2222" spans="1:12" x14ac:dyDescent="0.2">
      <c r="A2222" s="103"/>
      <c r="B2222" s="104"/>
      <c r="C2222" s="105"/>
      <c r="K2222" s="1"/>
      <c r="L2222" s="2"/>
    </row>
    <row r="2223" spans="1:12" x14ac:dyDescent="0.2">
      <c r="A2223" s="103"/>
      <c r="B2223" s="104"/>
      <c r="C2223" s="105"/>
      <c r="K2223" s="1"/>
      <c r="L2223" s="2"/>
    </row>
    <row r="2224" spans="1:12" x14ac:dyDescent="0.2">
      <c r="A2224" s="103"/>
      <c r="B2224" s="104"/>
      <c r="C2224" s="105"/>
      <c r="K2224" s="1"/>
      <c r="L2224" s="2"/>
    </row>
    <row r="2225" spans="1:12" x14ac:dyDescent="0.2">
      <c r="A2225" s="103"/>
      <c r="B2225" s="104"/>
      <c r="C2225" s="105"/>
      <c r="K2225" s="1"/>
      <c r="L2225" s="2"/>
    </row>
    <row r="2226" spans="1:12" x14ac:dyDescent="0.2">
      <c r="A2226" s="103"/>
      <c r="B2226" s="104"/>
      <c r="C2226" s="105"/>
      <c r="K2226" s="1"/>
      <c r="L2226" s="2"/>
    </row>
    <row r="2227" spans="1:12" x14ac:dyDescent="0.2">
      <c r="A2227" s="103"/>
      <c r="B2227" s="104"/>
      <c r="C2227" s="105"/>
      <c r="K2227" s="1"/>
      <c r="L2227" s="2"/>
    </row>
    <row r="2228" spans="1:12" x14ac:dyDescent="0.2">
      <c r="A2228" s="103"/>
      <c r="B2228" s="104"/>
      <c r="C2228" s="105"/>
      <c r="K2228" s="1"/>
      <c r="L2228" s="2"/>
    </row>
    <row r="2229" spans="1:12" x14ac:dyDescent="0.2">
      <c r="A2229" s="103"/>
      <c r="B2229" s="104"/>
      <c r="C2229" s="105"/>
      <c r="K2229" s="1"/>
      <c r="L2229" s="2"/>
    </row>
    <row r="2230" spans="1:12" x14ac:dyDescent="0.2">
      <c r="A2230" s="103"/>
      <c r="B2230" s="104"/>
      <c r="C2230" s="105"/>
      <c r="K2230" s="1"/>
      <c r="L2230" s="2"/>
    </row>
    <row r="2231" spans="1:12" x14ac:dyDescent="0.2">
      <c r="A2231" s="103"/>
      <c r="B2231" s="104"/>
      <c r="C2231" s="105"/>
      <c r="K2231" s="1"/>
      <c r="L2231" s="2"/>
    </row>
    <row r="2232" spans="1:12" x14ac:dyDescent="0.2">
      <c r="A2232" s="103"/>
      <c r="B2232" s="104"/>
      <c r="C2232" s="105"/>
      <c r="K2232" s="1"/>
      <c r="L2232" s="2"/>
    </row>
    <row r="2233" spans="1:12" x14ac:dyDescent="0.2">
      <c r="A2233" s="103"/>
      <c r="B2233" s="104"/>
      <c r="C2233" s="105"/>
      <c r="K2233" s="1"/>
      <c r="L2233" s="2"/>
    </row>
    <row r="2234" spans="1:12" x14ac:dyDescent="0.2">
      <c r="A2234" s="103"/>
      <c r="B2234" s="104"/>
      <c r="C2234" s="105"/>
      <c r="K2234" s="1"/>
      <c r="L2234" s="2"/>
    </row>
    <row r="2235" spans="1:12" x14ac:dyDescent="0.2">
      <c r="A2235" s="103"/>
      <c r="B2235" s="104"/>
      <c r="C2235" s="105"/>
      <c r="K2235" s="1"/>
      <c r="L2235" s="2"/>
    </row>
    <row r="2236" spans="1:12" x14ac:dyDescent="0.2">
      <c r="A2236" s="103"/>
      <c r="B2236" s="104"/>
      <c r="C2236" s="105"/>
      <c r="K2236" s="1"/>
      <c r="L2236" s="2"/>
    </row>
    <row r="2237" spans="1:12" x14ac:dyDescent="0.2">
      <c r="A2237" s="103"/>
      <c r="B2237" s="104"/>
      <c r="C2237" s="105"/>
      <c r="K2237" s="1"/>
      <c r="L2237" s="2"/>
    </row>
    <row r="2238" spans="1:12" x14ac:dyDescent="0.2">
      <c r="A2238" s="103"/>
      <c r="B2238" s="104"/>
      <c r="C2238" s="105"/>
      <c r="K2238" s="1"/>
      <c r="L2238" s="2"/>
    </row>
    <row r="2239" spans="1:12" x14ac:dyDescent="0.2">
      <c r="A2239" s="103"/>
      <c r="B2239" s="104"/>
      <c r="C2239" s="105"/>
      <c r="K2239" s="1"/>
      <c r="L2239" s="2"/>
    </row>
    <row r="2240" spans="1:12" x14ac:dyDescent="0.2">
      <c r="A2240" s="103"/>
      <c r="B2240" s="104"/>
      <c r="C2240" s="105"/>
      <c r="K2240" s="1"/>
      <c r="L2240" s="2"/>
    </row>
    <row r="2241" spans="1:12" x14ac:dyDescent="0.2">
      <c r="A2241" s="103"/>
      <c r="B2241" s="104"/>
      <c r="C2241" s="105"/>
      <c r="K2241" s="1"/>
      <c r="L2241" s="2"/>
    </row>
    <row r="2242" spans="1:12" x14ac:dyDescent="0.2">
      <c r="A2242" s="103"/>
      <c r="B2242" s="104"/>
      <c r="C2242" s="105"/>
      <c r="K2242" s="1"/>
      <c r="L2242" s="2"/>
    </row>
    <row r="2243" spans="1:12" x14ac:dyDescent="0.2">
      <c r="A2243" s="103"/>
      <c r="B2243" s="104"/>
      <c r="C2243" s="105"/>
      <c r="K2243" s="1"/>
      <c r="L2243" s="2"/>
    </row>
    <row r="2244" spans="1:12" x14ac:dyDescent="0.2">
      <c r="A2244" s="103"/>
      <c r="B2244" s="104"/>
      <c r="C2244" s="105"/>
      <c r="K2244" s="1"/>
      <c r="L2244" s="2"/>
    </row>
    <row r="2245" spans="1:12" x14ac:dyDescent="0.2">
      <c r="A2245" s="103"/>
      <c r="B2245" s="104"/>
      <c r="C2245" s="105"/>
      <c r="K2245" s="1"/>
      <c r="L2245" s="2"/>
    </row>
    <row r="2246" spans="1:12" x14ac:dyDescent="0.2">
      <c r="A2246" s="103"/>
      <c r="B2246" s="104"/>
      <c r="C2246" s="105"/>
      <c r="K2246" s="1"/>
      <c r="L2246" s="2"/>
    </row>
    <row r="2247" spans="1:12" x14ac:dyDescent="0.2">
      <c r="A2247" s="103"/>
      <c r="B2247" s="104"/>
      <c r="C2247" s="105"/>
      <c r="K2247" s="1"/>
      <c r="L2247" s="2"/>
    </row>
    <row r="2248" spans="1:12" x14ac:dyDescent="0.2">
      <c r="A2248" s="103"/>
      <c r="B2248" s="104"/>
      <c r="C2248" s="105"/>
      <c r="K2248" s="1"/>
      <c r="L2248" s="2"/>
    </row>
    <row r="2249" spans="1:12" x14ac:dyDescent="0.2">
      <c r="A2249" s="103"/>
      <c r="B2249" s="104"/>
      <c r="C2249" s="105"/>
      <c r="K2249" s="1"/>
      <c r="L2249" s="2"/>
    </row>
    <row r="2250" spans="1:12" x14ac:dyDescent="0.2">
      <c r="A2250" s="103"/>
      <c r="B2250" s="104"/>
      <c r="C2250" s="105"/>
      <c r="K2250" s="1"/>
      <c r="L2250" s="2"/>
    </row>
    <row r="2251" spans="1:12" x14ac:dyDescent="0.2">
      <c r="A2251" s="103"/>
      <c r="B2251" s="104"/>
      <c r="C2251" s="105"/>
      <c r="K2251" s="1"/>
      <c r="L2251" s="2"/>
    </row>
    <row r="2252" spans="1:12" x14ac:dyDescent="0.2">
      <c r="A2252" s="103"/>
      <c r="B2252" s="104"/>
      <c r="C2252" s="105"/>
      <c r="K2252" s="1"/>
      <c r="L2252" s="2"/>
    </row>
    <row r="2253" spans="1:12" x14ac:dyDescent="0.2">
      <c r="A2253" s="103"/>
      <c r="B2253" s="104"/>
      <c r="C2253" s="105"/>
      <c r="K2253" s="1"/>
      <c r="L2253" s="2"/>
    </row>
    <row r="2254" spans="1:12" x14ac:dyDescent="0.2">
      <c r="A2254" s="103"/>
      <c r="B2254" s="104"/>
      <c r="C2254" s="105"/>
      <c r="K2254" s="1"/>
      <c r="L2254" s="2"/>
    </row>
    <row r="2255" spans="1:12" x14ac:dyDescent="0.2">
      <c r="A2255" s="103"/>
      <c r="B2255" s="104"/>
      <c r="C2255" s="105"/>
      <c r="K2255" s="1"/>
      <c r="L2255" s="2"/>
    </row>
    <row r="2256" spans="1:12" x14ac:dyDescent="0.2">
      <c r="A2256" s="103"/>
      <c r="B2256" s="104"/>
      <c r="C2256" s="105"/>
      <c r="K2256" s="1"/>
      <c r="L2256" s="2"/>
    </row>
    <row r="2257" spans="1:12" x14ac:dyDescent="0.2">
      <c r="A2257" s="103"/>
      <c r="B2257" s="104"/>
      <c r="C2257" s="105"/>
      <c r="K2257" s="1"/>
      <c r="L2257" s="2"/>
    </row>
    <row r="2258" spans="1:12" x14ac:dyDescent="0.2">
      <c r="A2258" s="103"/>
      <c r="B2258" s="104"/>
      <c r="C2258" s="105"/>
      <c r="K2258" s="1"/>
      <c r="L2258" s="2"/>
    </row>
    <row r="2259" spans="1:12" x14ac:dyDescent="0.2">
      <c r="A2259" s="103"/>
      <c r="B2259" s="104"/>
      <c r="C2259" s="105"/>
      <c r="K2259" s="1"/>
      <c r="L2259" s="2"/>
    </row>
    <row r="2260" spans="1:12" x14ac:dyDescent="0.2">
      <c r="A2260" s="103"/>
      <c r="B2260" s="104"/>
      <c r="C2260" s="105"/>
      <c r="K2260" s="1"/>
      <c r="L2260" s="2"/>
    </row>
    <row r="2261" spans="1:12" x14ac:dyDescent="0.2">
      <c r="A2261" s="103"/>
      <c r="B2261" s="104"/>
      <c r="C2261" s="105"/>
      <c r="K2261" s="1"/>
      <c r="L2261" s="2"/>
    </row>
    <row r="2262" spans="1:12" x14ac:dyDescent="0.2">
      <c r="A2262" s="103"/>
      <c r="B2262" s="104"/>
      <c r="C2262" s="105"/>
      <c r="K2262" s="1"/>
      <c r="L2262" s="2"/>
    </row>
    <row r="2263" spans="1:12" x14ac:dyDescent="0.2">
      <c r="A2263" s="103"/>
      <c r="B2263" s="104"/>
      <c r="C2263" s="105"/>
      <c r="K2263" s="1"/>
      <c r="L2263" s="2"/>
    </row>
    <row r="2264" spans="1:12" x14ac:dyDescent="0.2">
      <c r="A2264" s="103"/>
      <c r="B2264" s="104"/>
      <c r="C2264" s="105"/>
      <c r="K2264" s="1"/>
      <c r="L2264" s="2"/>
    </row>
    <row r="2265" spans="1:12" x14ac:dyDescent="0.2">
      <c r="A2265" s="103"/>
      <c r="B2265" s="104"/>
      <c r="C2265" s="105"/>
      <c r="K2265" s="1"/>
      <c r="L2265" s="2"/>
    </row>
    <row r="2266" spans="1:12" x14ac:dyDescent="0.2">
      <c r="A2266" s="103"/>
      <c r="B2266" s="104"/>
      <c r="C2266" s="105"/>
      <c r="K2266" s="1"/>
      <c r="L2266" s="2"/>
    </row>
    <row r="2267" spans="1:12" x14ac:dyDescent="0.2">
      <c r="A2267" s="103"/>
      <c r="B2267" s="104"/>
      <c r="C2267" s="105"/>
      <c r="K2267" s="1"/>
      <c r="L2267" s="2"/>
    </row>
    <row r="2268" spans="1:12" x14ac:dyDescent="0.2">
      <c r="A2268" s="103"/>
      <c r="B2268" s="104"/>
      <c r="C2268" s="105"/>
      <c r="K2268" s="1"/>
      <c r="L2268" s="2"/>
    </row>
    <row r="2269" spans="1:12" x14ac:dyDescent="0.2">
      <c r="A2269" s="103"/>
      <c r="B2269" s="104"/>
      <c r="C2269" s="105"/>
      <c r="K2269" s="1"/>
      <c r="L2269" s="2"/>
    </row>
    <row r="2270" spans="1:12" x14ac:dyDescent="0.2">
      <c r="A2270" s="103"/>
      <c r="B2270" s="104"/>
      <c r="C2270" s="105"/>
      <c r="K2270" s="1"/>
      <c r="L2270" s="2"/>
    </row>
    <row r="2271" spans="1:12" x14ac:dyDescent="0.2">
      <c r="A2271" s="103"/>
      <c r="B2271" s="104"/>
      <c r="C2271" s="105"/>
      <c r="K2271" s="1"/>
      <c r="L2271" s="2"/>
    </row>
    <row r="2272" spans="1:12" x14ac:dyDescent="0.2">
      <c r="A2272" s="103"/>
      <c r="B2272" s="104"/>
      <c r="C2272" s="105"/>
      <c r="K2272" s="1"/>
      <c r="L2272" s="2"/>
    </row>
    <row r="2273" spans="1:12" x14ac:dyDescent="0.2">
      <c r="A2273" s="103"/>
      <c r="B2273" s="104"/>
      <c r="C2273" s="105"/>
      <c r="K2273" s="1"/>
      <c r="L2273" s="2"/>
    </row>
    <row r="2274" spans="1:12" x14ac:dyDescent="0.2">
      <c r="A2274" s="103"/>
      <c r="B2274" s="104"/>
      <c r="C2274" s="105"/>
      <c r="K2274" s="1"/>
      <c r="L2274" s="2"/>
    </row>
    <row r="2275" spans="1:12" x14ac:dyDescent="0.2">
      <c r="A2275" s="103"/>
      <c r="B2275" s="104"/>
      <c r="C2275" s="105"/>
      <c r="K2275" s="1"/>
      <c r="L2275" s="2"/>
    </row>
    <row r="2276" spans="1:12" x14ac:dyDescent="0.2">
      <c r="A2276" s="103"/>
      <c r="B2276" s="104"/>
      <c r="C2276" s="105"/>
      <c r="K2276" s="1"/>
      <c r="L2276" s="2"/>
    </row>
    <row r="2277" spans="1:12" x14ac:dyDescent="0.2">
      <c r="A2277" s="103"/>
      <c r="B2277" s="104"/>
      <c r="C2277" s="105"/>
      <c r="K2277" s="1"/>
      <c r="L2277" s="2"/>
    </row>
    <row r="2278" spans="1:12" x14ac:dyDescent="0.2">
      <c r="A2278" s="103"/>
      <c r="B2278" s="104"/>
      <c r="C2278" s="105"/>
      <c r="K2278" s="1"/>
      <c r="L2278" s="2"/>
    </row>
    <row r="2279" spans="1:12" x14ac:dyDescent="0.2">
      <c r="A2279" s="103"/>
      <c r="B2279" s="104"/>
      <c r="C2279" s="105"/>
      <c r="K2279" s="1"/>
      <c r="L2279" s="2"/>
    </row>
    <row r="2280" spans="1:12" x14ac:dyDescent="0.2">
      <c r="A2280" s="103"/>
      <c r="B2280" s="104"/>
      <c r="C2280" s="105"/>
      <c r="K2280" s="1"/>
      <c r="L2280" s="2"/>
    </row>
    <row r="2281" spans="1:12" x14ac:dyDescent="0.2">
      <c r="A2281" s="103"/>
      <c r="B2281" s="104"/>
      <c r="C2281" s="105"/>
      <c r="K2281" s="1"/>
      <c r="L2281" s="2"/>
    </row>
    <row r="2282" spans="1:12" x14ac:dyDescent="0.2">
      <c r="A2282" s="103"/>
      <c r="B2282" s="104"/>
      <c r="C2282" s="105"/>
      <c r="K2282" s="1"/>
      <c r="L2282" s="2"/>
    </row>
    <row r="2283" spans="1:12" x14ac:dyDescent="0.2">
      <c r="A2283" s="103"/>
      <c r="B2283" s="104"/>
      <c r="C2283" s="105"/>
      <c r="K2283" s="1"/>
      <c r="L2283" s="2"/>
    </row>
    <row r="2284" spans="1:12" x14ac:dyDescent="0.2">
      <c r="A2284" s="103"/>
      <c r="B2284" s="104"/>
      <c r="C2284" s="105"/>
      <c r="K2284" s="1"/>
      <c r="L2284" s="2"/>
    </row>
    <row r="2285" spans="1:12" x14ac:dyDescent="0.2">
      <c r="A2285" s="103"/>
      <c r="B2285" s="104"/>
      <c r="C2285" s="105"/>
      <c r="K2285" s="1"/>
      <c r="L2285" s="2"/>
    </row>
    <row r="2286" spans="1:12" x14ac:dyDescent="0.2">
      <c r="A2286" s="103"/>
      <c r="B2286" s="104"/>
      <c r="C2286" s="105"/>
      <c r="K2286" s="1"/>
      <c r="L2286" s="2"/>
    </row>
    <row r="2287" spans="1:12" x14ac:dyDescent="0.2">
      <c r="A2287" s="103"/>
      <c r="B2287" s="104"/>
      <c r="C2287" s="105"/>
      <c r="K2287" s="1"/>
      <c r="L2287" s="2"/>
    </row>
    <row r="2288" spans="1:12" x14ac:dyDescent="0.2">
      <c r="A2288" s="103"/>
      <c r="B2288" s="104"/>
      <c r="C2288" s="105"/>
      <c r="K2288" s="1"/>
      <c r="L2288" s="2"/>
    </row>
    <row r="2289" spans="1:12" x14ac:dyDescent="0.2">
      <c r="A2289" s="103"/>
      <c r="B2289" s="104"/>
      <c r="C2289" s="105"/>
      <c r="K2289" s="1"/>
      <c r="L2289" s="2"/>
    </row>
    <row r="2290" spans="1:12" x14ac:dyDescent="0.2">
      <c r="A2290" s="103"/>
      <c r="B2290" s="104"/>
      <c r="C2290" s="105"/>
      <c r="K2290" s="1"/>
      <c r="L2290" s="2"/>
    </row>
    <row r="2291" spans="1:12" x14ac:dyDescent="0.2">
      <c r="A2291" s="103"/>
      <c r="B2291" s="104"/>
      <c r="C2291" s="105"/>
      <c r="K2291" s="1"/>
      <c r="L2291" s="2"/>
    </row>
    <row r="2292" spans="1:12" x14ac:dyDescent="0.2">
      <c r="A2292" s="103"/>
      <c r="B2292" s="104"/>
      <c r="C2292" s="105"/>
      <c r="K2292" s="1"/>
      <c r="L2292" s="2"/>
    </row>
    <row r="2293" spans="1:12" x14ac:dyDescent="0.2">
      <c r="A2293" s="103"/>
      <c r="B2293" s="104"/>
      <c r="C2293" s="105"/>
      <c r="K2293" s="1"/>
      <c r="L2293" s="2"/>
    </row>
    <row r="2294" spans="1:12" x14ac:dyDescent="0.2">
      <c r="A2294" s="103"/>
      <c r="B2294" s="104"/>
      <c r="C2294" s="105"/>
      <c r="K2294" s="1"/>
      <c r="L2294" s="2"/>
    </row>
    <row r="2295" spans="1:12" x14ac:dyDescent="0.2">
      <c r="A2295" s="103"/>
      <c r="B2295" s="104"/>
      <c r="C2295" s="105"/>
      <c r="K2295" s="1"/>
      <c r="L2295" s="2"/>
    </row>
    <row r="2296" spans="1:12" x14ac:dyDescent="0.2">
      <c r="A2296" s="103"/>
      <c r="B2296" s="104"/>
      <c r="C2296" s="105"/>
      <c r="K2296" s="1"/>
      <c r="L2296" s="2"/>
    </row>
    <row r="2297" spans="1:12" x14ac:dyDescent="0.2">
      <c r="A2297" s="103"/>
      <c r="B2297" s="104"/>
      <c r="C2297" s="105"/>
      <c r="K2297" s="1"/>
      <c r="L2297" s="2"/>
    </row>
    <row r="2298" spans="1:12" x14ac:dyDescent="0.2">
      <c r="A2298" s="103"/>
      <c r="B2298" s="104"/>
      <c r="C2298" s="105"/>
      <c r="K2298" s="1"/>
      <c r="L2298" s="2"/>
    </row>
    <row r="2299" spans="1:12" x14ac:dyDescent="0.2">
      <c r="A2299" s="103"/>
      <c r="B2299" s="104"/>
      <c r="C2299" s="105"/>
      <c r="K2299" s="1"/>
      <c r="L2299" s="2"/>
    </row>
    <row r="2300" spans="1:12" x14ac:dyDescent="0.2">
      <c r="A2300" s="103"/>
      <c r="B2300" s="104"/>
      <c r="C2300" s="105"/>
      <c r="K2300" s="1"/>
      <c r="L2300" s="2"/>
    </row>
    <row r="2301" spans="1:12" x14ac:dyDescent="0.2">
      <c r="A2301" s="103"/>
      <c r="B2301" s="104"/>
      <c r="C2301" s="105"/>
      <c r="K2301" s="1"/>
      <c r="L2301" s="2"/>
    </row>
    <row r="2302" spans="1:12" x14ac:dyDescent="0.2">
      <c r="A2302" s="103"/>
      <c r="B2302" s="104"/>
      <c r="C2302" s="105"/>
      <c r="K2302" s="1"/>
      <c r="L2302" s="2"/>
    </row>
    <row r="2303" spans="1:12" x14ac:dyDescent="0.2">
      <c r="A2303" s="103"/>
      <c r="B2303" s="104"/>
      <c r="C2303" s="105"/>
      <c r="K2303" s="1"/>
      <c r="L2303" s="2"/>
    </row>
    <row r="2304" spans="1:12" x14ac:dyDescent="0.2">
      <c r="A2304" s="103"/>
      <c r="B2304" s="104"/>
      <c r="C2304" s="105"/>
      <c r="K2304" s="1"/>
      <c r="L2304" s="2"/>
    </row>
    <row r="2305" spans="1:12" x14ac:dyDescent="0.2">
      <c r="A2305" s="103"/>
      <c r="B2305" s="104"/>
      <c r="C2305" s="105"/>
      <c r="K2305" s="1"/>
      <c r="L2305" s="2"/>
    </row>
    <row r="2306" spans="1:12" x14ac:dyDescent="0.2">
      <c r="A2306" s="103"/>
      <c r="B2306" s="104"/>
      <c r="C2306" s="105"/>
      <c r="K2306" s="1"/>
      <c r="L2306" s="2"/>
    </row>
    <row r="2307" spans="1:12" x14ac:dyDescent="0.2">
      <c r="A2307" s="103"/>
      <c r="B2307" s="104"/>
      <c r="C2307" s="105"/>
      <c r="K2307" s="1"/>
      <c r="L2307" s="2"/>
    </row>
    <row r="2308" spans="1:12" x14ac:dyDescent="0.2">
      <c r="A2308" s="103"/>
      <c r="B2308" s="104"/>
      <c r="C2308" s="105"/>
      <c r="K2308" s="1"/>
      <c r="L2308" s="2"/>
    </row>
    <row r="2309" spans="1:12" x14ac:dyDescent="0.2">
      <c r="A2309" s="103"/>
      <c r="B2309" s="104"/>
      <c r="C2309" s="105"/>
      <c r="K2309" s="1"/>
      <c r="L2309" s="2"/>
    </row>
    <row r="2310" spans="1:12" x14ac:dyDescent="0.2">
      <c r="A2310" s="103"/>
      <c r="B2310" s="104"/>
      <c r="C2310" s="105"/>
      <c r="K2310" s="1"/>
      <c r="L2310" s="2"/>
    </row>
    <row r="2311" spans="1:12" x14ac:dyDescent="0.2">
      <c r="A2311" s="103"/>
      <c r="B2311" s="104"/>
      <c r="C2311" s="105"/>
      <c r="K2311" s="1"/>
      <c r="L2311" s="2"/>
    </row>
    <row r="2312" spans="1:12" x14ac:dyDescent="0.2">
      <c r="A2312" s="103"/>
      <c r="B2312" s="104"/>
      <c r="C2312" s="105"/>
      <c r="K2312" s="1"/>
      <c r="L2312" s="2"/>
    </row>
    <row r="2313" spans="1:12" x14ac:dyDescent="0.2">
      <c r="A2313" s="103"/>
      <c r="B2313" s="104"/>
      <c r="C2313" s="105"/>
      <c r="K2313" s="1"/>
      <c r="L2313" s="2"/>
    </row>
    <row r="2314" spans="1:12" x14ac:dyDescent="0.2">
      <c r="A2314" s="103"/>
      <c r="B2314" s="104"/>
      <c r="C2314" s="105"/>
      <c r="K2314" s="1"/>
      <c r="L2314" s="2"/>
    </row>
    <row r="2315" spans="1:12" x14ac:dyDescent="0.2">
      <c r="A2315" s="103"/>
      <c r="B2315" s="104"/>
      <c r="C2315" s="105"/>
      <c r="K2315" s="1"/>
      <c r="L2315" s="2"/>
    </row>
    <row r="2316" spans="1:12" x14ac:dyDescent="0.2">
      <c r="A2316" s="103"/>
      <c r="B2316" s="104"/>
      <c r="C2316" s="105"/>
      <c r="K2316" s="1"/>
      <c r="L2316" s="2"/>
    </row>
    <row r="2317" spans="1:12" x14ac:dyDescent="0.2">
      <c r="A2317" s="103"/>
      <c r="B2317" s="104"/>
      <c r="C2317" s="105"/>
      <c r="K2317" s="1"/>
      <c r="L2317" s="2"/>
    </row>
    <row r="2318" spans="1:12" x14ac:dyDescent="0.2">
      <c r="A2318" s="103"/>
      <c r="B2318" s="104"/>
      <c r="C2318" s="105"/>
      <c r="K2318" s="1"/>
      <c r="L2318" s="2"/>
    </row>
    <row r="2319" spans="1:12" x14ac:dyDescent="0.2">
      <c r="A2319" s="103"/>
      <c r="B2319" s="104"/>
      <c r="C2319" s="105"/>
      <c r="K2319" s="1"/>
      <c r="L2319" s="2"/>
    </row>
    <row r="2320" spans="1:12" x14ac:dyDescent="0.2">
      <c r="A2320" s="103"/>
      <c r="B2320" s="104"/>
      <c r="C2320" s="105"/>
      <c r="K2320" s="1"/>
      <c r="L2320" s="2"/>
    </row>
    <row r="2321" spans="1:12" x14ac:dyDescent="0.2">
      <c r="A2321" s="103"/>
      <c r="B2321" s="104"/>
      <c r="C2321" s="105"/>
      <c r="K2321" s="1"/>
      <c r="L2321" s="2"/>
    </row>
    <row r="2322" spans="1:12" x14ac:dyDescent="0.2">
      <c r="A2322" s="103"/>
      <c r="B2322" s="104"/>
      <c r="C2322" s="105"/>
      <c r="K2322" s="1"/>
      <c r="L2322" s="2"/>
    </row>
    <row r="2323" spans="1:12" x14ac:dyDescent="0.2">
      <c r="A2323" s="103"/>
      <c r="B2323" s="104"/>
      <c r="C2323" s="105"/>
      <c r="K2323" s="1"/>
      <c r="L2323" s="2"/>
    </row>
    <row r="2324" spans="1:12" x14ac:dyDescent="0.2">
      <c r="A2324" s="103"/>
      <c r="B2324" s="104"/>
      <c r="C2324" s="105"/>
      <c r="K2324" s="1"/>
      <c r="L2324" s="2"/>
    </row>
    <row r="2325" spans="1:12" x14ac:dyDescent="0.2">
      <c r="A2325" s="103"/>
      <c r="B2325" s="104"/>
      <c r="C2325" s="105"/>
      <c r="K2325" s="1"/>
      <c r="L2325" s="2"/>
    </row>
    <row r="2326" spans="1:12" x14ac:dyDescent="0.2">
      <c r="A2326" s="103"/>
      <c r="B2326" s="104"/>
      <c r="C2326" s="105"/>
      <c r="K2326" s="1"/>
      <c r="L2326" s="2"/>
    </row>
    <row r="2327" spans="1:12" x14ac:dyDescent="0.2">
      <c r="A2327" s="103"/>
      <c r="B2327" s="104"/>
      <c r="C2327" s="105"/>
      <c r="K2327" s="1"/>
      <c r="L2327" s="2"/>
    </row>
    <row r="2328" spans="1:12" x14ac:dyDescent="0.2">
      <c r="A2328" s="103"/>
      <c r="B2328" s="104"/>
      <c r="C2328" s="105"/>
      <c r="K2328" s="1"/>
      <c r="L2328" s="2"/>
    </row>
    <row r="2329" spans="1:12" x14ac:dyDescent="0.2">
      <c r="A2329" s="103"/>
      <c r="B2329" s="104"/>
      <c r="C2329" s="105"/>
      <c r="K2329" s="1"/>
      <c r="L2329" s="2"/>
    </row>
    <row r="2330" spans="1:12" x14ac:dyDescent="0.2">
      <c r="A2330" s="103"/>
      <c r="B2330" s="104"/>
      <c r="C2330" s="105"/>
      <c r="K2330" s="1"/>
      <c r="L2330" s="2"/>
    </row>
    <row r="2331" spans="1:12" x14ac:dyDescent="0.2">
      <c r="A2331" s="103"/>
      <c r="B2331" s="104"/>
      <c r="C2331" s="105"/>
      <c r="K2331" s="1"/>
      <c r="L2331" s="2"/>
    </row>
    <row r="2332" spans="1:12" x14ac:dyDescent="0.2">
      <c r="A2332" s="103"/>
      <c r="B2332" s="104"/>
      <c r="C2332" s="105"/>
      <c r="K2332" s="1"/>
      <c r="L2332" s="2"/>
    </row>
    <row r="2333" spans="1:12" x14ac:dyDescent="0.2">
      <c r="A2333" s="103"/>
      <c r="B2333" s="104"/>
      <c r="C2333" s="105"/>
      <c r="K2333" s="1"/>
      <c r="L2333" s="2"/>
    </row>
    <row r="2334" spans="1:12" x14ac:dyDescent="0.2">
      <c r="A2334" s="103"/>
      <c r="B2334" s="104"/>
      <c r="C2334" s="105"/>
      <c r="K2334" s="1"/>
      <c r="L2334" s="2"/>
    </row>
    <row r="2335" spans="1:12" x14ac:dyDescent="0.2">
      <c r="A2335" s="103"/>
      <c r="B2335" s="104"/>
      <c r="C2335" s="105"/>
      <c r="K2335" s="1"/>
      <c r="L2335" s="2"/>
    </row>
    <row r="2336" spans="1:12" x14ac:dyDescent="0.2">
      <c r="A2336" s="103"/>
      <c r="B2336" s="104"/>
      <c r="C2336" s="105"/>
      <c r="K2336" s="1"/>
      <c r="L2336" s="2"/>
    </row>
    <row r="2337" spans="1:12" x14ac:dyDescent="0.2">
      <c r="A2337" s="103"/>
      <c r="B2337" s="104"/>
      <c r="C2337" s="105"/>
      <c r="K2337" s="1"/>
      <c r="L2337" s="2"/>
    </row>
    <row r="2338" spans="1:12" x14ac:dyDescent="0.2">
      <c r="A2338" s="103"/>
      <c r="B2338" s="104"/>
      <c r="C2338" s="105"/>
      <c r="K2338" s="1"/>
      <c r="L2338" s="2"/>
    </row>
    <row r="2339" spans="1:12" x14ac:dyDescent="0.2">
      <c r="A2339" s="103"/>
      <c r="B2339" s="104"/>
      <c r="C2339" s="105"/>
      <c r="K2339" s="1"/>
      <c r="L2339" s="2"/>
    </row>
    <row r="2340" spans="1:12" x14ac:dyDescent="0.2">
      <c r="A2340" s="103"/>
      <c r="B2340" s="104"/>
      <c r="C2340" s="105"/>
      <c r="K2340" s="1"/>
      <c r="L2340" s="2"/>
    </row>
    <row r="2341" spans="1:12" x14ac:dyDescent="0.2">
      <c r="A2341" s="103"/>
      <c r="B2341" s="104"/>
      <c r="C2341" s="105"/>
      <c r="K2341" s="1"/>
      <c r="L2341" s="2"/>
    </row>
    <row r="2342" spans="1:12" x14ac:dyDescent="0.2">
      <c r="A2342" s="103"/>
      <c r="B2342" s="104"/>
      <c r="C2342" s="105"/>
      <c r="K2342" s="1"/>
      <c r="L2342" s="2"/>
    </row>
    <row r="2343" spans="1:12" x14ac:dyDescent="0.2">
      <c r="A2343" s="103"/>
      <c r="B2343" s="104"/>
      <c r="C2343" s="105"/>
      <c r="K2343" s="1"/>
      <c r="L2343" s="2"/>
    </row>
    <row r="2344" spans="1:12" x14ac:dyDescent="0.2">
      <c r="A2344" s="103"/>
      <c r="B2344" s="104"/>
      <c r="C2344" s="105"/>
      <c r="K2344" s="1"/>
      <c r="L2344" s="2"/>
    </row>
    <row r="2345" spans="1:12" x14ac:dyDescent="0.2">
      <c r="A2345" s="103"/>
      <c r="B2345" s="104"/>
      <c r="C2345" s="105"/>
      <c r="K2345" s="1"/>
      <c r="L2345" s="2"/>
    </row>
    <row r="2346" spans="1:12" x14ac:dyDescent="0.2">
      <c r="A2346" s="103"/>
      <c r="B2346" s="104"/>
      <c r="C2346" s="105"/>
      <c r="K2346" s="1"/>
      <c r="L2346" s="2"/>
    </row>
    <row r="2347" spans="1:12" x14ac:dyDescent="0.2">
      <c r="A2347" s="103"/>
      <c r="B2347" s="104"/>
      <c r="C2347" s="105"/>
      <c r="K2347" s="1"/>
      <c r="L2347" s="2"/>
    </row>
    <row r="2348" spans="1:12" x14ac:dyDescent="0.2">
      <c r="A2348" s="103"/>
      <c r="B2348" s="104"/>
      <c r="C2348" s="105"/>
      <c r="K2348" s="1"/>
      <c r="L2348" s="2"/>
    </row>
    <row r="2349" spans="1:12" x14ac:dyDescent="0.2">
      <c r="A2349" s="103"/>
      <c r="B2349" s="104"/>
      <c r="C2349" s="105"/>
      <c r="K2349" s="1"/>
      <c r="L2349" s="2"/>
    </row>
    <row r="2350" spans="1:12" x14ac:dyDescent="0.2">
      <c r="A2350" s="103"/>
      <c r="B2350" s="104"/>
      <c r="C2350" s="105"/>
      <c r="K2350" s="1"/>
      <c r="L2350" s="2"/>
    </row>
    <row r="2351" spans="1:12" x14ac:dyDescent="0.2">
      <c r="A2351" s="103"/>
      <c r="B2351" s="104"/>
      <c r="C2351" s="105"/>
      <c r="K2351" s="1"/>
      <c r="L2351" s="2"/>
    </row>
    <row r="2352" spans="1:12" x14ac:dyDescent="0.2">
      <c r="A2352" s="103"/>
      <c r="B2352" s="104"/>
      <c r="C2352" s="105"/>
      <c r="K2352" s="1"/>
      <c r="L2352" s="2"/>
    </row>
    <row r="2353" spans="1:12" x14ac:dyDescent="0.2">
      <c r="A2353" s="103"/>
      <c r="B2353" s="104"/>
      <c r="C2353" s="105"/>
      <c r="K2353" s="1"/>
      <c r="L2353" s="2"/>
    </row>
    <row r="2354" spans="1:12" x14ac:dyDescent="0.2">
      <c r="A2354" s="103"/>
      <c r="B2354" s="104"/>
      <c r="C2354" s="105"/>
      <c r="K2354" s="1"/>
      <c r="L2354" s="2"/>
    </row>
    <row r="2355" spans="1:12" x14ac:dyDescent="0.2">
      <c r="A2355" s="103"/>
      <c r="B2355" s="104"/>
      <c r="C2355" s="105"/>
      <c r="K2355" s="1"/>
      <c r="L2355" s="2"/>
    </row>
    <row r="2356" spans="1:12" x14ac:dyDescent="0.2">
      <c r="A2356" s="103"/>
      <c r="B2356" s="104"/>
      <c r="C2356" s="105"/>
      <c r="K2356" s="1"/>
      <c r="L2356" s="2"/>
    </row>
    <row r="2357" spans="1:12" x14ac:dyDescent="0.2">
      <c r="A2357" s="103"/>
      <c r="B2357" s="104"/>
      <c r="C2357" s="105"/>
      <c r="K2357" s="1"/>
      <c r="L2357" s="2"/>
    </row>
    <row r="2358" spans="1:12" x14ac:dyDescent="0.2">
      <c r="A2358" s="103"/>
      <c r="B2358" s="104"/>
      <c r="C2358" s="105"/>
      <c r="K2358" s="1"/>
      <c r="L2358" s="2"/>
    </row>
    <row r="2359" spans="1:12" x14ac:dyDescent="0.2">
      <c r="A2359" s="103"/>
      <c r="B2359" s="104"/>
      <c r="C2359" s="105"/>
      <c r="K2359" s="1"/>
      <c r="L2359" s="2"/>
    </row>
    <row r="2360" spans="1:12" x14ac:dyDescent="0.2">
      <c r="A2360" s="103"/>
      <c r="B2360" s="104"/>
      <c r="C2360" s="105"/>
      <c r="K2360" s="1"/>
      <c r="L2360" s="2"/>
    </row>
    <row r="2361" spans="1:12" x14ac:dyDescent="0.2">
      <c r="A2361" s="103"/>
      <c r="B2361" s="104"/>
      <c r="C2361" s="105"/>
      <c r="K2361" s="1"/>
      <c r="L2361" s="2"/>
    </row>
    <row r="2362" spans="1:12" x14ac:dyDescent="0.2">
      <c r="A2362" s="103"/>
      <c r="B2362" s="104"/>
      <c r="C2362" s="105"/>
      <c r="K2362" s="1"/>
      <c r="L2362" s="2"/>
    </row>
    <row r="2363" spans="1:12" x14ac:dyDescent="0.2">
      <c r="A2363" s="103"/>
      <c r="B2363" s="104"/>
      <c r="C2363" s="105"/>
      <c r="K2363" s="1"/>
      <c r="L2363" s="2"/>
    </row>
    <row r="2364" spans="1:12" x14ac:dyDescent="0.2">
      <c r="A2364" s="103"/>
      <c r="B2364" s="104"/>
      <c r="C2364" s="105"/>
      <c r="K2364" s="1"/>
      <c r="L2364" s="2"/>
    </row>
    <row r="2365" spans="1:12" x14ac:dyDescent="0.2">
      <c r="A2365" s="103"/>
      <c r="B2365" s="104"/>
      <c r="C2365" s="105"/>
      <c r="K2365" s="1"/>
      <c r="L2365" s="2"/>
    </row>
    <row r="2366" spans="1:12" x14ac:dyDescent="0.2">
      <c r="A2366" s="103"/>
      <c r="B2366" s="104"/>
      <c r="C2366" s="105"/>
      <c r="K2366" s="1"/>
      <c r="L2366" s="2"/>
    </row>
    <row r="2367" spans="1:12" x14ac:dyDescent="0.2">
      <c r="A2367" s="103"/>
      <c r="B2367" s="104"/>
      <c r="C2367" s="105"/>
      <c r="K2367" s="1"/>
      <c r="L2367" s="2"/>
    </row>
    <row r="2368" spans="1:12" x14ac:dyDescent="0.2">
      <c r="A2368" s="103"/>
      <c r="B2368" s="104"/>
      <c r="C2368" s="105"/>
      <c r="K2368" s="1"/>
      <c r="L2368" s="2"/>
    </row>
    <row r="2369" spans="1:12" x14ac:dyDescent="0.2">
      <c r="A2369" s="103"/>
      <c r="B2369" s="104"/>
      <c r="C2369" s="105"/>
      <c r="K2369" s="1"/>
      <c r="L2369" s="2"/>
    </row>
    <row r="2370" spans="1:12" x14ac:dyDescent="0.2">
      <c r="A2370" s="103"/>
      <c r="B2370" s="104"/>
      <c r="C2370" s="105"/>
      <c r="K2370" s="1"/>
      <c r="L2370" s="2"/>
    </row>
    <row r="2371" spans="1:12" x14ac:dyDescent="0.2">
      <c r="A2371" s="103"/>
      <c r="B2371" s="104"/>
      <c r="C2371" s="105"/>
      <c r="K2371" s="1"/>
      <c r="L2371" s="2"/>
    </row>
    <row r="2372" spans="1:12" x14ac:dyDescent="0.2">
      <c r="A2372" s="103"/>
      <c r="B2372" s="104"/>
      <c r="C2372" s="105"/>
      <c r="K2372" s="1"/>
      <c r="L2372" s="2"/>
    </row>
    <row r="2373" spans="1:12" x14ac:dyDescent="0.2">
      <c r="A2373" s="103"/>
      <c r="B2373" s="104"/>
      <c r="C2373" s="105"/>
      <c r="K2373" s="1"/>
      <c r="L2373" s="2"/>
    </row>
    <row r="2374" spans="1:12" x14ac:dyDescent="0.2">
      <c r="A2374" s="103"/>
      <c r="B2374" s="104"/>
      <c r="C2374" s="105"/>
      <c r="K2374" s="1"/>
      <c r="L2374" s="2"/>
    </row>
    <row r="2375" spans="1:12" x14ac:dyDescent="0.2">
      <c r="A2375" s="103"/>
      <c r="B2375" s="104"/>
      <c r="C2375" s="105"/>
      <c r="K2375" s="1"/>
      <c r="L2375" s="2"/>
    </row>
    <row r="2376" spans="1:12" x14ac:dyDescent="0.2">
      <c r="A2376" s="103"/>
      <c r="B2376" s="104"/>
      <c r="C2376" s="105"/>
      <c r="K2376" s="1"/>
      <c r="L2376" s="2"/>
    </row>
    <row r="2377" spans="1:12" x14ac:dyDescent="0.2">
      <c r="A2377" s="103"/>
      <c r="B2377" s="104"/>
      <c r="C2377" s="105"/>
      <c r="K2377" s="1"/>
      <c r="L2377" s="2"/>
    </row>
    <row r="2378" spans="1:12" x14ac:dyDescent="0.2">
      <c r="A2378" s="103"/>
      <c r="B2378" s="104"/>
      <c r="C2378" s="105"/>
      <c r="K2378" s="1"/>
      <c r="L2378" s="2"/>
    </row>
    <row r="2379" spans="1:12" x14ac:dyDescent="0.2">
      <c r="A2379" s="103"/>
      <c r="B2379" s="104"/>
      <c r="C2379" s="105"/>
      <c r="K2379" s="1"/>
      <c r="L2379" s="2"/>
    </row>
    <row r="2380" spans="1:12" x14ac:dyDescent="0.2">
      <c r="A2380" s="103"/>
      <c r="B2380" s="104"/>
      <c r="C2380" s="105"/>
      <c r="K2380" s="1"/>
      <c r="L2380" s="2"/>
    </row>
    <row r="2381" spans="1:12" x14ac:dyDescent="0.2">
      <c r="A2381" s="103"/>
      <c r="B2381" s="104"/>
      <c r="C2381" s="105"/>
      <c r="K2381" s="1"/>
      <c r="L2381" s="2"/>
    </row>
    <row r="2382" spans="1:12" x14ac:dyDescent="0.2">
      <c r="A2382" s="103"/>
      <c r="B2382" s="104"/>
      <c r="C2382" s="105"/>
      <c r="K2382" s="1"/>
      <c r="L2382" s="2"/>
    </row>
    <row r="2383" spans="1:12" x14ac:dyDescent="0.2">
      <c r="A2383" s="103"/>
      <c r="B2383" s="104"/>
      <c r="C2383" s="105"/>
      <c r="K2383" s="1"/>
      <c r="L2383" s="2"/>
    </row>
    <row r="2384" spans="1:12" x14ac:dyDescent="0.2">
      <c r="A2384" s="103"/>
      <c r="B2384" s="104"/>
      <c r="C2384" s="105"/>
      <c r="K2384" s="1"/>
      <c r="L2384" s="2"/>
    </row>
    <row r="2385" spans="1:12" x14ac:dyDescent="0.2">
      <c r="A2385" s="103"/>
      <c r="B2385" s="104"/>
      <c r="C2385" s="105"/>
      <c r="K2385" s="1"/>
      <c r="L2385" s="2"/>
    </row>
    <row r="2386" spans="1:12" x14ac:dyDescent="0.2">
      <c r="A2386" s="103"/>
      <c r="B2386" s="104"/>
      <c r="C2386" s="105"/>
      <c r="K2386" s="1"/>
      <c r="L2386" s="2"/>
    </row>
    <row r="2387" spans="1:12" x14ac:dyDescent="0.2">
      <c r="A2387" s="103"/>
      <c r="B2387" s="104"/>
      <c r="C2387" s="105"/>
      <c r="K2387" s="1"/>
      <c r="L2387" s="2"/>
    </row>
    <row r="2388" spans="1:12" x14ac:dyDescent="0.2">
      <c r="A2388" s="103"/>
      <c r="B2388" s="104"/>
      <c r="C2388" s="105"/>
      <c r="K2388" s="1"/>
      <c r="L2388" s="2"/>
    </row>
    <row r="2389" spans="1:12" x14ac:dyDescent="0.2">
      <c r="A2389" s="103"/>
      <c r="B2389" s="104"/>
      <c r="C2389" s="105"/>
      <c r="K2389" s="1"/>
      <c r="L2389" s="2"/>
    </row>
    <row r="2390" spans="1:12" x14ac:dyDescent="0.2">
      <c r="A2390" s="103"/>
      <c r="B2390" s="104"/>
      <c r="C2390" s="105"/>
      <c r="K2390" s="1"/>
      <c r="L2390" s="2"/>
    </row>
    <row r="2391" spans="1:12" x14ac:dyDescent="0.2">
      <c r="A2391" s="103"/>
      <c r="B2391" s="104"/>
      <c r="C2391" s="105"/>
      <c r="K2391" s="1"/>
      <c r="L2391" s="2"/>
    </row>
    <row r="2392" spans="1:12" x14ac:dyDescent="0.2">
      <c r="A2392" s="103"/>
      <c r="B2392" s="104"/>
      <c r="C2392" s="105"/>
      <c r="K2392" s="1"/>
      <c r="L2392" s="2"/>
    </row>
    <row r="2393" spans="1:12" x14ac:dyDescent="0.2">
      <c r="A2393" s="103"/>
      <c r="B2393" s="104"/>
      <c r="C2393" s="105"/>
      <c r="K2393" s="1"/>
      <c r="L2393" s="2"/>
    </row>
    <row r="2394" spans="1:12" x14ac:dyDescent="0.2">
      <c r="A2394" s="103"/>
      <c r="B2394" s="104"/>
      <c r="C2394" s="105"/>
      <c r="K2394" s="1"/>
      <c r="L2394" s="2"/>
    </row>
    <row r="2395" spans="1:12" x14ac:dyDescent="0.2">
      <c r="A2395" s="103"/>
      <c r="B2395" s="104"/>
      <c r="C2395" s="105"/>
      <c r="K2395" s="1"/>
      <c r="L2395" s="2"/>
    </row>
    <row r="2396" spans="1:12" x14ac:dyDescent="0.2">
      <c r="A2396" s="103"/>
      <c r="B2396" s="104"/>
      <c r="C2396" s="105"/>
      <c r="K2396" s="1"/>
      <c r="L2396" s="2"/>
    </row>
    <row r="2397" spans="1:12" x14ac:dyDescent="0.2">
      <c r="A2397" s="103"/>
      <c r="B2397" s="104"/>
      <c r="C2397" s="105"/>
      <c r="K2397" s="1"/>
      <c r="L2397" s="2"/>
    </row>
    <row r="2398" spans="1:12" x14ac:dyDescent="0.2">
      <c r="A2398" s="103"/>
      <c r="B2398" s="104"/>
      <c r="C2398" s="105"/>
      <c r="K2398" s="1"/>
      <c r="L2398" s="2"/>
    </row>
    <row r="2399" spans="1:12" x14ac:dyDescent="0.2">
      <c r="A2399" s="103"/>
      <c r="B2399" s="104"/>
      <c r="C2399" s="105"/>
      <c r="K2399" s="1"/>
      <c r="L2399" s="2"/>
    </row>
    <row r="2400" spans="1:12" x14ac:dyDescent="0.2">
      <c r="A2400" s="103"/>
      <c r="B2400" s="104"/>
      <c r="C2400" s="105"/>
      <c r="K2400" s="1"/>
      <c r="L2400" s="2"/>
    </row>
    <row r="2401" spans="1:12" x14ac:dyDescent="0.2">
      <c r="A2401" s="103"/>
      <c r="B2401" s="104"/>
      <c r="C2401" s="105"/>
      <c r="K2401" s="1"/>
      <c r="L2401" s="2"/>
    </row>
    <row r="2402" spans="1:12" x14ac:dyDescent="0.2">
      <c r="A2402" s="103"/>
      <c r="B2402" s="104"/>
      <c r="C2402" s="105"/>
      <c r="K2402" s="1"/>
      <c r="L2402" s="2"/>
    </row>
    <row r="2403" spans="1:12" x14ac:dyDescent="0.2">
      <c r="A2403" s="103"/>
      <c r="B2403" s="104"/>
      <c r="C2403" s="105"/>
      <c r="K2403" s="1"/>
      <c r="L2403" s="2"/>
    </row>
    <row r="2404" spans="1:12" x14ac:dyDescent="0.2">
      <c r="A2404" s="103"/>
      <c r="B2404" s="104"/>
      <c r="C2404" s="105"/>
      <c r="K2404" s="1"/>
      <c r="L2404" s="2"/>
    </row>
    <row r="2405" spans="1:12" x14ac:dyDescent="0.2">
      <c r="A2405" s="103"/>
      <c r="B2405" s="104"/>
      <c r="C2405" s="105"/>
      <c r="K2405" s="1"/>
      <c r="L2405" s="2"/>
    </row>
    <row r="2406" spans="1:12" x14ac:dyDescent="0.2">
      <c r="A2406" s="103"/>
      <c r="B2406" s="104"/>
      <c r="C2406" s="105"/>
      <c r="K2406" s="1"/>
      <c r="L2406" s="2"/>
    </row>
    <row r="2407" spans="1:12" x14ac:dyDescent="0.2">
      <c r="A2407" s="103"/>
      <c r="B2407" s="104"/>
      <c r="C2407" s="105"/>
      <c r="K2407" s="1"/>
      <c r="L2407" s="2"/>
    </row>
    <row r="2408" spans="1:12" x14ac:dyDescent="0.2">
      <c r="A2408" s="103"/>
      <c r="B2408" s="104"/>
      <c r="C2408" s="105"/>
      <c r="K2408" s="1"/>
      <c r="L2408" s="2"/>
    </row>
    <row r="2409" spans="1:12" x14ac:dyDescent="0.2">
      <c r="A2409" s="103"/>
      <c r="B2409" s="104"/>
      <c r="C2409" s="105"/>
      <c r="K2409" s="1"/>
      <c r="L2409" s="2"/>
    </row>
    <row r="2410" spans="1:12" x14ac:dyDescent="0.2">
      <c r="A2410" s="103"/>
      <c r="B2410" s="104"/>
      <c r="C2410" s="105"/>
      <c r="K2410" s="1"/>
      <c r="L2410" s="2"/>
    </row>
    <row r="2411" spans="1:12" x14ac:dyDescent="0.2">
      <c r="A2411" s="103"/>
      <c r="B2411" s="104"/>
      <c r="C2411" s="105"/>
      <c r="K2411" s="1"/>
      <c r="L2411" s="2"/>
    </row>
    <row r="2412" spans="1:12" x14ac:dyDescent="0.2">
      <c r="A2412" s="103"/>
      <c r="B2412" s="104"/>
      <c r="C2412" s="105"/>
      <c r="K2412" s="1"/>
      <c r="L2412" s="2"/>
    </row>
    <row r="2413" spans="1:12" x14ac:dyDescent="0.2">
      <c r="A2413" s="103"/>
      <c r="B2413" s="104"/>
      <c r="C2413" s="105"/>
      <c r="K2413" s="1"/>
      <c r="L2413" s="2"/>
    </row>
    <row r="2414" spans="1:12" x14ac:dyDescent="0.2">
      <c r="A2414" s="103"/>
      <c r="B2414" s="104"/>
      <c r="C2414" s="105"/>
      <c r="K2414" s="1"/>
      <c r="L2414" s="2"/>
    </row>
    <row r="2415" spans="1:12" x14ac:dyDescent="0.2">
      <c r="A2415" s="103"/>
      <c r="B2415" s="104"/>
      <c r="C2415" s="105"/>
      <c r="K2415" s="1"/>
      <c r="L2415" s="2"/>
    </row>
    <row r="2416" spans="1:12" x14ac:dyDescent="0.2">
      <c r="A2416" s="103"/>
      <c r="B2416" s="104"/>
      <c r="C2416" s="105"/>
      <c r="K2416" s="1"/>
      <c r="L2416" s="2"/>
    </row>
    <row r="2417" spans="1:12" x14ac:dyDescent="0.2">
      <c r="A2417" s="103"/>
      <c r="B2417" s="104"/>
      <c r="C2417" s="105"/>
      <c r="K2417" s="1"/>
      <c r="L2417" s="2"/>
    </row>
    <row r="2418" spans="1:12" x14ac:dyDescent="0.2">
      <c r="A2418" s="103"/>
      <c r="B2418" s="104"/>
      <c r="C2418" s="105"/>
      <c r="K2418" s="1"/>
      <c r="L2418" s="2"/>
    </row>
    <row r="2419" spans="1:12" x14ac:dyDescent="0.2">
      <c r="A2419" s="103"/>
      <c r="B2419" s="104"/>
      <c r="C2419" s="105"/>
      <c r="K2419" s="1"/>
      <c r="L2419" s="2"/>
    </row>
    <row r="2420" spans="1:12" x14ac:dyDescent="0.2">
      <c r="A2420" s="103"/>
      <c r="B2420" s="104"/>
      <c r="C2420" s="105"/>
      <c r="K2420" s="1"/>
      <c r="L2420" s="2"/>
    </row>
    <row r="2421" spans="1:12" x14ac:dyDescent="0.2">
      <c r="A2421" s="103"/>
      <c r="B2421" s="104"/>
      <c r="C2421" s="105"/>
      <c r="K2421" s="1"/>
      <c r="L2421" s="2"/>
    </row>
    <row r="2422" spans="1:12" x14ac:dyDescent="0.2">
      <c r="A2422" s="103"/>
      <c r="B2422" s="104"/>
      <c r="C2422" s="105"/>
      <c r="K2422" s="1"/>
      <c r="L2422" s="2"/>
    </row>
    <row r="2423" spans="1:12" x14ac:dyDescent="0.2">
      <c r="A2423" s="103"/>
      <c r="B2423" s="104"/>
      <c r="C2423" s="105"/>
      <c r="K2423" s="1"/>
      <c r="L2423" s="2"/>
    </row>
    <row r="2424" spans="1:12" x14ac:dyDescent="0.2">
      <c r="A2424" s="103"/>
      <c r="B2424" s="104"/>
      <c r="C2424" s="105"/>
      <c r="K2424" s="1"/>
      <c r="L2424" s="2"/>
    </row>
    <row r="2425" spans="1:12" x14ac:dyDescent="0.2">
      <c r="A2425" s="103"/>
      <c r="B2425" s="104"/>
      <c r="C2425" s="105"/>
      <c r="K2425" s="1"/>
      <c r="L2425" s="2"/>
    </row>
    <row r="2426" spans="1:12" x14ac:dyDescent="0.2">
      <c r="A2426" s="103"/>
      <c r="B2426" s="104"/>
      <c r="C2426" s="105"/>
      <c r="K2426" s="1"/>
      <c r="L2426" s="2"/>
    </row>
    <row r="2427" spans="1:12" x14ac:dyDescent="0.2">
      <c r="A2427" s="103"/>
      <c r="B2427" s="104"/>
      <c r="C2427" s="105"/>
      <c r="K2427" s="1"/>
      <c r="L2427" s="2"/>
    </row>
    <row r="2428" spans="1:12" x14ac:dyDescent="0.2">
      <c r="A2428" s="103"/>
      <c r="B2428" s="104"/>
      <c r="C2428" s="105"/>
      <c r="K2428" s="1"/>
      <c r="L2428" s="2"/>
    </row>
    <row r="2429" spans="1:12" x14ac:dyDescent="0.2">
      <c r="A2429" s="103"/>
      <c r="B2429" s="104"/>
      <c r="C2429" s="105"/>
      <c r="K2429" s="1"/>
      <c r="L2429" s="2"/>
    </row>
    <row r="2430" spans="1:12" x14ac:dyDescent="0.2">
      <c r="A2430" s="103"/>
      <c r="B2430" s="104"/>
      <c r="C2430" s="105"/>
      <c r="K2430" s="1"/>
      <c r="L2430" s="2"/>
    </row>
    <row r="2431" spans="1:12" x14ac:dyDescent="0.2">
      <c r="A2431" s="103"/>
      <c r="B2431" s="104"/>
      <c r="C2431" s="105"/>
      <c r="K2431" s="1"/>
      <c r="L2431" s="2"/>
    </row>
    <row r="2432" spans="1:12" x14ac:dyDescent="0.2">
      <c r="A2432" s="103"/>
      <c r="B2432" s="104"/>
      <c r="C2432" s="105"/>
      <c r="K2432" s="1"/>
      <c r="L2432" s="2"/>
    </row>
    <row r="2433" spans="1:12" x14ac:dyDescent="0.2">
      <c r="A2433" s="103"/>
      <c r="B2433" s="104"/>
      <c r="C2433" s="105"/>
      <c r="K2433" s="1"/>
      <c r="L2433" s="2"/>
    </row>
    <row r="2434" spans="1:12" x14ac:dyDescent="0.2">
      <c r="A2434" s="103"/>
      <c r="B2434" s="104"/>
      <c r="C2434" s="105"/>
      <c r="K2434" s="1"/>
      <c r="L2434" s="2"/>
    </row>
    <row r="2435" spans="1:12" x14ac:dyDescent="0.2">
      <c r="A2435" s="103"/>
      <c r="B2435" s="104"/>
      <c r="C2435" s="105"/>
      <c r="K2435" s="1"/>
      <c r="L2435" s="2"/>
    </row>
    <row r="2436" spans="1:12" x14ac:dyDescent="0.2">
      <c r="A2436" s="103"/>
      <c r="B2436" s="104"/>
      <c r="C2436" s="105"/>
      <c r="K2436" s="1"/>
      <c r="L2436" s="2"/>
    </row>
    <row r="2437" spans="1:12" x14ac:dyDescent="0.2">
      <c r="A2437" s="103"/>
      <c r="B2437" s="104"/>
      <c r="C2437" s="105"/>
      <c r="K2437" s="1"/>
      <c r="L2437" s="2"/>
    </row>
    <row r="2438" spans="1:12" x14ac:dyDescent="0.2">
      <c r="A2438" s="103"/>
      <c r="B2438" s="104"/>
      <c r="C2438" s="105"/>
      <c r="K2438" s="1"/>
      <c r="L2438" s="2"/>
    </row>
    <row r="2439" spans="1:12" x14ac:dyDescent="0.2">
      <c r="A2439" s="103"/>
      <c r="B2439" s="104"/>
      <c r="C2439" s="105"/>
      <c r="K2439" s="1"/>
      <c r="L2439" s="2"/>
    </row>
    <row r="2440" spans="1:12" x14ac:dyDescent="0.2">
      <c r="A2440" s="103"/>
      <c r="B2440" s="104"/>
      <c r="C2440" s="105"/>
      <c r="K2440" s="1"/>
      <c r="L2440" s="2"/>
    </row>
    <row r="2441" spans="1:12" x14ac:dyDescent="0.2">
      <c r="A2441" s="103"/>
      <c r="B2441" s="104"/>
      <c r="C2441" s="105"/>
      <c r="K2441" s="1"/>
      <c r="L2441" s="2"/>
    </row>
    <row r="2442" spans="1:12" x14ac:dyDescent="0.2">
      <c r="A2442" s="103"/>
      <c r="B2442" s="104"/>
      <c r="C2442" s="105"/>
      <c r="K2442" s="1"/>
      <c r="L2442" s="2"/>
    </row>
    <row r="2443" spans="1:12" x14ac:dyDescent="0.2">
      <c r="A2443" s="103"/>
      <c r="B2443" s="104"/>
      <c r="C2443" s="105"/>
      <c r="K2443" s="1"/>
      <c r="L2443" s="2"/>
    </row>
    <row r="2444" spans="1:12" x14ac:dyDescent="0.2">
      <c r="A2444" s="103"/>
      <c r="B2444" s="104"/>
      <c r="C2444" s="105"/>
      <c r="K2444" s="1"/>
      <c r="L2444" s="2"/>
    </row>
    <row r="2445" spans="1:12" x14ac:dyDescent="0.2">
      <c r="A2445" s="103"/>
      <c r="B2445" s="104"/>
      <c r="C2445" s="105"/>
      <c r="K2445" s="1"/>
      <c r="L2445" s="2"/>
    </row>
    <row r="2446" spans="1:12" x14ac:dyDescent="0.2">
      <c r="A2446" s="103"/>
      <c r="B2446" s="104"/>
      <c r="C2446" s="105"/>
      <c r="K2446" s="1"/>
      <c r="L2446" s="2"/>
    </row>
    <row r="2447" spans="1:12" x14ac:dyDescent="0.2">
      <c r="A2447" s="103"/>
      <c r="B2447" s="104"/>
      <c r="C2447" s="105"/>
      <c r="K2447" s="1"/>
      <c r="L2447" s="2"/>
    </row>
    <row r="2448" spans="1:12" x14ac:dyDescent="0.2">
      <c r="A2448" s="103"/>
      <c r="B2448" s="104"/>
      <c r="C2448" s="105"/>
      <c r="K2448" s="1"/>
      <c r="L2448" s="2"/>
    </row>
    <row r="2449" spans="1:12" x14ac:dyDescent="0.2">
      <c r="A2449" s="103"/>
      <c r="B2449" s="104"/>
      <c r="C2449" s="105"/>
      <c r="K2449" s="1"/>
      <c r="L2449" s="2"/>
    </row>
    <row r="2450" spans="1:12" x14ac:dyDescent="0.2">
      <c r="A2450" s="103"/>
      <c r="B2450" s="104"/>
      <c r="C2450" s="105"/>
      <c r="K2450" s="1"/>
      <c r="L2450" s="2"/>
    </row>
    <row r="2451" spans="1:12" x14ac:dyDescent="0.2">
      <c r="A2451" s="103"/>
      <c r="B2451" s="104"/>
      <c r="C2451" s="105"/>
      <c r="K2451" s="1"/>
      <c r="L2451" s="2"/>
    </row>
    <row r="2452" spans="1:12" x14ac:dyDescent="0.2">
      <c r="A2452" s="103"/>
      <c r="B2452" s="104"/>
      <c r="C2452" s="105"/>
      <c r="K2452" s="1"/>
      <c r="L2452" s="2"/>
    </row>
    <row r="2453" spans="1:12" x14ac:dyDescent="0.2">
      <c r="A2453" s="103"/>
      <c r="B2453" s="104"/>
      <c r="C2453" s="105"/>
      <c r="K2453" s="1"/>
      <c r="L2453" s="2"/>
    </row>
    <row r="2454" spans="1:12" x14ac:dyDescent="0.2">
      <c r="A2454" s="103"/>
      <c r="B2454" s="104"/>
      <c r="C2454" s="105"/>
      <c r="K2454" s="1"/>
      <c r="L2454" s="2"/>
    </row>
    <row r="2455" spans="1:12" x14ac:dyDescent="0.2">
      <c r="A2455" s="103"/>
      <c r="B2455" s="104"/>
      <c r="C2455" s="105"/>
      <c r="K2455" s="1"/>
      <c r="L2455" s="2"/>
    </row>
    <row r="2456" spans="1:12" x14ac:dyDescent="0.2">
      <c r="A2456" s="103"/>
      <c r="B2456" s="104"/>
      <c r="C2456" s="105"/>
      <c r="K2456" s="1"/>
      <c r="L2456" s="2"/>
    </row>
    <row r="2457" spans="1:12" x14ac:dyDescent="0.2">
      <c r="A2457" s="103"/>
      <c r="B2457" s="104"/>
      <c r="C2457" s="105"/>
      <c r="K2457" s="1"/>
      <c r="L2457" s="2"/>
    </row>
    <row r="2458" spans="1:12" x14ac:dyDescent="0.2">
      <c r="A2458" s="103"/>
      <c r="B2458" s="104"/>
      <c r="C2458" s="105"/>
      <c r="K2458" s="1"/>
      <c r="L2458" s="2"/>
    </row>
    <row r="2459" spans="1:12" x14ac:dyDescent="0.2">
      <c r="A2459" s="103"/>
      <c r="B2459" s="104"/>
      <c r="C2459" s="105"/>
      <c r="K2459" s="1"/>
      <c r="L2459" s="2"/>
    </row>
    <row r="2460" spans="1:12" x14ac:dyDescent="0.2">
      <c r="A2460" s="103"/>
      <c r="B2460" s="104"/>
      <c r="C2460" s="105"/>
      <c r="K2460" s="1"/>
      <c r="L2460" s="2"/>
    </row>
    <row r="2461" spans="1:12" x14ac:dyDescent="0.2">
      <c r="A2461" s="103"/>
      <c r="B2461" s="104"/>
      <c r="C2461" s="105"/>
      <c r="K2461" s="1"/>
      <c r="L2461" s="2"/>
    </row>
    <row r="2462" spans="1:12" x14ac:dyDescent="0.2">
      <c r="A2462" s="103"/>
      <c r="B2462" s="104"/>
      <c r="C2462" s="105"/>
      <c r="K2462" s="1"/>
      <c r="L2462" s="2"/>
    </row>
    <row r="2463" spans="1:12" x14ac:dyDescent="0.2">
      <c r="A2463" s="103"/>
      <c r="B2463" s="104"/>
      <c r="C2463" s="105"/>
      <c r="K2463" s="1"/>
      <c r="L2463" s="2"/>
    </row>
    <row r="2464" spans="1:12" x14ac:dyDescent="0.2">
      <c r="A2464" s="103"/>
      <c r="B2464" s="104"/>
      <c r="C2464" s="105"/>
      <c r="K2464" s="1"/>
      <c r="L2464" s="2"/>
    </row>
    <row r="2465" spans="1:12" x14ac:dyDescent="0.2">
      <c r="A2465" s="103"/>
      <c r="B2465" s="104"/>
      <c r="C2465" s="105"/>
      <c r="K2465" s="1"/>
      <c r="L2465" s="2"/>
    </row>
    <row r="2466" spans="1:12" x14ac:dyDescent="0.2">
      <c r="A2466" s="103"/>
      <c r="B2466" s="104"/>
      <c r="C2466" s="105"/>
      <c r="K2466" s="1"/>
      <c r="L2466" s="2"/>
    </row>
    <row r="2467" spans="1:12" x14ac:dyDescent="0.2">
      <c r="A2467" s="103"/>
      <c r="B2467" s="104"/>
      <c r="C2467" s="105"/>
      <c r="K2467" s="1"/>
      <c r="L2467" s="2"/>
    </row>
    <row r="2468" spans="1:12" x14ac:dyDescent="0.2">
      <c r="A2468" s="103"/>
      <c r="B2468" s="104"/>
      <c r="C2468" s="105"/>
      <c r="K2468" s="1"/>
      <c r="L2468" s="2"/>
    </row>
    <row r="2469" spans="1:12" x14ac:dyDescent="0.2">
      <c r="A2469" s="103"/>
      <c r="B2469" s="104"/>
      <c r="C2469" s="105"/>
      <c r="K2469" s="1"/>
      <c r="L2469" s="2"/>
    </row>
    <row r="2470" spans="1:12" x14ac:dyDescent="0.2">
      <c r="A2470" s="103"/>
      <c r="B2470" s="104"/>
      <c r="C2470" s="105"/>
      <c r="K2470" s="1"/>
      <c r="L2470" s="2"/>
    </row>
    <row r="2471" spans="1:12" x14ac:dyDescent="0.2">
      <c r="A2471" s="103"/>
      <c r="B2471" s="104"/>
      <c r="C2471" s="105"/>
      <c r="K2471" s="1"/>
      <c r="L2471" s="2"/>
    </row>
    <row r="2472" spans="1:12" x14ac:dyDescent="0.2">
      <c r="A2472" s="103"/>
      <c r="B2472" s="104"/>
      <c r="C2472" s="105"/>
      <c r="K2472" s="1"/>
      <c r="L2472" s="2"/>
    </row>
    <row r="2473" spans="1:12" x14ac:dyDescent="0.2">
      <c r="A2473" s="103"/>
      <c r="B2473" s="104"/>
      <c r="C2473" s="105"/>
      <c r="K2473" s="1"/>
      <c r="L2473" s="2"/>
    </row>
    <row r="2474" spans="1:12" x14ac:dyDescent="0.2">
      <c r="A2474" s="103"/>
      <c r="B2474" s="104"/>
      <c r="C2474" s="105"/>
      <c r="K2474" s="1"/>
      <c r="L2474" s="2"/>
    </row>
    <row r="2475" spans="1:12" x14ac:dyDescent="0.2">
      <c r="A2475" s="103"/>
      <c r="B2475" s="104"/>
      <c r="C2475" s="105"/>
      <c r="K2475" s="1"/>
      <c r="L2475" s="2"/>
    </row>
    <row r="2476" spans="1:12" x14ac:dyDescent="0.2">
      <c r="A2476" s="103"/>
      <c r="B2476" s="104"/>
      <c r="C2476" s="105"/>
      <c r="K2476" s="1"/>
      <c r="L2476" s="2"/>
    </row>
    <row r="2477" spans="1:12" x14ac:dyDescent="0.2">
      <c r="A2477" s="103"/>
      <c r="B2477" s="104"/>
      <c r="C2477" s="105"/>
      <c r="K2477" s="1"/>
      <c r="L2477" s="2"/>
    </row>
    <row r="2478" spans="1:12" x14ac:dyDescent="0.2">
      <c r="A2478" s="103"/>
      <c r="B2478" s="104"/>
      <c r="C2478" s="105"/>
      <c r="K2478" s="1"/>
      <c r="L2478" s="2"/>
    </row>
    <row r="2479" spans="1:12" x14ac:dyDescent="0.2">
      <c r="A2479" s="103"/>
      <c r="B2479" s="104"/>
      <c r="C2479" s="105"/>
      <c r="K2479" s="1"/>
      <c r="L2479" s="2"/>
    </row>
    <row r="2480" spans="1:12" x14ac:dyDescent="0.2">
      <c r="A2480" s="103"/>
      <c r="B2480" s="104"/>
      <c r="C2480" s="105"/>
      <c r="K2480" s="1"/>
      <c r="L2480" s="2"/>
    </row>
    <row r="2481" spans="1:12" x14ac:dyDescent="0.2">
      <c r="A2481" s="103"/>
      <c r="B2481" s="104"/>
      <c r="C2481" s="105"/>
      <c r="K2481" s="1"/>
      <c r="L2481" s="2"/>
    </row>
    <row r="2482" spans="1:12" x14ac:dyDescent="0.2">
      <c r="A2482" s="103"/>
      <c r="B2482" s="104"/>
      <c r="C2482" s="105"/>
      <c r="K2482" s="1"/>
      <c r="L2482" s="2"/>
    </row>
    <row r="2483" spans="1:12" x14ac:dyDescent="0.2">
      <c r="A2483" s="103"/>
      <c r="B2483" s="104"/>
      <c r="C2483" s="105"/>
      <c r="K2483" s="1"/>
      <c r="L2483" s="2"/>
    </row>
    <row r="2484" spans="1:12" x14ac:dyDescent="0.2">
      <c r="A2484" s="103"/>
      <c r="B2484" s="104"/>
      <c r="C2484" s="105"/>
      <c r="K2484" s="1"/>
      <c r="L2484" s="2"/>
    </row>
    <row r="2485" spans="1:12" x14ac:dyDescent="0.2">
      <c r="A2485" s="103"/>
      <c r="B2485" s="104"/>
      <c r="C2485" s="105"/>
      <c r="K2485" s="1"/>
      <c r="L2485" s="2"/>
    </row>
    <row r="2486" spans="1:12" x14ac:dyDescent="0.2">
      <c r="A2486" s="103"/>
      <c r="B2486" s="104"/>
      <c r="C2486" s="105"/>
      <c r="K2486" s="1"/>
      <c r="L2486" s="2"/>
    </row>
    <row r="2487" spans="1:12" x14ac:dyDescent="0.2">
      <c r="A2487" s="103"/>
      <c r="B2487" s="104"/>
      <c r="C2487" s="105"/>
      <c r="K2487" s="1"/>
      <c r="L2487" s="2"/>
    </row>
    <row r="2488" spans="1:12" x14ac:dyDescent="0.2">
      <c r="A2488" s="103"/>
      <c r="B2488" s="104"/>
      <c r="C2488" s="105"/>
      <c r="K2488" s="1"/>
      <c r="L2488" s="2"/>
    </row>
    <row r="2489" spans="1:12" x14ac:dyDescent="0.2">
      <c r="A2489" s="103"/>
      <c r="B2489" s="104"/>
      <c r="C2489" s="105"/>
      <c r="K2489" s="1"/>
      <c r="L2489" s="2"/>
    </row>
    <row r="2490" spans="1:12" x14ac:dyDescent="0.2">
      <c r="A2490" s="103"/>
      <c r="B2490" s="104"/>
      <c r="C2490" s="105"/>
      <c r="K2490" s="1"/>
      <c r="L2490" s="2"/>
    </row>
    <row r="2491" spans="1:12" x14ac:dyDescent="0.2">
      <c r="A2491" s="103"/>
      <c r="B2491" s="104"/>
      <c r="C2491" s="105"/>
      <c r="K2491" s="1"/>
      <c r="L2491" s="2"/>
    </row>
    <row r="2492" spans="1:12" x14ac:dyDescent="0.2">
      <c r="A2492" s="103"/>
      <c r="B2492" s="104"/>
      <c r="C2492" s="105"/>
      <c r="K2492" s="1"/>
      <c r="L2492" s="2"/>
    </row>
    <row r="2493" spans="1:12" x14ac:dyDescent="0.2">
      <c r="A2493" s="103"/>
      <c r="B2493" s="104"/>
      <c r="C2493" s="105"/>
      <c r="K2493" s="1"/>
      <c r="L2493" s="2"/>
    </row>
    <row r="2494" spans="1:12" x14ac:dyDescent="0.2">
      <c r="A2494" s="103"/>
      <c r="B2494" s="104"/>
      <c r="C2494" s="105"/>
      <c r="K2494" s="1"/>
      <c r="L2494" s="2"/>
    </row>
    <row r="2495" spans="1:12" x14ac:dyDescent="0.2">
      <c r="A2495" s="103"/>
      <c r="B2495" s="104"/>
      <c r="C2495" s="105"/>
      <c r="K2495" s="1"/>
      <c r="L2495" s="2"/>
    </row>
    <row r="2496" spans="1:12" x14ac:dyDescent="0.2">
      <c r="A2496" s="103"/>
      <c r="B2496" s="104"/>
      <c r="C2496" s="105"/>
      <c r="K2496" s="1"/>
      <c r="L2496" s="2"/>
    </row>
    <row r="2497" spans="1:12" x14ac:dyDescent="0.2">
      <c r="A2497" s="103"/>
      <c r="B2497" s="104"/>
      <c r="C2497" s="105"/>
      <c r="K2497" s="1"/>
      <c r="L2497" s="2"/>
    </row>
    <row r="2498" spans="1:12" x14ac:dyDescent="0.2">
      <c r="A2498" s="103"/>
      <c r="B2498" s="104"/>
      <c r="C2498" s="105"/>
      <c r="K2498" s="1"/>
      <c r="L2498" s="2"/>
    </row>
    <row r="2499" spans="1:12" x14ac:dyDescent="0.2">
      <c r="A2499" s="103"/>
      <c r="B2499" s="104"/>
      <c r="C2499" s="105"/>
      <c r="K2499" s="1"/>
      <c r="L2499" s="2"/>
    </row>
    <row r="2500" spans="1:12" x14ac:dyDescent="0.2">
      <c r="A2500" s="103"/>
      <c r="B2500" s="104"/>
      <c r="C2500" s="105"/>
      <c r="K2500" s="1"/>
      <c r="L2500" s="2"/>
    </row>
    <row r="2501" spans="1:12" x14ac:dyDescent="0.2">
      <c r="A2501" s="103"/>
      <c r="B2501" s="104"/>
      <c r="C2501" s="105"/>
      <c r="K2501" s="1"/>
      <c r="L2501" s="2"/>
    </row>
    <row r="2502" spans="1:12" x14ac:dyDescent="0.2">
      <c r="A2502" s="103"/>
      <c r="B2502" s="104"/>
      <c r="C2502" s="105"/>
      <c r="K2502" s="1"/>
      <c r="L2502" s="2"/>
    </row>
    <row r="2503" spans="1:12" x14ac:dyDescent="0.2">
      <c r="A2503" s="103"/>
      <c r="B2503" s="104"/>
      <c r="C2503" s="105"/>
      <c r="K2503" s="1"/>
      <c r="L2503" s="2"/>
    </row>
    <row r="2504" spans="1:12" x14ac:dyDescent="0.2">
      <c r="A2504" s="103"/>
      <c r="B2504" s="104"/>
      <c r="C2504" s="105"/>
      <c r="K2504" s="1"/>
      <c r="L2504" s="2"/>
    </row>
    <row r="2505" spans="1:12" x14ac:dyDescent="0.2">
      <c r="A2505" s="103"/>
      <c r="B2505" s="104"/>
      <c r="C2505" s="105"/>
      <c r="K2505" s="1"/>
      <c r="L2505" s="2"/>
    </row>
    <row r="2506" spans="1:12" x14ac:dyDescent="0.2">
      <c r="A2506" s="103"/>
      <c r="B2506" s="104"/>
      <c r="C2506" s="105"/>
      <c r="K2506" s="1"/>
      <c r="L2506" s="2"/>
    </row>
    <row r="2507" spans="1:12" x14ac:dyDescent="0.2">
      <c r="A2507" s="103"/>
      <c r="B2507" s="104"/>
      <c r="C2507" s="105"/>
      <c r="K2507" s="1"/>
      <c r="L2507" s="2"/>
    </row>
    <row r="2508" spans="1:12" x14ac:dyDescent="0.2">
      <c r="A2508" s="103"/>
      <c r="B2508" s="104"/>
      <c r="C2508" s="105"/>
      <c r="K2508" s="1"/>
      <c r="L2508" s="2"/>
    </row>
    <row r="2509" spans="1:12" x14ac:dyDescent="0.2">
      <c r="A2509" s="103"/>
      <c r="B2509" s="104"/>
      <c r="C2509" s="105"/>
      <c r="K2509" s="1"/>
      <c r="L2509" s="2"/>
    </row>
    <row r="2510" spans="1:12" x14ac:dyDescent="0.2">
      <c r="A2510" s="103"/>
      <c r="B2510" s="104"/>
      <c r="C2510" s="105"/>
      <c r="K2510" s="1"/>
      <c r="L2510" s="2"/>
    </row>
    <row r="2511" spans="1:12" x14ac:dyDescent="0.2">
      <c r="A2511" s="103"/>
      <c r="B2511" s="104"/>
      <c r="C2511" s="105"/>
      <c r="K2511" s="1"/>
      <c r="L2511" s="2"/>
    </row>
    <row r="2512" spans="1:12" x14ac:dyDescent="0.2">
      <c r="A2512" s="103"/>
      <c r="B2512" s="104"/>
      <c r="C2512" s="105"/>
      <c r="K2512" s="1"/>
      <c r="L2512" s="2"/>
    </row>
    <row r="2513" spans="1:12" x14ac:dyDescent="0.2">
      <c r="A2513" s="103"/>
      <c r="B2513" s="104"/>
      <c r="C2513" s="105"/>
      <c r="K2513" s="1"/>
      <c r="L2513" s="2"/>
    </row>
    <row r="2514" spans="1:12" x14ac:dyDescent="0.2">
      <c r="A2514" s="103"/>
      <c r="B2514" s="104"/>
      <c r="C2514" s="105"/>
      <c r="K2514" s="1"/>
      <c r="L2514" s="2"/>
    </row>
    <row r="2515" spans="1:12" x14ac:dyDescent="0.2">
      <c r="A2515" s="103"/>
      <c r="B2515" s="104"/>
      <c r="C2515" s="105"/>
      <c r="K2515" s="1"/>
      <c r="L2515" s="2"/>
    </row>
    <row r="2516" spans="1:12" x14ac:dyDescent="0.2">
      <c r="A2516" s="103"/>
      <c r="B2516" s="104"/>
      <c r="C2516" s="105"/>
      <c r="K2516" s="1"/>
      <c r="L2516" s="2"/>
    </row>
    <row r="2517" spans="1:12" x14ac:dyDescent="0.2">
      <c r="A2517" s="103"/>
      <c r="B2517" s="104"/>
      <c r="C2517" s="105"/>
      <c r="K2517" s="1"/>
      <c r="L2517" s="2"/>
    </row>
    <row r="2518" spans="1:12" x14ac:dyDescent="0.2">
      <c r="A2518" s="103"/>
      <c r="B2518" s="104"/>
      <c r="C2518" s="105"/>
      <c r="K2518" s="1"/>
      <c r="L2518" s="2"/>
    </row>
    <row r="2519" spans="1:12" x14ac:dyDescent="0.2">
      <c r="A2519" s="103"/>
      <c r="B2519" s="104"/>
      <c r="C2519" s="105"/>
      <c r="K2519" s="1"/>
      <c r="L2519" s="2"/>
    </row>
    <row r="2520" spans="1:12" x14ac:dyDescent="0.2">
      <c r="A2520" s="103"/>
      <c r="B2520" s="104"/>
      <c r="C2520" s="105"/>
      <c r="K2520" s="1"/>
      <c r="L2520" s="2"/>
    </row>
    <row r="2521" spans="1:12" x14ac:dyDescent="0.2">
      <c r="A2521" s="103"/>
      <c r="B2521" s="104"/>
      <c r="C2521" s="105"/>
      <c r="K2521" s="1"/>
      <c r="L2521" s="2"/>
    </row>
    <row r="2522" spans="1:12" x14ac:dyDescent="0.2">
      <c r="A2522" s="103"/>
      <c r="B2522" s="104"/>
      <c r="C2522" s="105"/>
      <c r="K2522" s="1"/>
      <c r="L2522" s="2"/>
    </row>
    <row r="2523" spans="1:12" x14ac:dyDescent="0.2">
      <c r="A2523" s="103"/>
      <c r="B2523" s="104"/>
      <c r="C2523" s="105"/>
      <c r="K2523" s="1"/>
      <c r="L2523" s="2"/>
    </row>
    <row r="2524" spans="1:12" x14ac:dyDescent="0.2">
      <c r="A2524" s="103"/>
      <c r="B2524" s="104"/>
      <c r="C2524" s="105"/>
      <c r="K2524" s="1"/>
      <c r="L2524" s="2"/>
    </row>
    <row r="2525" spans="1:12" x14ac:dyDescent="0.2">
      <c r="A2525" s="103"/>
      <c r="B2525" s="104"/>
      <c r="C2525" s="105"/>
      <c r="K2525" s="1"/>
      <c r="L2525" s="2"/>
    </row>
    <row r="2526" spans="1:12" x14ac:dyDescent="0.2">
      <c r="A2526" s="103"/>
      <c r="B2526" s="104"/>
      <c r="C2526" s="105"/>
      <c r="K2526" s="1"/>
      <c r="L2526" s="2"/>
    </row>
    <row r="2527" spans="1:12" x14ac:dyDescent="0.2">
      <c r="A2527" s="103"/>
      <c r="B2527" s="104"/>
      <c r="C2527" s="105"/>
      <c r="K2527" s="1"/>
      <c r="L2527" s="2"/>
    </row>
    <row r="2528" spans="1:12" x14ac:dyDescent="0.2">
      <c r="A2528" s="103"/>
      <c r="B2528" s="104"/>
      <c r="C2528" s="105"/>
      <c r="K2528" s="1"/>
      <c r="L2528" s="2"/>
    </row>
    <row r="2529" spans="1:12" x14ac:dyDescent="0.2">
      <c r="A2529" s="103"/>
      <c r="B2529" s="104"/>
      <c r="C2529" s="105"/>
      <c r="K2529" s="1"/>
      <c r="L2529" s="2"/>
    </row>
    <row r="2530" spans="1:12" x14ac:dyDescent="0.2">
      <c r="A2530" s="103"/>
      <c r="B2530" s="104"/>
      <c r="C2530" s="105"/>
      <c r="K2530" s="1"/>
      <c r="L2530" s="2"/>
    </row>
    <row r="2531" spans="1:12" x14ac:dyDescent="0.2">
      <c r="A2531" s="103"/>
      <c r="B2531" s="104"/>
      <c r="C2531" s="105"/>
      <c r="K2531" s="1"/>
      <c r="L2531" s="2"/>
    </row>
    <row r="2532" spans="1:12" x14ac:dyDescent="0.2">
      <c r="A2532" s="103"/>
      <c r="B2532" s="104"/>
      <c r="C2532" s="105"/>
      <c r="K2532" s="1"/>
      <c r="L2532" s="2"/>
    </row>
    <row r="2533" spans="1:12" x14ac:dyDescent="0.2">
      <c r="A2533" s="103"/>
      <c r="B2533" s="104"/>
      <c r="C2533" s="105"/>
      <c r="K2533" s="1"/>
      <c r="L2533" s="2"/>
    </row>
    <row r="2534" spans="1:12" x14ac:dyDescent="0.2">
      <c r="A2534" s="103"/>
      <c r="B2534" s="104"/>
      <c r="C2534" s="105"/>
      <c r="K2534" s="1"/>
      <c r="L2534" s="2"/>
    </row>
    <row r="2535" spans="1:12" x14ac:dyDescent="0.2">
      <c r="A2535" s="103"/>
      <c r="B2535" s="104"/>
      <c r="C2535" s="105"/>
      <c r="K2535" s="1"/>
      <c r="L2535" s="2"/>
    </row>
    <row r="2536" spans="1:12" x14ac:dyDescent="0.2">
      <c r="A2536" s="103"/>
      <c r="B2536" s="104"/>
      <c r="C2536" s="105"/>
      <c r="K2536" s="1"/>
      <c r="L2536" s="2"/>
    </row>
    <row r="2537" spans="1:12" x14ac:dyDescent="0.2">
      <c r="A2537" s="103"/>
      <c r="B2537" s="104"/>
      <c r="C2537" s="105"/>
      <c r="K2537" s="1"/>
      <c r="L2537" s="2"/>
    </row>
    <row r="2538" spans="1:12" x14ac:dyDescent="0.2">
      <c r="A2538" s="103"/>
      <c r="B2538" s="104"/>
      <c r="C2538" s="105"/>
      <c r="K2538" s="1"/>
      <c r="L2538" s="2"/>
    </row>
    <row r="2539" spans="1:12" x14ac:dyDescent="0.2">
      <c r="A2539" s="103"/>
      <c r="B2539" s="104"/>
      <c r="C2539" s="105"/>
      <c r="K2539" s="1"/>
      <c r="L2539" s="2"/>
    </row>
    <row r="2540" spans="1:12" x14ac:dyDescent="0.2">
      <c r="A2540" s="103"/>
      <c r="B2540" s="104"/>
      <c r="C2540" s="105"/>
      <c r="K2540" s="1"/>
      <c r="L2540" s="2"/>
    </row>
    <row r="2541" spans="1:12" x14ac:dyDescent="0.2">
      <c r="A2541" s="103"/>
      <c r="B2541" s="104"/>
      <c r="C2541" s="105"/>
      <c r="K2541" s="1"/>
      <c r="L2541" s="2"/>
    </row>
    <row r="2542" spans="1:12" x14ac:dyDescent="0.2">
      <c r="A2542" s="103"/>
      <c r="B2542" s="104"/>
      <c r="C2542" s="105"/>
      <c r="K2542" s="1"/>
      <c r="L2542" s="2"/>
    </row>
    <row r="2543" spans="1:12" x14ac:dyDescent="0.2">
      <c r="A2543" s="103"/>
      <c r="B2543" s="104"/>
      <c r="C2543" s="105"/>
      <c r="K2543" s="1"/>
      <c r="L2543" s="2"/>
    </row>
    <row r="2544" spans="1:12" x14ac:dyDescent="0.2">
      <c r="A2544" s="103"/>
      <c r="B2544" s="104"/>
      <c r="C2544" s="105"/>
      <c r="K2544" s="1"/>
      <c r="L2544" s="2"/>
    </row>
    <row r="2545" spans="1:12" x14ac:dyDescent="0.2">
      <c r="A2545" s="103"/>
      <c r="B2545" s="104"/>
      <c r="C2545" s="105"/>
      <c r="K2545" s="1"/>
      <c r="L2545" s="2"/>
    </row>
    <row r="2546" spans="1:12" x14ac:dyDescent="0.2">
      <c r="A2546" s="103"/>
      <c r="B2546" s="104"/>
      <c r="C2546" s="105"/>
      <c r="K2546" s="1"/>
      <c r="L2546" s="2"/>
    </row>
    <row r="2547" spans="1:12" x14ac:dyDescent="0.2">
      <c r="A2547" s="103"/>
      <c r="B2547" s="104"/>
      <c r="C2547" s="105"/>
      <c r="K2547" s="1"/>
      <c r="L2547" s="2"/>
    </row>
    <row r="2548" spans="1:12" x14ac:dyDescent="0.2">
      <c r="A2548" s="103"/>
      <c r="B2548" s="104"/>
      <c r="C2548" s="105"/>
      <c r="K2548" s="1"/>
      <c r="L2548" s="2"/>
    </row>
    <row r="2549" spans="1:12" x14ac:dyDescent="0.2">
      <c r="A2549" s="103"/>
      <c r="B2549" s="104"/>
      <c r="C2549" s="105"/>
      <c r="K2549" s="1"/>
      <c r="L2549" s="2"/>
    </row>
    <row r="2550" spans="1:12" x14ac:dyDescent="0.2">
      <c r="A2550" s="103"/>
      <c r="B2550" s="104"/>
      <c r="C2550" s="105"/>
      <c r="K2550" s="1"/>
      <c r="L2550" s="2"/>
    </row>
    <row r="2551" spans="1:12" x14ac:dyDescent="0.2">
      <c r="A2551" s="103"/>
      <c r="B2551" s="104"/>
      <c r="C2551" s="105"/>
      <c r="K2551" s="1"/>
      <c r="L2551" s="2"/>
    </row>
    <row r="2552" spans="1:12" x14ac:dyDescent="0.2">
      <c r="A2552" s="103"/>
      <c r="B2552" s="104"/>
      <c r="C2552" s="105"/>
      <c r="K2552" s="1"/>
      <c r="L2552" s="2"/>
    </row>
    <row r="2553" spans="1:12" x14ac:dyDescent="0.2">
      <c r="A2553" s="103"/>
      <c r="B2553" s="104"/>
      <c r="C2553" s="105"/>
      <c r="K2553" s="1"/>
      <c r="L2553" s="2"/>
    </row>
    <row r="2554" spans="1:12" x14ac:dyDescent="0.2">
      <c r="A2554" s="103"/>
      <c r="B2554" s="104"/>
      <c r="C2554" s="105"/>
      <c r="K2554" s="1"/>
      <c r="L2554" s="2"/>
    </row>
    <row r="2555" spans="1:12" x14ac:dyDescent="0.2">
      <c r="A2555" s="103"/>
      <c r="B2555" s="104"/>
      <c r="C2555" s="105"/>
      <c r="K2555" s="1"/>
      <c r="L2555" s="2"/>
    </row>
    <row r="2556" spans="1:12" x14ac:dyDescent="0.2">
      <c r="A2556" s="103"/>
      <c r="B2556" s="104"/>
      <c r="C2556" s="105"/>
      <c r="K2556" s="1"/>
      <c r="L2556" s="2"/>
    </row>
    <row r="2557" spans="1:12" x14ac:dyDescent="0.2">
      <c r="A2557" s="103"/>
      <c r="B2557" s="104"/>
      <c r="C2557" s="105"/>
      <c r="K2557" s="1"/>
      <c r="L2557" s="2"/>
    </row>
    <row r="2558" spans="1:12" x14ac:dyDescent="0.2">
      <c r="A2558" s="103"/>
      <c r="B2558" s="104"/>
      <c r="C2558" s="105"/>
      <c r="K2558" s="1"/>
      <c r="L2558" s="2"/>
    </row>
    <row r="2559" spans="1:12" x14ac:dyDescent="0.2">
      <c r="A2559" s="103"/>
      <c r="B2559" s="104"/>
      <c r="C2559" s="105"/>
      <c r="K2559" s="1"/>
      <c r="L2559" s="2"/>
    </row>
    <row r="2560" spans="1:12" x14ac:dyDescent="0.2">
      <c r="A2560" s="103"/>
      <c r="B2560" s="104"/>
      <c r="C2560" s="105"/>
      <c r="K2560" s="1"/>
      <c r="L2560" s="2"/>
    </row>
    <row r="2561" spans="1:12" x14ac:dyDescent="0.2">
      <c r="A2561" s="103"/>
      <c r="B2561" s="104"/>
      <c r="C2561" s="105"/>
      <c r="K2561" s="1"/>
      <c r="L2561" s="2"/>
    </row>
    <row r="2562" spans="1:12" x14ac:dyDescent="0.2">
      <c r="A2562" s="103"/>
      <c r="B2562" s="104"/>
      <c r="C2562" s="105"/>
      <c r="K2562" s="1"/>
      <c r="L2562" s="2"/>
    </row>
    <row r="2563" spans="1:12" x14ac:dyDescent="0.2">
      <c r="A2563" s="103"/>
      <c r="B2563" s="104"/>
      <c r="C2563" s="105"/>
      <c r="K2563" s="1"/>
      <c r="L2563" s="2"/>
    </row>
    <row r="2564" spans="1:12" x14ac:dyDescent="0.2">
      <c r="A2564" s="103"/>
      <c r="B2564" s="104"/>
      <c r="C2564" s="105"/>
      <c r="K2564" s="1"/>
      <c r="L2564" s="2"/>
    </row>
    <row r="2565" spans="1:12" x14ac:dyDescent="0.2">
      <c r="A2565" s="103"/>
      <c r="B2565" s="104"/>
      <c r="C2565" s="105"/>
      <c r="K2565" s="1"/>
      <c r="L2565" s="2"/>
    </row>
    <row r="2566" spans="1:12" x14ac:dyDescent="0.2">
      <c r="A2566" s="103"/>
      <c r="B2566" s="104"/>
      <c r="C2566" s="105"/>
      <c r="K2566" s="1"/>
      <c r="L2566" s="2"/>
    </row>
    <row r="2567" spans="1:12" x14ac:dyDescent="0.2">
      <c r="A2567" s="103"/>
      <c r="B2567" s="104"/>
      <c r="C2567" s="105"/>
      <c r="K2567" s="1"/>
      <c r="L2567" s="2"/>
    </row>
    <row r="2568" spans="1:12" x14ac:dyDescent="0.2">
      <c r="A2568" s="103"/>
      <c r="B2568" s="104"/>
      <c r="C2568" s="105"/>
      <c r="K2568" s="1"/>
      <c r="L2568" s="2"/>
    </row>
    <row r="2569" spans="1:12" x14ac:dyDescent="0.2">
      <c r="A2569" s="103"/>
      <c r="B2569" s="104"/>
      <c r="C2569" s="105"/>
      <c r="K2569" s="1"/>
      <c r="L2569" s="2"/>
    </row>
    <row r="2570" spans="1:12" x14ac:dyDescent="0.2">
      <c r="A2570" s="103"/>
      <c r="B2570" s="104"/>
      <c r="C2570" s="105"/>
      <c r="K2570" s="1"/>
      <c r="L2570" s="2"/>
    </row>
    <row r="2571" spans="1:12" x14ac:dyDescent="0.2">
      <c r="A2571" s="103"/>
      <c r="B2571" s="104"/>
      <c r="C2571" s="105"/>
      <c r="K2571" s="1"/>
      <c r="L2571" s="2"/>
    </row>
    <row r="2572" spans="1:12" x14ac:dyDescent="0.2">
      <c r="A2572" s="103"/>
      <c r="B2572" s="104"/>
      <c r="C2572" s="105"/>
      <c r="K2572" s="1"/>
      <c r="L2572" s="2"/>
    </row>
    <row r="2573" spans="1:12" x14ac:dyDescent="0.2">
      <c r="A2573" s="103"/>
      <c r="B2573" s="104"/>
      <c r="C2573" s="105"/>
      <c r="K2573" s="1"/>
      <c r="L2573" s="2"/>
    </row>
    <row r="2574" spans="1:12" x14ac:dyDescent="0.2">
      <c r="A2574" s="103"/>
      <c r="B2574" s="104"/>
      <c r="C2574" s="105"/>
      <c r="K2574" s="1"/>
      <c r="L2574" s="2"/>
    </row>
    <row r="2575" spans="1:12" x14ac:dyDescent="0.2">
      <c r="A2575" s="103"/>
      <c r="B2575" s="104"/>
      <c r="C2575" s="105"/>
      <c r="K2575" s="1"/>
      <c r="L2575" s="2"/>
    </row>
    <row r="2576" spans="1:12" x14ac:dyDescent="0.2">
      <c r="A2576" s="103"/>
      <c r="B2576" s="104"/>
      <c r="C2576" s="105"/>
      <c r="K2576" s="1"/>
      <c r="L2576" s="2"/>
    </row>
    <row r="2577" spans="1:12" x14ac:dyDescent="0.2">
      <c r="A2577" s="103"/>
      <c r="B2577" s="104"/>
      <c r="C2577" s="105"/>
      <c r="K2577" s="1"/>
      <c r="L2577" s="2"/>
    </row>
    <row r="2578" spans="1:12" x14ac:dyDescent="0.2">
      <c r="A2578" s="103"/>
      <c r="B2578" s="104"/>
      <c r="C2578" s="105"/>
      <c r="K2578" s="1"/>
      <c r="L2578" s="2"/>
    </row>
    <row r="2579" spans="1:12" x14ac:dyDescent="0.2">
      <c r="A2579" s="103"/>
      <c r="B2579" s="104"/>
      <c r="C2579" s="105"/>
      <c r="K2579" s="1"/>
      <c r="L2579" s="2"/>
    </row>
    <row r="2580" spans="1:12" x14ac:dyDescent="0.2">
      <c r="A2580" s="103"/>
      <c r="B2580" s="104"/>
      <c r="C2580" s="105"/>
      <c r="K2580" s="1"/>
      <c r="L2580" s="2"/>
    </row>
    <row r="2581" spans="1:12" x14ac:dyDescent="0.2">
      <c r="A2581" s="103"/>
      <c r="B2581" s="104"/>
      <c r="C2581" s="105"/>
      <c r="K2581" s="1"/>
      <c r="L2581" s="2"/>
    </row>
    <row r="2582" spans="1:12" x14ac:dyDescent="0.2">
      <c r="A2582" s="103"/>
      <c r="B2582" s="104"/>
      <c r="C2582" s="105"/>
      <c r="K2582" s="1"/>
      <c r="L2582" s="2"/>
    </row>
    <row r="2583" spans="1:12" x14ac:dyDescent="0.2">
      <c r="A2583" s="103"/>
      <c r="B2583" s="104"/>
      <c r="C2583" s="105"/>
      <c r="K2583" s="1"/>
      <c r="L2583" s="2"/>
    </row>
    <row r="2584" spans="1:12" x14ac:dyDescent="0.2">
      <c r="A2584" s="103"/>
      <c r="B2584" s="104"/>
      <c r="C2584" s="105"/>
      <c r="K2584" s="1"/>
      <c r="L2584" s="2"/>
    </row>
    <row r="2585" spans="1:12" x14ac:dyDescent="0.2">
      <c r="A2585" s="103"/>
      <c r="B2585" s="104"/>
      <c r="C2585" s="105"/>
      <c r="K2585" s="1"/>
      <c r="L2585" s="2"/>
    </row>
    <row r="2586" spans="1:12" x14ac:dyDescent="0.2">
      <c r="A2586" s="103"/>
      <c r="B2586" s="104"/>
      <c r="C2586" s="105"/>
      <c r="K2586" s="1"/>
      <c r="L2586" s="2"/>
    </row>
    <row r="2587" spans="1:12" x14ac:dyDescent="0.2">
      <c r="A2587" s="103"/>
      <c r="B2587" s="104"/>
      <c r="C2587" s="105"/>
      <c r="K2587" s="1"/>
      <c r="L2587" s="2"/>
    </row>
    <row r="2588" spans="1:12" x14ac:dyDescent="0.2">
      <c r="A2588" s="103"/>
      <c r="B2588" s="104"/>
      <c r="C2588" s="105"/>
      <c r="K2588" s="1"/>
      <c r="L2588" s="2"/>
    </row>
    <row r="2589" spans="1:12" x14ac:dyDescent="0.2">
      <c r="A2589" s="103"/>
      <c r="B2589" s="104"/>
      <c r="C2589" s="105"/>
      <c r="K2589" s="1"/>
      <c r="L2589" s="2"/>
    </row>
    <row r="2590" spans="1:12" x14ac:dyDescent="0.2">
      <c r="A2590" s="103"/>
      <c r="B2590" s="104"/>
      <c r="C2590" s="105"/>
      <c r="K2590" s="1"/>
      <c r="L2590" s="2"/>
    </row>
    <row r="2591" spans="1:12" x14ac:dyDescent="0.2">
      <c r="A2591" s="103"/>
      <c r="B2591" s="104"/>
      <c r="C2591" s="105"/>
      <c r="K2591" s="1"/>
      <c r="L2591" s="2"/>
    </row>
    <row r="2592" spans="1:12" x14ac:dyDescent="0.2">
      <c r="A2592" s="103"/>
      <c r="B2592" s="104"/>
      <c r="C2592" s="105"/>
      <c r="K2592" s="1"/>
      <c r="L2592" s="2"/>
    </row>
    <row r="2593" spans="1:12" x14ac:dyDescent="0.2">
      <c r="A2593" s="103"/>
      <c r="B2593" s="104"/>
      <c r="C2593" s="105"/>
      <c r="K2593" s="1"/>
      <c r="L2593" s="2"/>
    </row>
    <row r="2594" spans="1:12" x14ac:dyDescent="0.2">
      <c r="A2594" s="103"/>
      <c r="B2594" s="104"/>
      <c r="C2594" s="105"/>
      <c r="K2594" s="1"/>
      <c r="L2594" s="2"/>
    </row>
    <row r="2595" spans="1:12" x14ac:dyDescent="0.2">
      <c r="A2595" s="103"/>
      <c r="B2595" s="104"/>
      <c r="C2595" s="105"/>
      <c r="K2595" s="1"/>
      <c r="L2595" s="2"/>
    </row>
    <row r="2596" spans="1:12" x14ac:dyDescent="0.2">
      <c r="A2596" s="103"/>
      <c r="B2596" s="104"/>
      <c r="C2596" s="105"/>
      <c r="K2596" s="1"/>
      <c r="L2596" s="2"/>
    </row>
    <row r="2597" spans="1:12" x14ac:dyDescent="0.2">
      <c r="A2597" s="103"/>
      <c r="B2597" s="104"/>
      <c r="C2597" s="105"/>
      <c r="K2597" s="1"/>
      <c r="L2597" s="2"/>
    </row>
    <row r="2598" spans="1:12" x14ac:dyDescent="0.2">
      <c r="A2598" s="103"/>
      <c r="B2598" s="104"/>
      <c r="C2598" s="105"/>
      <c r="K2598" s="1"/>
      <c r="L2598" s="2"/>
    </row>
    <row r="2599" spans="1:12" x14ac:dyDescent="0.2">
      <c r="A2599" s="103"/>
      <c r="B2599" s="104"/>
      <c r="C2599" s="105"/>
      <c r="K2599" s="1"/>
      <c r="L2599" s="2"/>
    </row>
    <row r="2600" spans="1:12" x14ac:dyDescent="0.2">
      <c r="A2600" s="103"/>
      <c r="B2600" s="104"/>
      <c r="C2600" s="105"/>
      <c r="K2600" s="1"/>
      <c r="L2600" s="2"/>
    </row>
    <row r="2601" spans="1:12" x14ac:dyDescent="0.2">
      <c r="A2601" s="103"/>
      <c r="B2601" s="104"/>
      <c r="C2601" s="105"/>
      <c r="K2601" s="1"/>
      <c r="L2601" s="2"/>
    </row>
    <row r="2602" spans="1:12" x14ac:dyDescent="0.2">
      <c r="A2602" s="103"/>
      <c r="B2602" s="104"/>
      <c r="C2602" s="105"/>
      <c r="K2602" s="1"/>
      <c r="L2602" s="2"/>
    </row>
    <row r="2603" spans="1:12" x14ac:dyDescent="0.2">
      <c r="A2603" s="103"/>
      <c r="B2603" s="104"/>
      <c r="C2603" s="105"/>
      <c r="K2603" s="1"/>
      <c r="L2603" s="2"/>
    </row>
    <row r="2604" spans="1:12" x14ac:dyDescent="0.2">
      <c r="A2604" s="103"/>
      <c r="B2604" s="104"/>
      <c r="C2604" s="105"/>
      <c r="K2604" s="1"/>
      <c r="L2604" s="2"/>
    </row>
    <row r="2605" spans="1:12" x14ac:dyDescent="0.2">
      <c r="A2605" s="103"/>
      <c r="B2605" s="104"/>
      <c r="C2605" s="105"/>
      <c r="K2605" s="1"/>
      <c r="L2605" s="2"/>
    </row>
    <row r="2606" spans="1:12" x14ac:dyDescent="0.2">
      <c r="A2606" s="103"/>
      <c r="B2606" s="104"/>
      <c r="C2606" s="105"/>
      <c r="K2606" s="1"/>
      <c r="L2606" s="2"/>
    </row>
    <row r="2607" spans="1:12" x14ac:dyDescent="0.2">
      <c r="A2607" s="103"/>
      <c r="B2607" s="104"/>
      <c r="C2607" s="105"/>
      <c r="K2607" s="1"/>
      <c r="L2607" s="2"/>
    </row>
    <row r="2608" spans="1:12" x14ac:dyDescent="0.2">
      <c r="A2608" s="103"/>
      <c r="B2608" s="104"/>
      <c r="C2608" s="105"/>
      <c r="K2608" s="1"/>
      <c r="L2608" s="2"/>
    </row>
    <row r="2609" spans="1:12" x14ac:dyDescent="0.2">
      <c r="A2609" s="103"/>
      <c r="B2609" s="104"/>
      <c r="C2609" s="105"/>
      <c r="K2609" s="1"/>
      <c r="L2609" s="2"/>
    </row>
    <row r="2610" spans="1:12" x14ac:dyDescent="0.2">
      <c r="A2610" s="103"/>
      <c r="B2610" s="104"/>
      <c r="C2610" s="105"/>
      <c r="K2610" s="1"/>
      <c r="L2610" s="2"/>
    </row>
    <row r="2611" spans="1:12" x14ac:dyDescent="0.2">
      <c r="A2611" s="103"/>
      <c r="B2611" s="104"/>
      <c r="C2611" s="105"/>
      <c r="K2611" s="1"/>
      <c r="L2611" s="2"/>
    </row>
    <row r="2612" spans="1:12" x14ac:dyDescent="0.2">
      <c r="A2612" s="103"/>
      <c r="B2612" s="104"/>
      <c r="C2612" s="105"/>
      <c r="K2612" s="1"/>
      <c r="L2612" s="2"/>
    </row>
    <row r="2613" spans="1:12" x14ac:dyDescent="0.2">
      <c r="A2613" s="103"/>
      <c r="B2613" s="104"/>
      <c r="C2613" s="105"/>
      <c r="K2613" s="1"/>
      <c r="L2613" s="2"/>
    </row>
    <row r="2614" spans="1:12" x14ac:dyDescent="0.2">
      <c r="A2614" s="103"/>
      <c r="B2614" s="104"/>
      <c r="C2614" s="105"/>
      <c r="K2614" s="1"/>
      <c r="L2614" s="2"/>
    </row>
    <row r="2615" spans="1:12" x14ac:dyDescent="0.2">
      <c r="A2615" s="103"/>
      <c r="B2615" s="104"/>
      <c r="C2615" s="105"/>
      <c r="K2615" s="1"/>
      <c r="L2615" s="2"/>
    </row>
    <row r="2616" spans="1:12" x14ac:dyDescent="0.2">
      <c r="A2616" s="103"/>
      <c r="B2616" s="104"/>
      <c r="C2616" s="105"/>
      <c r="K2616" s="1"/>
      <c r="L2616" s="2"/>
    </row>
    <row r="2617" spans="1:12" x14ac:dyDescent="0.2">
      <c r="A2617" s="103"/>
      <c r="B2617" s="104"/>
      <c r="C2617" s="105"/>
      <c r="K2617" s="1"/>
      <c r="L2617" s="2"/>
    </row>
    <row r="2618" spans="1:12" x14ac:dyDescent="0.2">
      <c r="A2618" s="103"/>
      <c r="B2618" s="104"/>
      <c r="C2618" s="105"/>
      <c r="K2618" s="1"/>
      <c r="L2618" s="2"/>
    </row>
    <row r="2619" spans="1:12" x14ac:dyDescent="0.2">
      <c r="A2619" s="103"/>
      <c r="B2619" s="104"/>
      <c r="C2619" s="105"/>
      <c r="K2619" s="1"/>
      <c r="L2619" s="2"/>
    </row>
    <row r="2620" spans="1:12" x14ac:dyDescent="0.2">
      <c r="A2620" s="103"/>
      <c r="B2620" s="104"/>
      <c r="C2620" s="105"/>
      <c r="K2620" s="1"/>
      <c r="L2620" s="2"/>
    </row>
    <row r="2621" spans="1:12" x14ac:dyDescent="0.2">
      <c r="A2621" s="103"/>
      <c r="B2621" s="104"/>
      <c r="C2621" s="105"/>
      <c r="K2621" s="1"/>
      <c r="L2621" s="2"/>
    </row>
    <row r="2622" spans="1:12" x14ac:dyDescent="0.2">
      <c r="A2622" s="103"/>
      <c r="B2622" s="104"/>
      <c r="C2622" s="105"/>
      <c r="K2622" s="1"/>
      <c r="L2622" s="2"/>
    </row>
    <row r="2623" spans="1:12" x14ac:dyDescent="0.2">
      <c r="A2623" s="103"/>
      <c r="B2623" s="104"/>
      <c r="C2623" s="105"/>
      <c r="K2623" s="1"/>
      <c r="L2623" s="2"/>
    </row>
    <row r="2624" spans="1:12" x14ac:dyDescent="0.2">
      <c r="A2624" s="103"/>
      <c r="B2624" s="104"/>
      <c r="C2624" s="105"/>
      <c r="K2624" s="1"/>
      <c r="L2624" s="2"/>
    </row>
    <row r="2625" spans="1:12" x14ac:dyDescent="0.2">
      <c r="A2625" s="103"/>
      <c r="B2625" s="104"/>
      <c r="C2625" s="105"/>
      <c r="K2625" s="1"/>
      <c r="L2625" s="2"/>
    </row>
    <row r="2626" spans="1:12" x14ac:dyDescent="0.2">
      <c r="A2626" s="103"/>
      <c r="B2626" s="104"/>
      <c r="C2626" s="105"/>
      <c r="K2626" s="1"/>
      <c r="L2626" s="2"/>
    </row>
    <row r="2627" spans="1:12" x14ac:dyDescent="0.2">
      <c r="A2627" s="103"/>
      <c r="B2627" s="104"/>
      <c r="C2627" s="105"/>
      <c r="K2627" s="1"/>
      <c r="L2627" s="2"/>
    </row>
    <row r="2628" spans="1:12" x14ac:dyDescent="0.2">
      <c r="A2628" s="103"/>
      <c r="B2628" s="104"/>
      <c r="C2628" s="105"/>
      <c r="K2628" s="1"/>
      <c r="L2628" s="2"/>
    </row>
    <row r="2629" spans="1:12" x14ac:dyDescent="0.2">
      <c r="A2629" s="103"/>
      <c r="B2629" s="104"/>
      <c r="C2629" s="105"/>
      <c r="K2629" s="1"/>
      <c r="L2629" s="2"/>
    </row>
    <row r="2630" spans="1:12" x14ac:dyDescent="0.2">
      <c r="A2630" s="103"/>
      <c r="B2630" s="104"/>
      <c r="C2630" s="105"/>
      <c r="K2630" s="1"/>
      <c r="L2630" s="2"/>
    </row>
    <row r="2631" spans="1:12" x14ac:dyDescent="0.2">
      <c r="A2631" s="103"/>
      <c r="B2631" s="104"/>
      <c r="C2631" s="105"/>
      <c r="K2631" s="1"/>
      <c r="L2631" s="2"/>
    </row>
    <row r="2632" spans="1:12" x14ac:dyDescent="0.2">
      <c r="A2632" s="103"/>
      <c r="B2632" s="104"/>
      <c r="C2632" s="105"/>
      <c r="K2632" s="1"/>
      <c r="L2632" s="2"/>
    </row>
    <row r="2633" spans="1:12" x14ac:dyDescent="0.2">
      <c r="A2633" s="103"/>
      <c r="B2633" s="104"/>
      <c r="C2633" s="105"/>
      <c r="K2633" s="1"/>
      <c r="L2633" s="2"/>
    </row>
    <row r="2634" spans="1:12" x14ac:dyDescent="0.2">
      <c r="A2634" s="103"/>
      <c r="B2634" s="104"/>
      <c r="C2634" s="105"/>
      <c r="K2634" s="1"/>
      <c r="L2634" s="2"/>
    </row>
    <row r="2635" spans="1:12" x14ac:dyDescent="0.2">
      <c r="A2635" s="103"/>
      <c r="B2635" s="104"/>
      <c r="C2635" s="105"/>
      <c r="K2635" s="1"/>
      <c r="L2635" s="2"/>
    </row>
    <row r="2636" spans="1:12" x14ac:dyDescent="0.2">
      <c r="A2636" s="103"/>
      <c r="B2636" s="104"/>
      <c r="C2636" s="105"/>
      <c r="K2636" s="1"/>
      <c r="L2636" s="2"/>
    </row>
    <row r="2637" spans="1:12" x14ac:dyDescent="0.2">
      <c r="A2637" s="103"/>
      <c r="B2637" s="104"/>
      <c r="C2637" s="105"/>
      <c r="K2637" s="1"/>
      <c r="L2637" s="2"/>
    </row>
    <row r="2638" spans="1:12" x14ac:dyDescent="0.2">
      <c r="A2638" s="103"/>
      <c r="B2638" s="104"/>
      <c r="C2638" s="105"/>
      <c r="K2638" s="1"/>
      <c r="L2638" s="2"/>
    </row>
    <row r="2639" spans="1:12" x14ac:dyDescent="0.2">
      <c r="A2639" s="103"/>
      <c r="B2639" s="104"/>
      <c r="C2639" s="105"/>
      <c r="K2639" s="1"/>
      <c r="L2639" s="2"/>
    </row>
    <row r="2640" spans="1:12" x14ac:dyDescent="0.2">
      <c r="A2640" s="103"/>
      <c r="B2640" s="104"/>
      <c r="C2640" s="105"/>
      <c r="K2640" s="1"/>
      <c r="L2640" s="2"/>
    </row>
    <row r="2641" spans="1:12" x14ac:dyDescent="0.2">
      <c r="A2641" s="103"/>
      <c r="B2641" s="104"/>
      <c r="C2641" s="105"/>
      <c r="K2641" s="1"/>
      <c r="L2641" s="2"/>
    </row>
    <row r="2642" spans="1:12" x14ac:dyDescent="0.2">
      <c r="A2642" s="103"/>
      <c r="B2642" s="104"/>
      <c r="C2642" s="105"/>
      <c r="K2642" s="1"/>
      <c r="L2642" s="2"/>
    </row>
    <row r="2643" spans="1:12" x14ac:dyDescent="0.2">
      <c r="A2643" s="103"/>
      <c r="B2643" s="104"/>
      <c r="C2643" s="105"/>
      <c r="K2643" s="1"/>
      <c r="L2643" s="2"/>
    </row>
    <row r="2644" spans="1:12" x14ac:dyDescent="0.2">
      <c r="A2644" s="103"/>
      <c r="B2644" s="104"/>
      <c r="C2644" s="105"/>
      <c r="K2644" s="1"/>
      <c r="L2644" s="2"/>
    </row>
    <row r="2645" spans="1:12" x14ac:dyDescent="0.2">
      <c r="A2645" s="103"/>
      <c r="B2645" s="104"/>
      <c r="C2645" s="105"/>
      <c r="K2645" s="1"/>
      <c r="L2645" s="2"/>
    </row>
    <row r="2646" spans="1:12" x14ac:dyDescent="0.2">
      <c r="A2646" s="103"/>
      <c r="B2646" s="104"/>
      <c r="C2646" s="105"/>
      <c r="K2646" s="1"/>
      <c r="L2646" s="2"/>
    </row>
    <row r="2647" spans="1:12" x14ac:dyDescent="0.2">
      <c r="A2647" s="103"/>
      <c r="B2647" s="104"/>
      <c r="C2647" s="105"/>
      <c r="K2647" s="1"/>
      <c r="L2647" s="2"/>
    </row>
    <row r="2648" spans="1:12" x14ac:dyDescent="0.2">
      <c r="A2648" s="103"/>
      <c r="B2648" s="104"/>
      <c r="C2648" s="105"/>
      <c r="K2648" s="1"/>
      <c r="L2648" s="2"/>
    </row>
    <row r="2649" spans="1:12" x14ac:dyDescent="0.2">
      <c r="A2649" s="103"/>
      <c r="B2649" s="104"/>
      <c r="C2649" s="105"/>
      <c r="K2649" s="1"/>
      <c r="L2649" s="2"/>
    </row>
    <row r="2650" spans="1:12" x14ac:dyDescent="0.2">
      <c r="A2650" s="103"/>
      <c r="B2650" s="104"/>
      <c r="C2650" s="105"/>
      <c r="K2650" s="1"/>
      <c r="L2650" s="2"/>
    </row>
    <row r="2651" spans="1:12" x14ac:dyDescent="0.2">
      <c r="A2651" s="103"/>
      <c r="B2651" s="104"/>
      <c r="C2651" s="105"/>
      <c r="K2651" s="1"/>
      <c r="L2651" s="2"/>
    </row>
    <row r="2652" spans="1:12" x14ac:dyDescent="0.2">
      <c r="A2652" s="103"/>
      <c r="B2652" s="104"/>
      <c r="C2652" s="105"/>
      <c r="K2652" s="1"/>
      <c r="L2652" s="2"/>
    </row>
    <row r="2653" spans="1:12" x14ac:dyDescent="0.2">
      <c r="A2653" s="103"/>
      <c r="B2653" s="104"/>
      <c r="C2653" s="105"/>
      <c r="K2653" s="1"/>
      <c r="L2653" s="2"/>
    </row>
    <row r="2654" spans="1:12" x14ac:dyDescent="0.2">
      <c r="A2654" s="103"/>
      <c r="B2654" s="104"/>
      <c r="C2654" s="105"/>
      <c r="K2654" s="1"/>
      <c r="L2654" s="2"/>
    </row>
    <row r="2655" spans="1:12" x14ac:dyDescent="0.2">
      <c r="A2655" s="103"/>
      <c r="B2655" s="104"/>
      <c r="C2655" s="105"/>
      <c r="K2655" s="1"/>
      <c r="L2655" s="2"/>
    </row>
    <row r="2656" spans="1:12" x14ac:dyDescent="0.2">
      <c r="A2656" s="103"/>
      <c r="B2656" s="104"/>
      <c r="C2656" s="105"/>
      <c r="K2656" s="1"/>
      <c r="L2656" s="2"/>
    </row>
    <row r="2657" spans="1:12" x14ac:dyDescent="0.2">
      <c r="A2657" s="103"/>
      <c r="B2657" s="104"/>
      <c r="C2657" s="105"/>
      <c r="K2657" s="1"/>
      <c r="L2657" s="2"/>
    </row>
    <row r="2658" spans="1:12" x14ac:dyDescent="0.2">
      <c r="A2658" s="103"/>
      <c r="B2658" s="104"/>
      <c r="C2658" s="105"/>
      <c r="K2658" s="1"/>
      <c r="L2658" s="2"/>
    </row>
    <row r="2659" spans="1:12" x14ac:dyDescent="0.2">
      <c r="A2659" s="103"/>
      <c r="B2659" s="104"/>
      <c r="C2659" s="105"/>
      <c r="K2659" s="1"/>
      <c r="L2659" s="2"/>
    </row>
    <row r="2660" spans="1:12" x14ac:dyDescent="0.2">
      <c r="A2660" s="103"/>
      <c r="B2660" s="104"/>
      <c r="C2660" s="105"/>
      <c r="K2660" s="1"/>
      <c r="L2660" s="2"/>
    </row>
    <row r="2661" spans="1:12" x14ac:dyDescent="0.2">
      <c r="A2661" s="103"/>
      <c r="B2661" s="104"/>
      <c r="C2661" s="105"/>
      <c r="K2661" s="1"/>
      <c r="L2661" s="2"/>
    </row>
    <row r="2662" spans="1:12" x14ac:dyDescent="0.2">
      <c r="A2662" s="103"/>
      <c r="B2662" s="104"/>
      <c r="C2662" s="105"/>
      <c r="K2662" s="1"/>
      <c r="L2662" s="2"/>
    </row>
    <row r="2663" spans="1:12" x14ac:dyDescent="0.2">
      <c r="A2663" s="103"/>
      <c r="B2663" s="104"/>
      <c r="C2663" s="105"/>
      <c r="K2663" s="1"/>
      <c r="L2663" s="2"/>
    </row>
    <row r="2664" spans="1:12" x14ac:dyDescent="0.2">
      <c r="A2664" s="103"/>
      <c r="B2664" s="104"/>
      <c r="C2664" s="105"/>
      <c r="K2664" s="1"/>
      <c r="L2664" s="2"/>
    </row>
    <row r="2665" spans="1:12" x14ac:dyDescent="0.2">
      <c r="A2665" s="103"/>
      <c r="B2665" s="104"/>
      <c r="C2665" s="105"/>
      <c r="K2665" s="1"/>
      <c r="L2665" s="2"/>
    </row>
    <row r="2666" spans="1:12" x14ac:dyDescent="0.2">
      <c r="A2666" s="103"/>
      <c r="B2666" s="104"/>
      <c r="C2666" s="105"/>
      <c r="K2666" s="1"/>
      <c r="L2666" s="2"/>
    </row>
    <row r="2667" spans="1:12" x14ac:dyDescent="0.2">
      <c r="A2667" s="103"/>
      <c r="B2667" s="104"/>
      <c r="C2667" s="105"/>
      <c r="K2667" s="1"/>
      <c r="L2667" s="2"/>
    </row>
    <row r="2668" spans="1:12" x14ac:dyDescent="0.2">
      <c r="A2668" s="103"/>
      <c r="B2668" s="104"/>
      <c r="C2668" s="105"/>
      <c r="K2668" s="1"/>
      <c r="L2668" s="2"/>
    </row>
    <row r="2669" spans="1:12" x14ac:dyDescent="0.2">
      <c r="A2669" s="103"/>
      <c r="B2669" s="104"/>
      <c r="C2669" s="105"/>
      <c r="K2669" s="1"/>
      <c r="L2669" s="2"/>
    </row>
    <row r="2670" spans="1:12" x14ac:dyDescent="0.2">
      <c r="A2670" s="103"/>
      <c r="B2670" s="104"/>
      <c r="C2670" s="105"/>
      <c r="K2670" s="1"/>
      <c r="L2670" s="2"/>
    </row>
    <row r="2671" spans="1:12" x14ac:dyDescent="0.2">
      <c r="A2671" s="103"/>
      <c r="B2671" s="104"/>
      <c r="C2671" s="105"/>
      <c r="K2671" s="1"/>
      <c r="L2671" s="2"/>
    </row>
    <row r="2672" spans="1:12" x14ac:dyDescent="0.2">
      <c r="A2672" s="103"/>
      <c r="B2672" s="104"/>
      <c r="C2672" s="105"/>
      <c r="K2672" s="1"/>
      <c r="L2672" s="2"/>
    </row>
    <row r="2673" spans="1:12" x14ac:dyDescent="0.2">
      <c r="A2673" s="103"/>
      <c r="B2673" s="104"/>
      <c r="C2673" s="105"/>
      <c r="K2673" s="1"/>
      <c r="L2673" s="2"/>
    </row>
    <row r="2674" spans="1:12" x14ac:dyDescent="0.2">
      <c r="A2674" s="103"/>
      <c r="B2674" s="104"/>
      <c r="C2674" s="105"/>
      <c r="K2674" s="1"/>
      <c r="L2674" s="2"/>
    </row>
    <row r="2675" spans="1:12" x14ac:dyDescent="0.2">
      <c r="A2675" s="103"/>
      <c r="B2675" s="104"/>
      <c r="C2675" s="105"/>
      <c r="K2675" s="1"/>
      <c r="L2675" s="2"/>
    </row>
    <row r="2676" spans="1:12" x14ac:dyDescent="0.2">
      <c r="A2676" s="103"/>
      <c r="B2676" s="104"/>
      <c r="C2676" s="105"/>
      <c r="K2676" s="1"/>
      <c r="L2676" s="2"/>
    </row>
    <row r="2677" spans="1:12" x14ac:dyDescent="0.2">
      <c r="A2677" s="103"/>
      <c r="B2677" s="104"/>
      <c r="C2677" s="105"/>
      <c r="K2677" s="1"/>
      <c r="L2677" s="2"/>
    </row>
    <row r="2678" spans="1:12" x14ac:dyDescent="0.2">
      <c r="A2678" s="103"/>
      <c r="B2678" s="104"/>
      <c r="C2678" s="105"/>
      <c r="K2678" s="1"/>
      <c r="L2678" s="2"/>
    </row>
    <row r="2679" spans="1:12" x14ac:dyDescent="0.2">
      <c r="A2679" s="103"/>
      <c r="B2679" s="104"/>
      <c r="C2679" s="105"/>
      <c r="K2679" s="1"/>
      <c r="L2679" s="2"/>
    </row>
    <row r="2680" spans="1:12" x14ac:dyDescent="0.2">
      <c r="A2680" s="103"/>
      <c r="B2680" s="104"/>
      <c r="C2680" s="105"/>
      <c r="K2680" s="1"/>
      <c r="L2680" s="2"/>
    </row>
    <row r="2681" spans="1:12" x14ac:dyDescent="0.2">
      <c r="A2681" s="103"/>
      <c r="B2681" s="104"/>
      <c r="C2681" s="105"/>
      <c r="K2681" s="1"/>
      <c r="L2681" s="2"/>
    </row>
    <row r="2682" spans="1:12" x14ac:dyDescent="0.2">
      <c r="A2682" s="103"/>
      <c r="B2682" s="104"/>
      <c r="C2682" s="105"/>
      <c r="K2682" s="1"/>
      <c r="L2682" s="2"/>
    </row>
    <row r="2683" spans="1:12" x14ac:dyDescent="0.2">
      <c r="A2683" s="103"/>
      <c r="B2683" s="104"/>
      <c r="C2683" s="105"/>
      <c r="K2683" s="1"/>
      <c r="L2683" s="2"/>
    </row>
    <row r="2684" spans="1:12" x14ac:dyDescent="0.2">
      <c r="A2684" s="103"/>
      <c r="B2684" s="104"/>
      <c r="C2684" s="105"/>
      <c r="K2684" s="1"/>
      <c r="L2684" s="2"/>
    </row>
    <row r="2685" spans="1:12" x14ac:dyDescent="0.2">
      <c r="A2685" s="103"/>
      <c r="B2685" s="104"/>
      <c r="C2685" s="105"/>
      <c r="K2685" s="1"/>
      <c r="L2685" s="2"/>
    </row>
    <row r="2686" spans="1:12" x14ac:dyDescent="0.2">
      <c r="A2686" s="103"/>
      <c r="B2686" s="104"/>
      <c r="C2686" s="105"/>
      <c r="K2686" s="1"/>
      <c r="L2686" s="2"/>
    </row>
    <row r="2687" spans="1:12" x14ac:dyDescent="0.2">
      <c r="A2687" s="103"/>
      <c r="B2687" s="104"/>
      <c r="C2687" s="105"/>
      <c r="K2687" s="1"/>
      <c r="L2687" s="2"/>
    </row>
    <row r="2688" spans="1:12" x14ac:dyDescent="0.2">
      <c r="A2688" s="103"/>
      <c r="B2688" s="104"/>
      <c r="C2688" s="105"/>
      <c r="K2688" s="1"/>
      <c r="L2688" s="2"/>
    </row>
    <row r="2689" spans="1:12" x14ac:dyDescent="0.2">
      <c r="A2689" s="103"/>
      <c r="B2689" s="104"/>
      <c r="C2689" s="105"/>
      <c r="K2689" s="1"/>
      <c r="L2689" s="2"/>
    </row>
    <row r="2690" spans="1:12" x14ac:dyDescent="0.2">
      <c r="A2690" s="103"/>
      <c r="B2690" s="104"/>
      <c r="C2690" s="105"/>
      <c r="K2690" s="1"/>
      <c r="L2690" s="2"/>
    </row>
    <row r="2691" spans="1:12" x14ac:dyDescent="0.2">
      <c r="A2691" s="103"/>
      <c r="B2691" s="104"/>
      <c r="C2691" s="105"/>
      <c r="K2691" s="1"/>
      <c r="L2691" s="2"/>
    </row>
    <row r="2692" spans="1:12" x14ac:dyDescent="0.2">
      <c r="A2692" s="103"/>
      <c r="B2692" s="104"/>
      <c r="C2692" s="105"/>
      <c r="K2692" s="1"/>
      <c r="L2692" s="2"/>
    </row>
    <row r="2693" spans="1:12" x14ac:dyDescent="0.2">
      <c r="A2693" s="103"/>
      <c r="B2693" s="104"/>
      <c r="C2693" s="105"/>
      <c r="K2693" s="1"/>
      <c r="L2693" s="2"/>
    </row>
    <row r="2694" spans="1:12" x14ac:dyDescent="0.2">
      <c r="A2694" s="103"/>
      <c r="B2694" s="104"/>
      <c r="C2694" s="105"/>
      <c r="K2694" s="1"/>
      <c r="L2694" s="2"/>
    </row>
    <row r="2695" spans="1:12" x14ac:dyDescent="0.2">
      <c r="A2695" s="103"/>
      <c r="B2695" s="104"/>
      <c r="C2695" s="105"/>
      <c r="K2695" s="1"/>
      <c r="L2695" s="2"/>
    </row>
    <row r="2696" spans="1:12" x14ac:dyDescent="0.2">
      <c r="A2696" s="103"/>
      <c r="B2696" s="104"/>
      <c r="C2696" s="105"/>
      <c r="K2696" s="1"/>
      <c r="L2696" s="2"/>
    </row>
    <row r="2697" spans="1:12" x14ac:dyDescent="0.2">
      <c r="A2697" s="103"/>
      <c r="B2697" s="104"/>
      <c r="C2697" s="105"/>
      <c r="K2697" s="1"/>
      <c r="L2697" s="2"/>
    </row>
    <row r="2698" spans="1:12" x14ac:dyDescent="0.2">
      <c r="A2698" s="103"/>
      <c r="B2698" s="104"/>
      <c r="C2698" s="105"/>
      <c r="K2698" s="1"/>
      <c r="L2698" s="2"/>
    </row>
    <row r="2699" spans="1:12" x14ac:dyDescent="0.2">
      <c r="A2699" s="103"/>
      <c r="B2699" s="104"/>
      <c r="C2699" s="105"/>
      <c r="K2699" s="1"/>
      <c r="L2699" s="2"/>
    </row>
    <row r="2700" spans="1:12" x14ac:dyDescent="0.2">
      <c r="A2700" s="103"/>
      <c r="B2700" s="104"/>
      <c r="C2700" s="105"/>
      <c r="K2700" s="1"/>
      <c r="L2700" s="2"/>
    </row>
    <row r="2701" spans="1:12" x14ac:dyDescent="0.2">
      <c r="A2701" s="103"/>
      <c r="B2701" s="104"/>
      <c r="C2701" s="105"/>
      <c r="K2701" s="1"/>
      <c r="L2701" s="2"/>
    </row>
    <row r="2702" spans="1:12" x14ac:dyDescent="0.2">
      <c r="A2702" s="103"/>
      <c r="B2702" s="104"/>
      <c r="C2702" s="105"/>
      <c r="K2702" s="1"/>
      <c r="L2702" s="2"/>
    </row>
    <row r="2703" spans="1:12" x14ac:dyDescent="0.2">
      <c r="A2703" s="103"/>
      <c r="B2703" s="104"/>
      <c r="C2703" s="105"/>
      <c r="K2703" s="1"/>
      <c r="L2703" s="2"/>
    </row>
    <row r="2704" spans="1:12" x14ac:dyDescent="0.2">
      <c r="A2704" s="103"/>
      <c r="B2704" s="104"/>
      <c r="C2704" s="105"/>
      <c r="K2704" s="1"/>
      <c r="L2704" s="2"/>
    </row>
    <row r="2705" spans="1:12" x14ac:dyDescent="0.2">
      <c r="A2705" s="103"/>
      <c r="B2705" s="104"/>
      <c r="C2705" s="105"/>
      <c r="K2705" s="1"/>
      <c r="L2705" s="2"/>
    </row>
    <row r="2706" spans="1:12" x14ac:dyDescent="0.2">
      <c r="A2706" s="103"/>
      <c r="B2706" s="104"/>
      <c r="C2706" s="105"/>
      <c r="K2706" s="1"/>
      <c r="L2706" s="2"/>
    </row>
    <row r="2707" spans="1:12" x14ac:dyDescent="0.2">
      <c r="A2707" s="103"/>
      <c r="B2707" s="104"/>
      <c r="C2707" s="105"/>
      <c r="K2707" s="1"/>
      <c r="L2707" s="2"/>
    </row>
    <row r="2708" spans="1:12" x14ac:dyDescent="0.2">
      <c r="A2708" s="103"/>
      <c r="B2708" s="104"/>
      <c r="C2708" s="105"/>
      <c r="K2708" s="1"/>
      <c r="L2708" s="2"/>
    </row>
    <row r="2709" spans="1:12" x14ac:dyDescent="0.2">
      <c r="A2709" s="103"/>
      <c r="B2709" s="104"/>
      <c r="C2709" s="105"/>
      <c r="K2709" s="1"/>
      <c r="L2709" s="2"/>
    </row>
    <row r="2710" spans="1:12" x14ac:dyDescent="0.2">
      <c r="A2710" s="103"/>
      <c r="B2710" s="104"/>
      <c r="C2710" s="105"/>
      <c r="K2710" s="1"/>
      <c r="L2710" s="2"/>
    </row>
    <row r="2711" spans="1:12" x14ac:dyDescent="0.2">
      <c r="A2711" s="103"/>
      <c r="B2711" s="104"/>
      <c r="C2711" s="105"/>
      <c r="K2711" s="1"/>
      <c r="L2711" s="2"/>
    </row>
    <row r="2712" spans="1:12" x14ac:dyDescent="0.2">
      <c r="A2712" s="103"/>
      <c r="B2712" s="104"/>
      <c r="C2712" s="105"/>
      <c r="K2712" s="1"/>
      <c r="L2712" s="2"/>
    </row>
    <row r="2713" spans="1:12" x14ac:dyDescent="0.2">
      <c r="A2713" s="103"/>
      <c r="B2713" s="104"/>
      <c r="C2713" s="105"/>
      <c r="K2713" s="1"/>
      <c r="L2713" s="2"/>
    </row>
    <row r="2714" spans="1:12" x14ac:dyDescent="0.2">
      <c r="A2714" s="103"/>
      <c r="B2714" s="104"/>
      <c r="C2714" s="105"/>
      <c r="K2714" s="1"/>
      <c r="L2714" s="2"/>
    </row>
    <row r="2715" spans="1:12" x14ac:dyDescent="0.2">
      <c r="A2715" s="103"/>
      <c r="B2715" s="104"/>
      <c r="C2715" s="105"/>
      <c r="K2715" s="1"/>
      <c r="L2715" s="2"/>
    </row>
    <row r="2716" spans="1:12" x14ac:dyDescent="0.2">
      <c r="A2716" s="103"/>
      <c r="B2716" s="104"/>
      <c r="C2716" s="105"/>
      <c r="K2716" s="1"/>
      <c r="L2716" s="2"/>
    </row>
    <row r="2717" spans="1:12" x14ac:dyDescent="0.2">
      <c r="A2717" s="103"/>
      <c r="B2717" s="104"/>
      <c r="C2717" s="105"/>
      <c r="K2717" s="1"/>
      <c r="L2717" s="2"/>
    </row>
    <row r="2718" spans="1:12" x14ac:dyDescent="0.2">
      <c r="A2718" s="103"/>
      <c r="B2718" s="104"/>
      <c r="C2718" s="105"/>
      <c r="K2718" s="1"/>
      <c r="L2718" s="2"/>
    </row>
    <row r="2719" spans="1:12" x14ac:dyDescent="0.2">
      <c r="A2719" s="103"/>
      <c r="B2719" s="104"/>
      <c r="C2719" s="105"/>
      <c r="K2719" s="1"/>
      <c r="L2719" s="2"/>
    </row>
    <row r="2720" spans="1:12" x14ac:dyDescent="0.2">
      <c r="A2720" s="103"/>
      <c r="B2720" s="104"/>
      <c r="C2720" s="105"/>
      <c r="K2720" s="1"/>
      <c r="L2720" s="2"/>
    </row>
    <row r="2721" spans="1:12" x14ac:dyDescent="0.2">
      <c r="A2721" s="103"/>
      <c r="B2721" s="104"/>
      <c r="C2721" s="105"/>
      <c r="K2721" s="1"/>
      <c r="L2721" s="2"/>
    </row>
    <row r="2722" spans="1:12" x14ac:dyDescent="0.2">
      <c r="A2722" s="103"/>
      <c r="B2722" s="104"/>
      <c r="C2722" s="105"/>
      <c r="K2722" s="1"/>
      <c r="L2722" s="2"/>
    </row>
    <row r="2723" spans="1:12" x14ac:dyDescent="0.2">
      <c r="A2723" s="103"/>
      <c r="B2723" s="104"/>
      <c r="C2723" s="105"/>
      <c r="K2723" s="1"/>
      <c r="L2723" s="2"/>
    </row>
    <row r="2724" spans="1:12" x14ac:dyDescent="0.2">
      <c r="A2724" s="103"/>
      <c r="B2724" s="104"/>
      <c r="C2724" s="105"/>
      <c r="K2724" s="1"/>
      <c r="L2724" s="2"/>
    </row>
    <row r="2725" spans="1:12" x14ac:dyDescent="0.2">
      <c r="A2725" s="103"/>
      <c r="B2725" s="104"/>
      <c r="C2725" s="105"/>
      <c r="K2725" s="1"/>
      <c r="L2725" s="2"/>
    </row>
    <row r="2726" spans="1:12" x14ac:dyDescent="0.2">
      <c r="A2726" s="103"/>
      <c r="B2726" s="104"/>
      <c r="C2726" s="105"/>
      <c r="K2726" s="1"/>
      <c r="L2726" s="2"/>
    </row>
    <row r="2727" spans="1:12" x14ac:dyDescent="0.2">
      <c r="A2727" s="103"/>
      <c r="B2727" s="104"/>
      <c r="C2727" s="105"/>
      <c r="K2727" s="1"/>
      <c r="L2727" s="2"/>
    </row>
    <row r="2728" spans="1:12" x14ac:dyDescent="0.2">
      <c r="A2728" s="103"/>
      <c r="B2728" s="104"/>
      <c r="C2728" s="105"/>
      <c r="K2728" s="1"/>
      <c r="L2728" s="2"/>
    </row>
    <row r="2729" spans="1:12" x14ac:dyDescent="0.2">
      <c r="A2729" s="103"/>
      <c r="B2729" s="104"/>
      <c r="C2729" s="105"/>
      <c r="K2729" s="1"/>
      <c r="L2729" s="2"/>
    </row>
    <row r="2730" spans="1:12" x14ac:dyDescent="0.2">
      <c r="A2730" s="103"/>
      <c r="B2730" s="104"/>
      <c r="C2730" s="105"/>
      <c r="K2730" s="1"/>
      <c r="L2730" s="2"/>
    </row>
    <row r="2731" spans="1:12" x14ac:dyDescent="0.2">
      <c r="A2731" s="103"/>
      <c r="B2731" s="104"/>
      <c r="C2731" s="105"/>
      <c r="K2731" s="1"/>
      <c r="L2731" s="2"/>
    </row>
    <row r="2732" spans="1:12" x14ac:dyDescent="0.2">
      <c r="A2732" s="103"/>
      <c r="B2732" s="104"/>
      <c r="C2732" s="105"/>
      <c r="K2732" s="1"/>
      <c r="L2732" s="2"/>
    </row>
    <row r="2733" spans="1:12" x14ac:dyDescent="0.2">
      <c r="A2733" s="103"/>
      <c r="B2733" s="104"/>
      <c r="C2733" s="105"/>
      <c r="K2733" s="1"/>
      <c r="L2733" s="2"/>
    </row>
    <row r="2734" spans="1:12" x14ac:dyDescent="0.2">
      <c r="A2734" s="103"/>
      <c r="B2734" s="104"/>
      <c r="C2734" s="105"/>
      <c r="K2734" s="1"/>
      <c r="L2734" s="2"/>
    </row>
    <row r="2735" spans="1:12" x14ac:dyDescent="0.2">
      <c r="A2735" s="103"/>
      <c r="B2735" s="104"/>
      <c r="C2735" s="105"/>
      <c r="K2735" s="1"/>
      <c r="L2735" s="2"/>
    </row>
    <row r="2736" spans="1:12" x14ac:dyDescent="0.2">
      <c r="A2736" s="103"/>
      <c r="B2736" s="104"/>
      <c r="C2736" s="105"/>
      <c r="K2736" s="1"/>
      <c r="L2736" s="2"/>
    </row>
    <row r="2737" spans="1:12" x14ac:dyDescent="0.2">
      <c r="A2737" s="103"/>
      <c r="B2737" s="104"/>
      <c r="C2737" s="105"/>
      <c r="K2737" s="1"/>
      <c r="L2737" s="2"/>
    </row>
    <row r="2738" spans="1:12" x14ac:dyDescent="0.2">
      <c r="A2738" s="103"/>
      <c r="B2738" s="104"/>
      <c r="C2738" s="105"/>
      <c r="K2738" s="1"/>
      <c r="L2738" s="2"/>
    </row>
    <row r="2739" spans="1:12" x14ac:dyDescent="0.2">
      <c r="A2739" s="103"/>
      <c r="B2739" s="104"/>
      <c r="C2739" s="105"/>
      <c r="K2739" s="1"/>
      <c r="L2739" s="2"/>
    </row>
    <row r="2740" spans="1:12" x14ac:dyDescent="0.2">
      <c r="A2740" s="103"/>
      <c r="B2740" s="104"/>
      <c r="C2740" s="105"/>
      <c r="K2740" s="1"/>
      <c r="L2740" s="2"/>
    </row>
    <row r="2741" spans="1:12" x14ac:dyDescent="0.2">
      <c r="A2741" s="103"/>
      <c r="B2741" s="104"/>
      <c r="C2741" s="105"/>
      <c r="K2741" s="1"/>
      <c r="L2741" s="2"/>
    </row>
    <row r="2742" spans="1:12" x14ac:dyDescent="0.2">
      <c r="A2742" s="103"/>
      <c r="B2742" s="104"/>
      <c r="C2742" s="105"/>
      <c r="K2742" s="1"/>
      <c r="L2742" s="2"/>
    </row>
    <row r="2743" spans="1:12" x14ac:dyDescent="0.2">
      <c r="A2743" s="103"/>
      <c r="B2743" s="104"/>
      <c r="C2743" s="105"/>
      <c r="K2743" s="1"/>
      <c r="L2743" s="2"/>
    </row>
    <row r="2744" spans="1:12" x14ac:dyDescent="0.2">
      <c r="A2744" s="103"/>
      <c r="B2744" s="104"/>
      <c r="C2744" s="105"/>
      <c r="K2744" s="1"/>
      <c r="L2744" s="2"/>
    </row>
    <row r="2745" spans="1:12" x14ac:dyDescent="0.2">
      <c r="A2745" s="103"/>
      <c r="B2745" s="104"/>
      <c r="C2745" s="105"/>
      <c r="K2745" s="1"/>
      <c r="L2745" s="2"/>
    </row>
    <row r="2746" spans="1:12" x14ac:dyDescent="0.2">
      <c r="A2746" s="103"/>
      <c r="B2746" s="104"/>
      <c r="C2746" s="105"/>
      <c r="K2746" s="1"/>
      <c r="L2746" s="2"/>
    </row>
    <row r="2747" spans="1:12" x14ac:dyDescent="0.2">
      <c r="A2747" s="103"/>
      <c r="B2747" s="104"/>
      <c r="C2747" s="105"/>
      <c r="K2747" s="1"/>
      <c r="L2747" s="2"/>
    </row>
    <row r="2748" spans="1:12" x14ac:dyDescent="0.2">
      <c r="A2748" s="103"/>
      <c r="B2748" s="104"/>
      <c r="C2748" s="105"/>
      <c r="K2748" s="1"/>
      <c r="L2748" s="2"/>
    </row>
    <row r="2749" spans="1:12" x14ac:dyDescent="0.2">
      <c r="A2749" s="103"/>
      <c r="B2749" s="104"/>
      <c r="C2749" s="105"/>
      <c r="K2749" s="1"/>
      <c r="L2749" s="2"/>
    </row>
    <row r="2750" spans="1:12" x14ac:dyDescent="0.2">
      <c r="A2750" s="103"/>
      <c r="B2750" s="104"/>
      <c r="C2750" s="105"/>
      <c r="K2750" s="1"/>
      <c r="L2750" s="2"/>
    </row>
    <row r="2751" spans="1:12" x14ac:dyDescent="0.2">
      <c r="A2751" s="103"/>
      <c r="B2751" s="104"/>
      <c r="C2751" s="105"/>
      <c r="K2751" s="1"/>
      <c r="L2751" s="2"/>
    </row>
    <row r="2752" spans="1:12" x14ac:dyDescent="0.2">
      <c r="A2752" s="103"/>
      <c r="B2752" s="104"/>
      <c r="C2752" s="105"/>
      <c r="K2752" s="1"/>
      <c r="L2752" s="2"/>
    </row>
    <row r="2753" spans="1:12" x14ac:dyDescent="0.2">
      <c r="A2753" s="103"/>
      <c r="B2753" s="104"/>
      <c r="C2753" s="105"/>
      <c r="K2753" s="1"/>
      <c r="L2753" s="2"/>
    </row>
    <row r="2754" spans="1:12" x14ac:dyDescent="0.2">
      <c r="A2754" s="103"/>
      <c r="B2754" s="104"/>
      <c r="C2754" s="105"/>
      <c r="K2754" s="1"/>
      <c r="L2754" s="2"/>
    </row>
    <row r="2755" spans="1:12" x14ac:dyDescent="0.2">
      <c r="A2755" s="103"/>
      <c r="B2755" s="104"/>
      <c r="C2755" s="105"/>
      <c r="K2755" s="1"/>
      <c r="L2755" s="2"/>
    </row>
    <row r="2756" spans="1:12" x14ac:dyDescent="0.2">
      <c r="A2756" s="103"/>
      <c r="B2756" s="104"/>
      <c r="C2756" s="105"/>
      <c r="K2756" s="1"/>
      <c r="L2756" s="2"/>
    </row>
    <row r="2757" spans="1:12" x14ac:dyDescent="0.2">
      <c r="A2757" s="103"/>
      <c r="B2757" s="104"/>
      <c r="C2757" s="105"/>
      <c r="K2757" s="1"/>
      <c r="L2757" s="2"/>
    </row>
    <row r="2758" spans="1:12" x14ac:dyDescent="0.2">
      <c r="A2758" s="103"/>
      <c r="B2758" s="104"/>
      <c r="C2758" s="105"/>
      <c r="K2758" s="1"/>
      <c r="L2758" s="2"/>
    </row>
    <row r="2759" spans="1:12" x14ac:dyDescent="0.2">
      <c r="A2759" s="103"/>
      <c r="B2759" s="104"/>
      <c r="C2759" s="105"/>
      <c r="K2759" s="1"/>
      <c r="L2759" s="2"/>
    </row>
    <row r="2760" spans="1:12" x14ac:dyDescent="0.2">
      <c r="A2760" s="103"/>
      <c r="B2760" s="104"/>
      <c r="C2760" s="105"/>
      <c r="K2760" s="1"/>
      <c r="L2760" s="2"/>
    </row>
    <row r="2761" spans="1:12" x14ac:dyDescent="0.2">
      <c r="A2761" s="103"/>
      <c r="B2761" s="104"/>
      <c r="C2761" s="105"/>
      <c r="K2761" s="1"/>
      <c r="L2761" s="2"/>
    </row>
    <row r="2762" spans="1:12" x14ac:dyDescent="0.2">
      <c r="A2762" s="103"/>
      <c r="B2762" s="104"/>
      <c r="C2762" s="105"/>
      <c r="K2762" s="1"/>
      <c r="L2762" s="2"/>
    </row>
    <row r="2763" spans="1:12" x14ac:dyDescent="0.2">
      <c r="A2763" s="103"/>
      <c r="B2763" s="104"/>
      <c r="C2763" s="105"/>
      <c r="K2763" s="1"/>
      <c r="L2763" s="2"/>
    </row>
    <row r="2764" spans="1:12" x14ac:dyDescent="0.2">
      <c r="A2764" s="103"/>
      <c r="B2764" s="104"/>
      <c r="C2764" s="105"/>
      <c r="K2764" s="1"/>
      <c r="L2764" s="2"/>
    </row>
    <row r="2765" spans="1:12" x14ac:dyDescent="0.2">
      <c r="A2765" s="103"/>
      <c r="B2765" s="104"/>
      <c r="C2765" s="105"/>
      <c r="K2765" s="1"/>
      <c r="L2765" s="2"/>
    </row>
    <row r="2766" spans="1:12" x14ac:dyDescent="0.2">
      <c r="A2766" s="103"/>
      <c r="B2766" s="104"/>
      <c r="C2766" s="105"/>
      <c r="K2766" s="1"/>
      <c r="L2766" s="2"/>
    </row>
    <row r="2767" spans="1:12" x14ac:dyDescent="0.2">
      <c r="A2767" s="103"/>
      <c r="B2767" s="104"/>
      <c r="C2767" s="105"/>
      <c r="K2767" s="1"/>
      <c r="L2767" s="2"/>
    </row>
    <row r="2768" spans="1:12" x14ac:dyDescent="0.2">
      <c r="A2768" s="103"/>
      <c r="B2768" s="104"/>
      <c r="C2768" s="105"/>
      <c r="K2768" s="1"/>
      <c r="L2768" s="2"/>
    </row>
    <row r="2769" spans="1:12" x14ac:dyDescent="0.2">
      <c r="A2769" s="103"/>
      <c r="B2769" s="104"/>
      <c r="C2769" s="105"/>
      <c r="K2769" s="1"/>
      <c r="L2769" s="2"/>
    </row>
    <row r="2770" spans="1:12" x14ac:dyDescent="0.2">
      <c r="A2770" s="103"/>
      <c r="B2770" s="104"/>
      <c r="C2770" s="105"/>
      <c r="K2770" s="1"/>
      <c r="L2770" s="2"/>
    </row>
    <row r="2771" spans="1:12" x14ac:dyDescent="0.2">
      <c r="A2771" s="103"/>
      <c r="B2771" s="104"/>
      <c r="C2771" s="105"/>
      <c r="K2771" s="1"/>
      <c r="L2771" s="2"/>
    </row>
    <row r="2772" spans="1:12" x14ac:dyDescent="0.2">
      <c r="A2772" s="103"/>
      <c r="B2772" s="104"/>
      <c r="C2772" s="105"/>
      <c r="K2772" s="1"/>
      <c r="L2772" s="2"/>
    </row>
    <row r="2773" spans="1:12" x14ac:dyDescent="0.2">
      <c r="A2773" s="103"/>
      <c r="B2773" s="104"/>
      <c r="C2773" s="105"/>
      <c r="K2773" s="1"/>
      <c r="L2773" s="2"/>
    </row>
    <row r="2774" spans="1:12" x14ac:dyDescent="0.2">
      <c r="A2774" s="103"/>
      <c r="B2774" s="104"/>
      <c r="C2774" s="105"/>
      <c r="K2774" s="1"/>
      <c r="L2774" s="2"/>
    </row>
    <row r="2775" spans="1:12" x14ac:dyDescent="0.2">
      <c r="A2775" s="103"/>
      <c r="B2775" s="104"/>
      <c r="C2775" s="105"/>
      <c r="K2775" s="1"/>
      <c r="L2775" s="2"/>
    </row>
    <row r="2776" spans="1:12" x14ac:dyDescent="0.2">
      <c r="A2776" s="103"/>
      <c r="B2776" s="104"/>
      <c r="C2776" s="105"/>
      <c r="K2776" s="1"/>
      <c r="L2776" s="2"/>
    </row>
    <row r="2777" spans="1:12" x14ac:dyDescent="0.2">
      <c r="A2777" s="103"/>
      <c r="B2777" s="104"/>
      <c r="C2777" s="105"/>
      <c r="K2777" s="1"/>
      <c r="L2777" s="2"/>
    </row>
    <row r="2778" spans="1:12" x14ac:dyDescent="0.2">
      <c r="A2778" s="103"/>
      <c r="B2778" s="104"/>
      <c r="C2778" s="105"/>
      <c r="K2778" s="1"/>
      <c r="L2778" s="2"/>
    </row>
    <row r="2779" spans="1:12" x14ac:dyDescent="0.2">
      <c r="A2779" s="103"/>
      <c r="B2779" s="104"/>
      <c r="C2779" s="105"/>
      <c r="K2779" s="1"/>
      <c r="L2779" s="2"/>
    </row>
    <row r="2780" spans="1:12" x14ac:dyDescent="0.2">
      <c r="A2780" s="103"/>
      <c r="B2780" s="104"/>
      <c r="C2780" s="105"/>
      <c r="K2780" s="1"/>
      <c r="L2780" s="2"/>
    </row>
    <row r="2781" spans="1:12" x14ac:dyDescent="0.2">
      <c r="A2781" s="103"/>
      <c r="B2781" s="104"/>
      <c r="C2781" s="105"/>
      <c r="K2781" s="1"/>
      <c r="L2781" s="2"/>
    </row>
    <row r="2782" spans="1:12" x14ac:dyDescent="0.2">
      <c r="A2782" s="103"/>
      <c r="B2782" s="104"/>
      <c r="C2782" s="105"/>
      <c r="K2782" s="1"/>
      <c r="L2782" s="2"/>
    </row>
    <row r="2783" spans="1:12" x14ac:dyDescent="0.2">
      <c r="A2783" s="103"/>
      <c r="B2783" s="104"/>
      <c r="C2783" s="105"/>
      <c r="K2783" s="1"/>
      <c r="L2783" s="2"/>
    </row>
    <row r="2784" spans="1:12" x14ac:dyDescent="0.2">
      <c r="A2784" s="103"/>
      <c r="B2784" s="104"/>
      <c r="C2784" s="105"/>
      <c r="K2784" s="1"/>
      <c r="L2784" s="2"/>
    </row>
    <row r="2785" spans="1:12" x14ac:dyDescent="0.2">
      <c r="A2785" s="103"/>
      <c r="B2785" s="104"/>
      <c r="C2785" s="105"/>
      <c r="K2785" s="1"/>
      <c r="L2785" s="2"/>
    </row>
    <row r="2786" spans="1:12" x14ac:dyDescent="0.2">
      <c r="A2786" s="103"/>
      <c r="B2786" s="104"/>
      <c r="C2786" s="105"/>
      <c r="K2786" s="1"/>
      <c r="L2786" s="2"/>
    </row>
    <row r="2787" spans="1:12" x14ac:dyDescent="0.2">
      <c r="A2787" s="103"/>
      <c r="B2787" s="104"/>
      <c r="C2787" s="105"/>
      <c r="K2787" s="1"/>
      <c r="L2787" s="2"/>
    </row>
    <row r="2788" spans="1:12" x14ac:dyDescent="0.2">
      <c r="A2788" s="103"/>
      <c r="B2788" s="104"/>
      <c r="C2788" s="105"/>
      <c r="K2788" s="1"/>
      <c r="L2788" s="2"/>
    </row>
    <row r="2789" spans="1:12" x14ac:dyDescent="0.2">
      <c r="A2789" s="103"/>
      <c r="B2789" s="104"/>
      <c r="C2789" s="105"/>
      <c r="K2789" s="1"/>
      <c r="L2789" s="2"/>
    </row>
    <row r="2790" spans="1:12" x14ac:dyDescent="0.2">
      <c r="A2790" s="103"/>
      <c r="B2790" s="104"/>
      <c r="C2790" s="105"/>
      <c r="K2790" s="1"/>
      <c r="L2790" s="2"/>
    </row>
    <row r="2791" spans="1:12" x14ac:dyDescent="0.2">
      <c r="A2791" s="103"/>
      <c r="B2791" s="104"/>
      <c r="C2791" s="105"/>
      <c r="K2791" s="1"/>
      <c r="L2791" s="2"/>
    </row>
    <row r="2792" spans="1:12" x14ac:dyDescent="0.2">
      <c r="A2792" s="103"/>
      <c r="B2792" s="104"/>
      <c r="C2792" s="105"/>
      <c r="K2792" s="1"/>
      <c r="L2792" s="2"/>
    </row>
    <row r="2793" spans="1:12" x14ac:dyDescent="0.2">
      <c r="A2793" s="103"/>
      <c r="B2793" s="104"/>
      <c r="C2793" s="105"/>
      <c r="K2793" s="1"/>
      <c r="L2793" s="2"/>
    </row>
    <row r="2794" spans="1:12" x14ac:dyDescent="0.2">
      <c r="A2794" s="103"/>
      <c r="B2794" s="104"/>
      <c r="C2794" s="105"/>
      <c r="K2794" s="1"/>
      <c r="L2794" s="2"/>
    </row>
    <row r="2795" spans="1:12" x14ac:dyDescent="0.2">
      <c r="A2795" s="103"/>
      <c r="B2795" s="104"/>
      <c r="C2795" s="105"/>
      <c r="K2795" s="1"/>
      <c r="L2795" s="2"/>
    </row>
    <row r="2796" spans="1:12" x14ac:dyDescent="0.2">
      <c r="A2796" s="103"/>
      <c r="B2796" s="104"/>
      <c r="C2796" s="105"/>
      <c r="K2796" s="1"/>
      <c r="L2796" s="2"/>
    </row>
    <row r="2797" spans="1:12" x14ac:dyDescent="0.2">
      <c r="A2797" s="103"/>
      <c r="B2797" s="104"/>
      <c r="C2797" s="105"/>
      <c r="K2797" s="1"/>
      <c r="L2797" s="2"/>
    </row>
    <row r="2798" spans="1:12" x14ac:dyDescent="0.2">
      <c r="A2798" s="103"/>
      <c r="B2798" s="104"/>
      <c r="C2798" s="105"/>
      <c r="K2798" s="1"/>
      <c r="L2798" s="2"/>
    </row>
    <row r="2799" spans="1:12" x14ac:dyDescent="0.2">
      <c r="A2799" s="103"/>
      <c r="B2799" s="104"/>
      <c r="C2799" s="105"/>
      <c r="K2799" s="1"/>
      <c r="L2799" s="2"/>
    </row>
    <row r="2800" spans="1:12" x14ac:dyDescent="0.2">
      <c r="A2800" s="103"/>
      <c r="B2800" s="104"/>
      <c r="C2800" s="105"/>
      <c r="K2800" s="1"/>
      <c r="L2800" s="2"/>
    </row>
    <row r="2801" spans="1:12" x14ac:dyDescent="0.2">
      <c r="A2801" s="103"/>
      <c r="B2801" s="104"/>
      <c r="C2801" s="105"/>
      <c r="K2801" s="1"/>
      <c r="L2801" s="2"/>
    </row>
    <row r="2802" spans="1:12" x14ac:dyDescent="0.2">
      <c r="A2802" s="103"/>
      <c r="B2802" s="104"/>
      <c r="C2802" s="105"/>
      <c r="K2802" s="1"/>
      <c r="L2802" s="2"/>
    </row>
    <row r="2803" spans="1:12" x14ac:dyDescent="0.2">
      <c r="A2803" s="103"/>
      <c r="B2803" s="104"/>
      <c r="C2803" s="105"/>
      <c r="K2803" s="1"/>
      <c r="L2803" s="2"/>
    </row>
    <row r="2804" spans="1:12" x14ac:dyDescent="0.2">
      <c r="A2804" s="103"/>
      <c r="B2804" s="104"/>
      <c r="C2804" s="105"/>
      <c r="K2804" s="1"/>
      <c r="L2804" s="2"/>
    </row>
    <row r="2805" spans="1:12" x14ac:dyDescent="0.2">
      <c r="A2805" s="103"/>
      <c r="B2805" s="104"/>
      <c r="C2805" s="105"/>
      <c r="K2805" s="1"/>
      <c r="L2805" s="2"/>
    </row>
    <row r="2806" spans="1:12" x14ac:dyDescent="0.2">
      <c r="A2806" s="103"/>
      <c r="B2806" s="104"/>
      <c r="C2806" s="105"/>
      <c r="K2806" s="1"/>
      <c r="L2806" s="2"/>
    </row>
    <row r="2807" spans="1:12" x14ac:dyDescent="0.2">
      <c r="A2807" s="103"/>
      <c r="B2807" s="104"/>
      <c r="C2807" s="105"/>
      <c r="K2807" s="1"/>
      <c r="L2807" s="2"/>
    </row>
    <row r="2808" spans="1:12" x14ac:dyDescent="0.2">
      <c r="A2808" s="103"/>
      <c r="B2808" s="104"/>
      <c r="C2808" s="105"/>
      <c r="K2808" s="1"/>
      <c r="L2808" s="2"/>
    </row>
    <row r="2809" spans="1:12" x14ac:dyDescent="0.2">
      <c r="A2809" s="103"/>
      <c r="B2809" s="104"/>
      <c r="C2809" s="105"/>
      <c r="K2809" s="1"/>
      <c r="L2809" s="2"/>
    </row>
    <row r="2810" spans="1:12" x14ac:dyDescent="0.2">
      <c r="A2810" s="103"/>
      <c r="B2810" s="104"/>
      <c r="C2810" s="105"/>
      <c r="K2810" s="1"/>
      <c r="L2810" s="2"/>
    </row>
    <row r="2811" spans="1:12" x14ac:dyDescent="0.2">
      <c r="A2811" s="103"/>
      <c r="B2811" s="104"/>
      <c r="C2811" s="105"/>
      <c r="K2811" s="1"/>
      <c r="L2811" s="2"/>
    </row>
    <row r="2812" spans="1:12" x14ac:dyDescent="0.2">
      <c r="A2812" s="103"/>
      <c r="B2812" s="104"/>
      <c r="C2812" s="105"/>
      <c r="K2812" s="1"/>
      <c r="L2812" s="2"/>
    </row>
    <row r="2813" spans="1:12" x14ac:dyDescent="0.2">
      <c r="A2813" s="103"/>
      <c r="B2813" s="104"/>
      <c r="C2813" s="105"/>
      <c r="K2813" s="1"/>
      <c r="L2813" s="2"/>
    </row>
    <row r="2814" spans="1:12" x14ac:dyDescent="0.2">
      <c r="A2814" s="103"/>
      <c r="B2814" s="104"/>
      <c r="C2814" s="105"/>
      <c r="K2814" s="1"/>
      <c r="L2814" s="2"/>
    </row>
    <row r="2815" spans="1:12" x14ac:dyDescent="0.2">
      <c r="A2815" s="103"/>
      <c r="B2815" s="104"/>
      <c r="C2815" s="105"/>
      <c r="K2815" s="1"/>
      <c r="L2815" s="2"/>
    </row>
    <row r="2816" spans="1:12" x14ac:dyDescent="0.2">
      <c r="A2816" s="103"/>
      <c r="B2816" s="104"/>
      <c r="C2816" s="105"/>
      <c r="K2816" s="1"/>
      <c r="L2816" s="2"/>
    </row>
    <row r="2817" spans="1:12" x14ac:dyDescent="0.2">
      <c r="A2817" s="103"/>
      <c r="B2817" s="104"/>
      <c r="C2817" s="105"/>
      <c r="K2817" s="1"/>
      <c r="L2817" s="2"/>
    </row>
    <row r="2818" spans="1:12" x14ac:dyDescent="0.2">
      <c r="A2818" s="103"/>
      <c r="B2818" s="104"/>
      <c r="C2818" s="105"/>
      <c r="K2818" s="1"/>
      <c r="L2818" s="2"/>
    </row>
    <row r="2819" spans="1:12" x14ac:dyDescent="0.2">
      <c r="A2819" s="103"/>
      <c r="B2819" s="104"/>
      <c r="C2819" s="105"/>
      <c r="K2819" s="1"/>
      <c r="L2819" s="2"/>
    </row>
    <row r="2820" spans="1:12" x14ac:dyDescent="0.2">
      <c r="A2820" s="103"/>
      <c r="B2820" s="104"/>
      <c r="C2820" s="105"/>
      <c r="K2820" s="1"/>
      <c r="L2820" s="2"/>
    </row>
    <row r="2821" spans="1:12" x14ac:dyDescent="0.2">
      <c r="A2821" s="103"/>
      <c r="B2821" s="104"/>
      <c r="C2821" s="105"/>
      <c r="K2821" s="1"/>
      <c r="L2821" s="2"/>
    </row>
    <row r="2822" spans="1:12" x14ac:dyDescent="0.2">
      <c r="A2822" s="103"/>
      <c r="B2822" s="104"/>
      <c r="C2822" s="105"/>
      <c r="K2822" s="1"/>
      <c r="L2822" s="2"/>
    </row>
    <row r="2823" spans="1:12" x14ac:dyDescent="0.2">
      <c r="A2823" s="103"/>
      <c r="B2823" s="104"/>
      <c r="C2823" s="105"/>
      <c r="K2823" s="1"/>
      <c r="L2823" s="2"/>
    </row>
    <row r="2824" spans="1:12" x14ac:dyDescent="0.2">
      <c r="A2824" s="103"/>
      <c r="B2824" s="104"/>
      <c r="C2824" s="105"/>
      <c r="K2824" s="1"/>
      <c r="L2824" s="2"/>
    </row>
    <row r="2825" spans="1:12" x14ac:dyDescent="0.2">
      <c r="A2825" s="103"/>
      <c r="B2825" s="104"/>
      <c r="C2825" s="105"/>
      <c r="K2825" s="1"/>
      <c r="L2825" s="2"/>
    </row>
    <row r="2826" spans="1:12" x14ac:dyDescent="0.2">
      <c r="A2826" s="103"/>
      <c r="B2826" s="104"/>
      <c r="C2826" s="105"/>
      <c r="K2826" s="1"/>
      <c r="L2826" s="2"/>
    </row>
    <row r="2827" spans="1:12" x14ac:dyDescent="0.2">
      <c r="A2827" s="103"/>
      <c r="B2827" s="104"/>
      <c r="C2827" s="105"/>
      <c r="K2827" s="1"/>
      <c r="L2827" s="2"/>
    </row>
    <row r="2828" spans="1:12" x14ac:dyDescent="0.2">
      <c r="A2828" s="103"/>
      <c r="B2828" s="104"/>
      <c r="C2828" s="105"/>
      <c r="K2828" s="1"/>
      <c r="L2828" s="2"/>
    </row>
    <row r="2829" spans="1:12" x14ac:dyDescent="0.2">
      <c r="A2829" s="103"/>
      <c r="B2829" s="104"/>
      <c r="C2829" s="105"/>
      <c r="K2829" s="1"/>
      <c r="L2829" s="2"/>
    </row>
    <row r="2830" spans="1:12" x14ac:dyDescent="0.2">
      <c r="A2830" s="103"/>
      <c r="B2830" s="104"/>
      <c r="C2830" s="105"/>
      <c r="K2830" s="1"/>
      <c r="L2830" s="2"/>
    </row>
    <row r="2831" spans="1:12" x14ac:dyDescent="0.2">
      <c r="A2831" s="103"/>
      <c r="B2831" s="104"/>
      <c r="C2831" s="105"/>
      <c r="K2831" s="1"/>
      <c r="L2831" s="2"/>
    </row>
    <row r="2832" spans="1:12" x14ac:dyDescent="0.2">
      <c r="A2832" s="103"/>
      <c r="B2832" s="104"/>
      <c r="C2832" s="105"/>
      <c r="K2832" s="1"/>
      <c r="L2832" s="2"/>
    </row>
    <row r="2833" spans="1:12" x14ac:dyDescent="0.2">
      <c r="A2833" s="103"/>
      <c r="B2833" s="104"/>
      <c r="C2833" s="105"/>
      <c r="K2833" s="1"/>
      <c r="L2833" s="2"/>
    </row>
    <row r="2834" spans="1:12" x14ac:dyDescent="0.2">
      <c r="A2834" s="103"/>
      <c r="B2834" s="104"/>
      <c r="C2834" s="105"/>
      <c r="K2834" s="1"/>
      <c r="L2834" s="2"/>
    </row>
    <row r="2835" spans="1:12" x14ac:dyDescent="0.2">
      <c r="A2835" s="103"/>
      <c r="B2835" s="104"/>
      <c r="C2835" s="105"/>
      <c r="K2835" s="1"/>
      <c r="L2835" s="2"/>
    </row>
    <row r="2836" spans="1:12" x14ac:dyDescent="0.2">
      <c r="A2836" s="103"/>
      <c r="B2836" s="104"/>
      <c r="C2836" s="105"/>
      <c r="K2836" s="1"/>
      <c r="L2836" s="2"/>
    </row>
    <row r="2837" spans="1:12" x14ac:dyDescent="0.2">
      <c r="A2837" s="103"/>
      <c r="B2837" s="104"/>
      <c r="C2837" s="105"/>
      <c r="K2837" s="1"/>
      <c r="L2837" s="2"/>
    </row>
    <row r="2838" spans="1:12" x14ac:dyDescent="0.2">
      <c r="A2838" s="103"/>
      <c r="B2838" s="104"/>
      <c r="C2838" s="105"/>
      <c r="K2838" s="1"/>
      <c r="L2838" s="2"/>
    </row>
    <row r="2839" spans="1:12" x14ac:dyDescent="0.2">
      <c r="A2839" s="103"/>
      <c r="B2839" s="104"/>
      <c r="C2839" s="105"/>
      <c r="K2839" s="1"/>
      <c r="L2839" s="2"/>
    </row>
    <row r="2840" spans="1:12" x14ac:dyDescent="0.2">
      <c r="A2840" s="103"/>
      <c r="B2840" s="104"/>
      <c r="C2840" s="105"/>
      <c r="K2840" s="1"/>
      <c r="L2840" s="2"/>
    </row>
    <row r="2841" spans="1:12" x14ac:dyDescent="0.2">
      <c r="A2841" s="103"/>
      <c r="B2841" s="104"/>
      <c r="C2841" s="105"/>
      <c r="K2841" s="1"/>
      <c r="L2841" s="2"/>
    </row>
    <row r="2842" spans="1:12" x14ac:dyDescent="0.2">
      <c r="A2842" s="103"/>
      <c r="B2842" s="104"/>
      <c r="C2842" s="105"/>
      <c r="K2842" s="1"/>
      <c r="L2842" s="2"/>
    </row>
    <row r="2843" spans="1:12" x14ac:dyDescent="0.2">
      <c r="A2843" s="103"/>
      <c r="B2843" s="104"/>
      <c r="C2843" s="105"/>
      <c r="K2843" s="1"/>
      <c r="L2843" s="2"/>
    </row>
    <row r="2844" spans="1:12" x14ac:dyDescent="0.2">
      <c r="A2844" s="103"/>
      <c r="B2844" s="104"/>
      <c r="C2844" s="105"/>
      <c r="K2844" s="1"/>
      <c r="L2844" s="2"/>
    </row>
    <row r="2845" spans="1:12" x14ac:dyDescent="0.2">
      <c r="A2845" s="103"/>
      <c r="B2845" s="104"/>
      <c r="C2845" s="105"/>
      <c r="K2845" s="1"/>
      <c r="L2845" s="2"/>
    </row>
    <row r="2846" spans="1:12" x14ac:dyDescent="0.2">
      <c r="A2846" s="103"/>
      <c r="B2846" s="104"/>
      <c r="C2846" s="105"/>
      <c r="K2846" s="1"/>
      <c r="L2846" s="2"/>
    </row>
    <row r="2847" spans="1:12" x14ac:dyDescent="0.2">
      <c r="A2847" s="103"/>
      <c r="B2847" s="104"/>
      <c r="C2847" s="105"/>
      <c r="K2847" s="1"/>
      <c r="L2847" s="2"/>
    </row>
    <row r="2848" spans="1:12" x14ac:dyDescent="0.2">
      <c r="A2848" s="103"/>
      <c r="B2848" s="104"/>
      <c r="C2848" s="105"/>
      <c r="K2848" s="1"/>
      <c r="L2848" s="2"/>
    </row>
    <row r="2849" spans="1:12" x14ac:dyDescent="0.2">
      <c r="A2849" s="103"/>
      <c r="B2849" s="104"/>
      <c r="C2849" s="105"/>
      <c r="K2849" s="1"/>
      <c r="L2849" s="2"/>
    </row>
    <row r="2850" spans="1:12" x14ac:dyDescent="0.2">
      <c r="A2850" s="103"/>
      <c r="B2850" s="104"/>
      <c r="C2850" s="105"/>
      <c r="K2850" s="1"/>
      <c r="L2850" s="2"/>
    </row>
    <row r="2851" spans="1:12" x14ac:dyDescent="0.2">
      <c r="A2851" s="103"/>
      <c r="B2851" s="104"/>
      <c r="C2851" s="105"/>
      <c r="K2851" s="1"/>
      <c r="L2851" s="2"/>
    </row>
    <row r="2852" spans="1:12" x14ac:dyDescent="0.2">
      <c r="A2852" s="103"/>
      <c r="B2852" s="104"/>
      <c r="C2852" s="105"/>
      <c r="K2852" s="1"/>
      <c r="L2852" s="2"/>
    </row>
    <row r="2853" spans="1:12" x14ac:dyDescent="0.2">
      <c r="A2853" s="103"/>
      <c r="B2853" s="104"/>
      <c r="C2853" s="105"/>
      <c r="K2853" s="1"/>
      <c r="L2853" s="2"/>
    </row>
    <row r="2854" spans="1:12" x14ac:dyDescent="0.2">
      <c r="A2854" s="103"/>
      <c r="B2854" s="104"/>
      <c r="C2854" s="105"/>
      <c r="K2854" s="1"/>
      <c r="L2854" s="2"/>
    </row>
    <row r="2855" spans="1:12" x14ac:dyDescent="0.2">
      <c r="A2855" s="103"/>
      <c r="B2855" s="104"/>
      <c r="C2855" s="105"/>
      <c r="K2855" s="1"/>
      <c r="L2855" s="2"/>
    </row>
    <row r="2856" spans="1:12" x14ac:dyDescent="0.2">
      <c r="A2856" s="103"/>
      <c r="B2856" s="104"/>
      <c r="C2856" s="105"/>
      <c r="K2856" s="1"/>
      <c r="L2856" s="2"/>
    </row>
    <row r="2857" spans="1:12" x14ac:dyDescent="0.2">
      <c r="A2857" s="103"/>
      <c r="B2857" s="104"/>
      <c r="C2857" s="105"/>
      <c r="K2857" s="1"/>
      <c r="L2857" s="2"/>
    </row>
    <row r="2858" spans="1:12" x14ac:dyDescent="0.2">
      <c r="A2858" s="103"/>
      <c r="B2858" s="104"/>
      <c r="C2858" s="105"/>
      <c r="K2858" s="1"/>
      <c r="L2858" s="2"/>
    </row>
    <row r="2859" spans="1:12" x14ac:dyDescent="0.2">
      <c r="A2859" s="103"/>
      <c r="B2859" s="104"/>
      <c r="C2859" s="105"/>
      <c r="K2859" s="1"/>
      <c r="L2859" s="2"/>
    </row>
    <row r="2860" spans="1:12" x14ac:dyDescent="0.2">
      <c r="A2860" s="103"/>
      <c r="B2860" s="104"/>
      <c r="C2860" s="105"/>
      <c r="K2860" s="1"/>
      <c r="L2860" s="2"/>
    </row>
    <row r="2861" spans="1:12" x14ac:dyDescent="0.2">
      <c r="A2861" s="103"/>
      <c r="B2861" s="104"/>
      <c r="C2861" s="105"/>
      <c r="K2861" s="1"/>
      <c r="L2861" s="2"/>
    </row>
    <row r="2862" spans="1:12" x14ac:dyDescent="0.2">
      <c r="A2862" s="103"/>
      <c r="B2862" s="104"/>
      <c r="C2862" s="105"/>
      <c r="K2862" s="1"/>
      <c r="L2862" s="2"/>
    </row>
    <row r="2863" spans="1:12" x14ac:dyDescent="0.2">
      <c r="A2863" s="103"/>
      <c r="B2863" s="104"/>
      <c r="C2863" s="105"/>
      <c r="K2863" s="1"/>
      <c r="L2863" s="2"/>
    </row>
    <row r="2864" spans="1:12" x14ac:dyDescent="0.2">
      <c r="A2864" s="103"/>
      <c r="B2864" s="104"/>
      <c r="C2864" s="105"/>
      <c r="K2864" s="1"/>
      <c r="L2864" s="2"/>
    </row>
    <row r="2865" spans="1:12" x14ac:dyDescent="0.2">
      <c r="A2865" s="103"/>
      <c r="B2865" s="104"/>
      <c r="C2865" s="105"/>
      <c r="K2865" s="1"/>
      <c r="L2865" s="2"/>
    </row>
    <row r="2866" spans="1:12" x14ac:dyDescent="0.2">
      <c r="A2866" s="103"/>
      <c r="B2866" s="104"/>
      <c r="C2866" s="105"/>
      <c r="K2866" s="1"/>
      <c r="L2866" s="2"/>
    </row>
    <row r="2867" spans="1:12" x14ac:dyDescent="0.2">
      <c r="A2867" s="103"/>
      <c r="B2867" s="104"/>
      <c r="C2867" s="105"/>
      <c r="K2867" s="1"/>
      <c r="L2867" s="2"/>
    </row>
    <row r="2868" spans="1:12" x14ac:dyDescent="0.2">
      <c r="A2868" s="103"/>
      <c r="B2868" s="104"/>
      <c r="C2868" s="105"/>
      <c r="K2868" s="1"/>
      <c r="L2868" s="2"/>
    </row>
    <row r="2869" spans="1:12" x14ac:dyDescent="0.2">
      <c r="A2869" s="103"/>
      <c r="B2869" s="104"/>
      <c r="C2869" s="105"/>
      <c r="K2869" s="1"/>
      <c r="L2869" s="2"/>
    </row>
    <row r="2870" spans="1:12" x14ac:dyDescent="0.2">
      <c r="A2870" s="103"/>
      <c r="B2870" s="104"/>
      <c r="C2870" s="105"/>
      <c r="K2870" s="1"/>
      <c r="L2870" s="2"/>
    </row>
    <row r="2871" spans="1:12" x14ac:dyDescent="0.2">
      <c r="A2871" s="103"/>
      <c r="B2871" s="104"/>
      <c r="C2871" s="105"/>
      <c r="K2871" s="1"/>
      <c r="L2871" s="2"/>
    </row>
    <row r="2872" spans="1:12" x14ac:dyDescent="0.2">
      <c r="A2872" s="103"/>
      <c r="B2872" s="104"/>
      <c r="C2872" s="105"/>
      <c r="K2872" s="1"/>
      <c r="L2872" s="2"/>
    </row>
    <row r="2873" spans="1:12" x14ac:dyDescent="0.2">
      <c r="A2873" s="103"/>
      <c r="B2873" s="104"/>
      <c r="C2873" s="105"/>
      <c r="K2873" s="1"/>
      <c r="L2873" s="2"/>
    </row>
    <row r="2874" spans="1:12" x14ac:dyDescent="0.2">
      <c r="A2874" s="103"/>
      <c r="B2874" s="104"/>
      <c r="C2874" s="105"/>
      <c r="K2874" s="1"/>
      <c r="L2874" s="2"/>
    </row>
    <row r="2875" spans="1:12" x14ac:dyDescent="0.2">
      <c r="A2875" s="103"/>
      <c r="B2875" s="104"/>
      <c r="C2875" s="105"/>
      <c r="K2875" s="1"/>
      <c r="L2875" s="2"/>
    </row>
    <row r="2876" spans="1:12" x14ac:dyDescent="0.2">
      <c r="A2876" s="103"/>
      <c r="B2876" s="104"/>
      <c r="C2876" s="105"/>
      <c r="K2876" s="1"/>
      <c r="L2876" s="2"/>
    </row>
    <row r="2877" spans="1:12" x14ac:dyDescent="0.2">
      <c r="A2877" s="103"/>
      <c r="B2877" s="104"/>
      <c r="C2877" s="105"/>
      <c r="K2877" s="1"/>
      <c r="L2877" s="2"/>
    </row>
    <row r="2878" spans="1:12" x14ac:dyDescent="0.2">
      <c r="A2878" s="103"/>
      <c r="B2878" s="104"/>
      <c r="C2878" s="105"/>
      <c r="K2878" s="1"/>
      <c r="L2878" s="2"/>
    </row>
    <row r="2879" spans="1:12" x14ac:dyDescent="0.2">
      <c r="A2879" s="103"/>
      <c r="B2879" s="104"/>
      <c r="C2879" s="105"/>
      <c r="K2879" s="1"/>
      <c r="L2879" s="2"/>
    </row>
    <row r="2880" spans="1:12" x14ac:dyDescent="0.2">
      <c r="A2880" s="103"/>
      <c r="B2880" s="104"/>
      <c r="C2880" s="105"/>
      <c r="K2880" s="1"/>
      <c r="L2880" s="2"/>
    </row>
    <row r="2881" spans="1:12" x14ac:dyDescent="0.2">
      <c r="A2881" s="103"/>
      <c r="B2881" s="104"/>
      <c r="C2881" s="105"/>
      <c r="K2881" s="1"/>
      <c r="L2881" s="2"/>
    </row>
    <row r="2882" spans="1:12" x14ac:dyDescent="0.2">
      <c r="A2882" s="103"/>
      <c r="B2882" s="104"/>
      <c r="C2882" s="105"/>
      <c r="K2882" s="1"/>
      <c r="L2882" s="2"/>
    </row>
    <row r="2883" spans="1:12" x14ac:dyDescent="0.2">
      <c r="A2883" s="103"/>
      <c r="B2883" s="104"/>
      <c r="C2883" s="105"/>
      <c r="K2883" s="1"/>
      <c r="L2883" s="2"/>
    </row>
    <row r="2884" spans="1:12" x14ac:dyDescent="0.2">
      <c r="A2884" s="103"/>
      <c r="B2884" s="104"/>
      <c r="C2884" s="105"/>
      <c r="K2884" s="1"/>
      <c r="L2884" s="2"/>
    </row>
    <row r="2885" spans="1:12" x14ac:dyDescent="0.2">
      <c r="A2885" s="103"/>
      <c r="B2885" s="104"/>
      <c r="C2885" s="105"/>
      <c r="K2885" s="1"/>
      <c r="L2885" s="2"/>
    </row>
    <row r="2886" spans="1:12" x14ac:dyDescent="0.2">
      <c r="A2886" s="103"/>
      <c r="B2886" s="104"/>
      <c r="C2886" s="105"/>
      <c r="K2886" s="1"/>
      <c r="L2886" s="2"/>
    </row>
    <row r="2887" spans="1:12" x14ac:dyDescent="0.2">
      <c r="A2887" s="103"/>
      <c r="B2887" s="104"/>
      <c r="C2887" s="105"/>
      <c r="K2887" s="1"/>
      <c r="L2887" s="2"/>
    </row>
    <row r="2888" spans="1:12" x14ac:dyDescent="0.2">
      <c r="A2888" s="103"/>
      <c r="B2888" s="104"/>
      <c r="C2888" s="105"/>
      <c r="K2888" s="1"/>
      <c r="L2888" s="2"/>
    </row>
    <row r="2889" spans="1:12" x14ac:dyDescent="0.2">
      <c r="A2889" s="103"/>
      <c r="B2889" s="104"/>
      <c r="C2889" s="105"/>
      <c r="K2889" s="1"/>
      <c r="L2889" s="2"/>
    </row>
    <row r="2890" spans="1:12" x14ac:dyDescent="0.2">
      <c r="A2890" s="103"/>
      <c r="B2890" s="104"/>
      <c r="C2890" s="105"/>
      <c r="K2890" s="1"/>
      <c r="L2890" s="2"/>
    </row>
    <row r="2891" spans="1:12" x14ac:dyDescent="0.2">
      <c r="A2891" s="103"/>
      <c r="B2891" s="104"/>
      <c r="C2891" s="105"/>
      <c r="K2891" s="1"/>
      <c r="L2891" s="2"/>
    </row>
    <row r="2892" spans="1:12" x14ac:dyDescent="0.2">
      <c r="A2892" s="103"/>
      <c r="B2892" s="104"/>
      <c r="C2892" s="105"/>
      <c r="K2892" s="1"/>
      <c r="L2892" s="2"/>
    </row>
    <row r="2893" spans="1:12" x14ac:dyDescent="0.2">
      <c r="A2893" s="103"/>
      <c r="B2893" s="104"/>
      <c r="C2893" s="105"/>
      <c r="K2893" s="1"/>
      <c r="L2893" s="2"/>
    </row>
    <row r="2894" spans="1:12" x14ac:dyDescent="0.2">
      <c r="A2894" s="103"/>
      <c r="B2894" s="104"/>
      <c r="C2894" s="105"/>
      <c r="K2894" s="1"/>
      <c r="L2894" s="2"/>
    </row>
    <row r="2895" spans="1:12" x14ac:dyDescent="0.2">
      <c r="A2895" s="103"/>
      <c r="B2895" s="104"/>
      <c r="C2895" s="105"/>
      <c r="K2895" s="1"/>
      <c r="L2895" s="2"/>
    </row>
    <row r="2896" spans="1:12" x14ac:dyDescent="0.2">
      <c r="A2896" s="103"/>
      <c r="B2896" s="104"/>
      <c r="C2896" s="105"/>
      <c r="K2896" s="1"/>
      <c r="L2896" s="2"/>
    </row>
    <row r="2897" spans="1:12" x14ac:dyDescent="0.2">
      <c r="A2897" s="103"/>
      <c r="B2897" s="104"/>
      <c r="C2897" s="105"/>
      <c r="K2897" s="1"/>
      <c r="L2897" s="2"/>
    </row>
    <row r="2898" spans="1:12" x14ac:dyDescent="0.2">
      <c r="A2898" s="103"/>
      <c r="B2898" s="104"/>
      <c r="C2898" s="105"/>
      <c r="K2898" s="1"/>
      <c r="L2898" s="2"/>
    </row>
    <row r="2899" spans="1:12" x14ac:dyDescent="0.2">
      <c r="A2899" s="103"/>
      <c r="B2899" s="104"/>
      <c r="C2899" s="105"/>
      <c r="K2899" s="1"/>
      <c r="L2899" s="2"/>
    </row>
    <row r="2900" spans="1:12" x14ac:dyDescent="0.2">
      <c r="A2900" s="103"/>
      <c r="B2900" s="104"/>
      <c r="C2900" s="105"/>
      <c r="K2900" s="1"/>
      <c r="L2900" s="2"/>
    </row>
    <row r="2901" spans="1:12" x14ac:dyDescent="0.2">
      <c r="A2901" s="103"/>
      <c r="B2901" s="104"/>
      <c r="C2901" s="105"/>
      <c r="K2901" s="1"/>
      <c r="L2901" s="2"/>
    </row>
    <row r="2902" spans="1:12" x14ac:dyDescent="0.2">
      <c r="A2902" s="103"/>
      <c r="B2902" s="104"/>
      <c r="C2902" s="105"/>
      <c r="K2902" s="1"/>
      <c r="L2902" s="2"/>
    </row>
    <row r="2903" spans="1:12" x14ac:dyDescent="0.2">
      <c r="A2903" s="103"/>
      <c r="B2903" s="104"/>
      <c r="C2903" s="105"/>
      <c r="K2903" s="1"/>
      <c r="L2903" s="2"/>
    </row>
    <row r="2904" spans="1:12" x14ac:dyDescent="0.2">
      <c r="A2904" s="103"/>
      <c r="B2904" s="104"/>
      <c r="C2904" s="105"/>
      <c r="K2904" s="1"/>
      <c r="L2904" s="2"/>
    </row>
    <row r="2905" spans="1:12" x14ac:dyDescent="0.2">
      <c r="A2905" s="103"/>
      <c r="B2905" s="104"/>
      <c r="C2905" s="105"/>
      <c r="K2905" s="1"/>
      <c r="L2905" s="2"/>
    </row>
    <row r="2906" spans="1:12" x14ac:dyDescent="0.2">
      <c r="A2906" s="103"/>
      <c r="B2906" s="104"/>
      <c r="C2906" s="105"/>
      <c r="K2906" s="1"/>
      <c r="L2906" s="2"/>
    </row>
    <row r="2907" spans="1:12" x14ac:dyDescent="0.2">
      <c r="A2907" s="103"/>
      <c r="B2907" s="104"/>
      <c r="C2907" s="105"/>
      <c r="K2907" s="1"/>
      <c r="L2907" s="2"/>
    </row>
    <row r="2908" spans="1:12" x14ac:dyDescent="0.2">
      <c r="A2908" s="103"/>
      <c r="B2908" s="104"/>
      <c r="C2908" s="105"/>
      <c r="K2908" s="1"/>
      <c r="L2908" s="2"/>
    </row>
    <row r="2909" spans="1:12" x14ac:dyDescent="0.2">
      <c r="A2909" s="103"/>
      <c r="B2909" s="104"/>
      <c r="C2909" s="105"/>
      <c r="K2909" s="1"/>
      <c r="L2909" s="2"/>
    </row>
    <row r="2910" spans="1:12" x14ac:dyDescent="0.2">
      <c r="A2910" s="103"/>
      <c r="B2910" s="104"/>
      <c r="C2910" s="105"/>
      <c r="K2910" s="1"/>
      <c r="L2910" s="2"/>
    </row>
    <row r="2911" spans="1:12" x14ac:dyDescent="0.2">
      <c r="A2911" s="103"/>
      <c r="B2911" s="104"/>
      <c r="C2911" s="105"/>
      <c r="K2911" s="1"/>
      <c r="L2911" s="2"/>
    </row>
    <row r="2912" spans="1:12" x14ac:dyDescent="0.2">
      <c r="A2912" s="103"/>
      <c r="B2912" s="104"/>
      <c r="C2912" s="105"/>
      <c r="K2912" s="1"/>
      <c r="L2912" s="2"/>
    </row>
    <row r="2913" spans="1:12" x14ac:dyDescent="0.2">
      <c r="A2913" s="103"/>
      <c r="B2913" s="104"/>
      <c r="C2913" s="105"/>
      <c r="K2913" s="1"/>
      <c r="L2913" s="2"/>
    </row>
    <row r="2914" spans="1:12" x14ac:dyDescent="0.2">
      <c r="A2914" s="103"/>
      <c r="B2914" s="104"/>
      <c r="C2914" s="105"/>
      <c r="K2914" s="1"/>
      <c r="L2914" s="2"/>
    </row>
    <row r="2915" spans="1:12" x14ac:dyDescent="0.2">
      <c r="A2915" s="103"/>
      <c r="B2915" s="104"/>
      <c r="C2915" s="105"/>
      <c r="K2915" s="1"/>
      <c r="L2915" s="2"/>
    </row>
    <row r="2916" spans="1:12" x14ac:dyDescent="0.2">
      <c r="A2916" s="103"/>
      <c r="B2916" s="104"/>
      <c r="C2916" s="105"/>
      <c r="K2916" s="1"/>
      <c r="L2916" s="2"/>
    </row>
    <row r="2917" spans="1:12" x14ac:dyDescent="0.2">
      <c r="A2917" s="103"/>
      <c r="B2917" s="104"/>
      <c r="C2917" s="105"/>
      <c r="K2917" s="1"/>
      <c r="L2917" s="2"/>
    </row>
    <row r="2918" spans="1:12" x14ac:dyDescent="0.2">
      <c r="A2918" s="103"/>
      <c r="B2918" s="104"/>
      <c r="C2918" s="105"/>
      <c r="K2918" s="1"/>
      <c r="L2918" s="2"/>
    </row>
    <row r="2919" spans="1:12" x14ac:dyDescent="0.2">
      <c r="A2919" s="103"/>
      <c r="B2919" s="104"/>
      <c r="C2919" s="105"/>
      <c r="K2919" s="1"/>
      <c r="L2919" s="2"/>
    </row>
    <row r="2920" spans="1:12" x14ac:dyDescent="0.2">
      <c r="A2920" s="103"/>
      <c r="B2920" s="104"/>
      <c r="C2920" s="105"/>
      <c r="K2920" s="1"/>
      <c r="L2920" s="2"/>
    </row>
    <row r="2921" spans="1:12" x14ac:dyDescent="0.2">
      <c r="A2921" s="103"/>
      <c r="B2921" s="104"/>
      <c r="C2921" s="105"/>
      <c r="K2921" s="1"/>
      <c r="L2921" s="2"/>
    </row>
    <row r="2922" spans="1:12" x14ac:dyDescent="0.2">
      <c r="A2922" s="103"/>
      <c r="B2922" s="104"/>
      <c r="C2922" s="105"/>
      <c r="K2922" s="1"/>
      <c r="L2922" s="2"/>
    </row>
    <row r="2923" spans="1:12" x14ac:dyDescent="0.2">
      <c r="A2923" s="103"/>
      <c r="B2923" s="104"/>
      <c r="C2923" s="105"/>
      <c r="K2923" s="1"/>
      <c r="L2923" s="2"/>
    </row>
    <row r="2924" spans="1:12" x14ac:dyDescent="0.2">
      <c r="A2924" s="103"/>
      <c r="B2924" s="104"/>
      <c r="C2924" s="105"/>
      <c r="K2924" s="1"/>
      <c r="L2924" s="2"/>
    </row>
    <row r="2925" spans="1:12" x14ac:dyDescent="0.2">
      <c r="A2925" s="103"/>
      <c r="B2925" s="104"/>
      <c r="C2925" s="105"/>
      <c r="K2925" s="1"/>
      <c r="L2925" s="2"/>
    </row>
    <row r="2926" spans="1:12" x14ac:dyDescent="0.2">
      <c r="A2926" s="103"/>
      <c r="B2926" s="104"/>
      <c r="C2926" s="105"/>
      <c r="K2926" s="1"/>
      <c r="L2926" s="2"/>
    </row>
    <row r="2927" spans="1:12" x14ac:dyDescent="0.2">
      <c r="A2927" s="103"/>
      <c r="B2927" s="104"/>
      <c r="C2927" s="105"/>
      <c r="K2927" s="1"/>
      <c r="L2927" s="2"/>
    </row>
    <row r="2928" spans="1:12" x14ac:dyDescent="0.2">
      <c r="A2928" s="103"/>
      <c r="B2928" s="104"/>
      <c r="C2928" s="105"/>
      <c r="K2928" s="1"/>
      <c r="L2928" s="2"/>
    </row>
    <row r="2929" spans="1:12" x14ac:dyDescent="0.2">
      <c r="A2929" s="103"/>
      <c r="B2929" s="104"/>
      <c r="C2929" s="105"/>
      <c r="K2929" s="1"/>
      <c r="L2929" s="2"/>
    </row>
    <row r="2930" spans="1:12" x14ac:dyDescent="0.2">
      <c r="A2930" s="103"/>
      <c r="B2930" s="104"/>
      <c r="C2930" s="105"/>
      <c r="K2930" s="1"/>
      <c r="L2930" s="2"/>
    </row>
    <row r="2931" spans="1:12" x14ac:dyDescent="0.2">
      <c r="A2931" s="103"/>
      <c r="B2931" s="104"/>
      <c r="C2931" s="105"/>
      <c r="K2931" s="1"/>
      <c r="L2931" s="2"/>
    </row>
    <row r="2932" spans="1:12" x14ac:dyDescent="0.2">
      <c r="A2932" s="103"/>
      <c r="B2932" s="104"/>
      <c r="C2932" s="105"/>
      <c r="K2932" s="1"/>
      <c r="L2932" s="2"/>
    </row>
    <row r="2933" spans="1:12" x14ac:dyDescent="0.2">
      <c r="A2933" s="103"/>
      <c r="B2933" s="104"/>
      <c r="C2933" s="105"/>
      <c r="K2933" s="1"/>
      <c r="L2933" s="2"/>
    </row>
    <row r="2934" spans="1:12" x14ac:dyDescent="0.2">
      <c r="A2934" s="103"/>
      <c r="B2934" s="104"/>
      <c r="C2934" s="105"/>
      <c r="K2934" s="1"/>
      <c r="L2934" s="2"/>
    </row>
    <row r="2935" spans="1:12" x14ac:dyDescent="0.2">
      <c r="A2935" s="103"/>
      <c r="B2935" s="104"/>
      <c r="C2935" s="105"/>
      <c r="K2935" s="1"/>
      <c r="L2935" s="2"/>
    </row>
    <row r="2936" spans="1:12" x14ac:dyDescent="0.2">
      <c r="A2936" s="103"/>
      <c r="B2936" s="104"/>
      <c r="C2936" s="105"/>
      <c r="K2936" s="1"/>
      <c r="L2936" s="2"/>
    </row>
    <row r="2937" spans="1:12" x14ac:dyDescent="0.2">
      <c r="A2937" s="103"/>
      <c r="B2937" s="104"/>
      <c r="C2937" s="105"/>
      <c r="K2937" s="1"/>
      <c r="L2937" s="2"/>
    </row>
    <row r="2938" spans="1:12" x14ac:dyDescent="0.2">
      <c r="A2938" s="103"/>
      <c r="B2938" s="104"/>
      <c r="C2938" s="105"/>
      <c r="K2938" s="1"/>
      <c r="L2938" s="2"/>
    </row>
    <row r="2939" spans="1:12" x14ac:dyDescent="0.2">
      <c r="A2939" s="103"/>
      <c r="B2939" s="104"/>
      <c r="C2939" s="105"/>
      <c r="K2939" s="1"/>
      <c r="L2939" s="2"/>
    </row>
    <row r="2940" spans="1:12" x14ac:dyDescent="0.2">
      <c r="A2940" s="103"/>
      <c r="B2940" s="104"/>
      <c r="C2940" s="105"/>
      <c r="K2940" s="1"/>
      <c r="L2940" s="2"/>
    </row>
    <row r="2941" spans="1:12" x14ac:dyDescent="0.2">
      <c r="A2941" s="103"/>
      <c r="B2941" s="104"/>
      <c r="C2941" s="105"/>
      <c r="K2941" s="1"/>
      <c r="L2941" s="2"/>
    </row>
    <row r="2942" spans="1:12" x14ac:dyDescent="0.2">
      <c r="A2942" s="103"/>
      <c r="B2942" s="104"/>
      <c r="C2942" s="105"/>
      <c r="K2942" s="1"/>
      <c r="L2942" s="2"/>
    </row>
    <row r="2943" spans="1:12" x14ac:dyDescent="0.2">
      <c r="A2943" s="103"/>
      <c r="B2943" s="104"/>
      <c r="C2943" s="105"/>
      <c r="K2943" s="1"/>
      <c r="L2943" s="2"/>
    </row>
    <row r="2944" spans="1:12" x14ac:dyDescent="0.2">
      <c r="A2944" s="103"/>
      <c r="B2944" s="104"/>
      <c r="C2944" s="105"/>
      <c r="K2944" s="1"/>
      <c r="L2944" s="2"/>
    </row>
    <row r="2945" spans="1:12" x14ac:dyDescent="0.2">
      <c r="A2945" s="103"/>
      <c r="B2945" s="104"/>
      <c r="C2945" s="105"/>
      <c r="K2945" s="1"/>
      <c r="L2945" s="2"/>
    </row>
    <row r="2946" spans="1:12" x14ac:dyDescent="0.2">
      <c r="A2946" s="103"/>
      <c r="B2946" s="104"/>
      <c r="C2946" s="105"/>
      <c r="K2946" s="1"/>
      <c r="L2946" s="2"/>
    </row>
    <row r="2947" spans="1:12" x14ac:dyDescent="0.2">
      <c r="A2947" s="103"/>
      <c r="B2947" s="104"/>
      <c r="C2947" s="105"/>
      <c r="K2947" s="1"/>
      <c r="L2947" s="2"/>
    </row>
    <row r="2948" spans="1:12" x14ac:dyDescent="0.2">
      <c r="A2948" s="103"/>
      <c r="B2948" s="104"/>
      <c r="C2948" s="105"/>
      <c r="K2948" s="1"/>
      <c r="L2948" s="2"/>
    </row>
    <row r="2949" spans="1:12" x14ac:dyDescent="0.2">
      <c r="A2949" s="103"/>
      <c r="B2949" s="104"/>
      <c r="C2949" s="105"/>
      <c r="K2949" s="1"/>
      <c r="L2949" s="2"/>
    </row>
    <row r="2950" spans="1:12" x14ac:dyDescent="0.2">
      <c r="A2950" s="103"/>
      <c r="B2950" s="104"/>
      <c r="C2950" s="105"/>
      <c r="K2950" s="1"/>
      <c r="L2950" s="2"/>
    </row>
    <row r="2951" spans="1:12" x14ac:dyDescent="0.2">
      <c r="A2951" s="103"/>
      <c r="B2951" s="104"/>
      <c r="C2951" s="105"/>
      <c r="K2951" s="1"/>
      <c r="L2951" s="2"/>
    </row>
    <row r="2952" spans="1:12" x14ac:dyDescent="0.2">
      <c r="A2952" s="103"/>
      <c r="B2952" s="104"/>
      <c r="C2952" s="105"/>
      <c r="K2952" s="1"/>
      <c r="L2952" s="2"/>
    </row>
    <row r="2953" spans="1:12" x14ac:dyDescent="0.2">
      <c r="A2953" s="103"/>
      <c r="B2953" s="104"/>
      <c r="C2953" s="105"/>
      <c r="K2953" s="1"/>
      <c r="L2953" s="2"/>
    </row>
    <row r="2954" spans="1:12" x14ac:dyDescent="0.2">
      <c r="A2954" s="103"/>
      <c r="B2954" s="104"/>
      <c r="C2954" s="105"/>
      <c r="K2954" s="1"/>
      <c r="L2954" s="2"/>
    </row>
    <row r="2955" spans="1:12" x14ac:dyDescent="0.2">
      <c r="A2955" s="103"/>
      <c r="B2955" s="104"/>
      <c r="C2955" s="105"/>
      <c r="K2955" s="1"/>
      <c r="L2955" s="2"/>
    </row>
    <row r="2956" spans="1:12" x14ac:dyDescent="0.2">
      <c r="A2956" s="103"/>
      <c r="B2956" s="104"/>
      <c r="C2956" s="105"/>
      <c r="K2956" s="1"/>
      <c r="L2956" s="2"/>
    </row>
    <row r="2957" spans="1:12" x14ac:dyDescent="0.2">
      <c r="A2957" s="103"/>
      <c r="B2957" s="104"/>
      <c r="C2957" s="105"/>
      <c r="K2957" s="1"/>
      <c r="L2957" s="2"/>
    </row>
    <row r="2958" spans="1:12" x14ac:dyDescent="0.2">
      <c r="A2958" s="103"/>
      <c r="B2958" s="104"/>
      <c r="C2958" s="105"/>
      <c r="K2958" s="1"/>
      <c r="L2958" s="2"/>
    </row>
    <row r="2959" spans="1:12" x14ac:dyDescent="0.2">
      <c r="A2959" s="103"/>
      <c r="B2959" s="104"/>
      <c r="C2959" s="105"/>
      <c r="K2959" s="1"/>
      <c r="L2959" s="2"/>
    </row>
    <row r="2960" spans="1:12" x14ac:dyDescent="0.2">
      <c r="A2960" s="103"/>
      <c r="B2960" s="104"/>
      <c r="C2960" s="105"/>
      <c r="K2960" s="1"/>
      <c r="L2960" s="2"/>
    </row>
    <row r="2961" spans="1:12" x14ac:dyDescent="0.2">
      <c r="A2961" s="103"/>
      <c r="B2961" s="104"/>
      <c r="C2961" s="105"/>
      <c r="K2961" s="1"/>
      <c r="L2961" s="2"/>
    </row>
    <row r="2962" spans="1:12" x14ac:dyDescent="0.2">
      <c r="A2962" s="103"/>
      <c r="B2962" s="104"/>
      <c r="C2962" s="105"/>
      <c r="K2962" s="1"/>
      <c r="L2962" s="2"/>
    </row>
    <row r="2963" spans="1:12" x14ac:dyDescent="0.2">
      <c r="A2963" s="103"/>
      <c r="B2963" s="104"/>
      <c r="C2963" s="105"/>
      <c r="K2963" s="1"/>
      <c r="L2963" s="2"/>
    </row>
    <row r="2964" spans="1:12" x14ac:dyDescent="0.2">
      <c r="A2964" s="103"/>
      <c r="B2964" s="104"/>
      <c r="C2964" s="105"/>
      <c r="K2964" s="1"/>
      <c r="L2964" s="2"/>
    </row>
    <row r="2965" spans="1:12" x14ac:dyDescent="0.2">
      <c r="A2965" s="103"/>
      <c r="B2965" s="104"/>
      <c r="C2965" s="105"/>
      <c r="K2965" s="1"/>
      <c r="L2965" s="2"/>
    </row>
    <row r="2966" spans="1:12" x14ac:dyDescent="0.2">
      <c r="A2966" s="103"/>
      <c r="B2966" s="104"/>
      <c r="C2966" s="105"/>
      <c r="K2966" s="1"/>
      <c r="L2966" s="2"/>
    </row>
    <row r="2967" spans="1:12" x14ac:dyDescent="0.2">
      <c r="A2967" s="103"/>
      <c r="B2967" s="104"/>
      <c r="C2967" s="105"/>
      <c r="K2967" s="1"/>
      <c r="L2967" s="2"/>
    </row>
    <row r="2968" spans="1:12" x14ac:dyDescent="0.2">
      <c r="A2968" s="103"/>
      <c r="B2968" s="104"/>
      <c r="C2968" s="105"/>
      <c r="K2968" s="1"/>
      <c r="L2968" s="2"/>
    </row>
    <row r="2969" spans="1:12" x14ac:dyDescent="0.2">
      <c r="A2969" s="103"/>
      <c r="B2969" s="104"/>
      <c r="C2969" s="105"/>
      <c r="K2969" s="1"/>
      <c r="L2969" s="2"/>
    </row>
    <row r="2970" spans="1:12" x14ac:dyDescent="0.2">
      <c r="A2970" s="103"/>
      <c r="B2970" s="104"/>
      <c r="C2970" s="105"/>
      <c r="K2970" s="1"/>
      <c r="L2970" s="2"/>
    </row>
    <row r="2971" spans="1:12" x14ac:dyDescent="0.2">
      <c r="A2971" s="103"/>
      <c r="B2971" s="104"/>
      <c r="C2971" s="105"/>
      <c r="K2971" s="1"/>
      <c r="L2971" s="2"/>
    </row>
    <row r="2972" spans="1:12" x14ac:dyDescent="0.2">
      <c r="A2972" s="103"/>
      <c r="B2972" s="104"/>
      <c r="C2972" s="105"/>
      <c r="K2972" s="1"/>
      <c r="L2972" s="2"/>
    </row>
    <row r="2973" spans="1:12" x14ac:dyDescent="0.2">
      <c r="A2973" s="103"/>
      <c r="B2973" s="104"/>
      <c r="C2973" s="105"/>
      <c r="K2973" s="1"/>
      <c r="L2973" s="2"/>
    </row>
    <row r="2974" spans="1:12" x14ac:dyDescent="0.2">
      <c r="A2974" s="103"/>
      <c r="B2974" s="104"/>
      <c r="C2974" s="105"/>
      <c r="K2974" s="1"/>
      <c r="L2974" s="2"/>
    </row>
    <row r="2975" spans="1:12" x14ac:dyDescent="0.2">
      <c r="A2975" s="103"/>
      <c r="B2975" s="104"/>
      <c r="C2975" s="105"/>
      <c r="K2975" s="1"/>
      <c r="L2975" s="2"/>
    </row>
    <row r="2976" spans="1:12" x14ac:dyDescent="0.2">
      <c r="A2976" s="103"/>
      <c r="B2976" s="104"/>
      <c r="C2976" s="105"/>
      <c r="K2976" s="1"/>
      <c r="L2976" s="2"/>
    </row>
    <row r="2977" spans="1:12" x14ac:dyDescent="0.2">
      <c r="A2977" s="103"/>
      <c r="B2977" s="104"/>
      <c r="C2977" s="105"/>
      <c r="K2977" s="1"/>
      <c r="L2977" s="2"/>
    </row>
    <row r="2978" spans="1:12" x14ac:dyDescent="0.2">
      <c r="A2978" s="103"/>
      <c r="B2978" s="104"/>
      <c r="C2978" s="105"/>
      <c r="K2978" s="1"/>
      <c r="L2978" s="2"/>
    </row>
    <row r="2979" spans="1:12" x14ac:dyDescent="0.2">
      <c r="A2979" s="103"/>
      <c r="B2979" s="104"/>
      <c r="C2979" s="105"/>
      <c r="K2979" s="1"/>
      <c r="L2979" s="2"/>
    </row>
    <row r="2980" spans="1:12" x14ac:dyDescent="0.2">
      <c r="A2980" s="103"/>
      <c r="B2980" s="104"/>
      <c r="C2980" s="105"/>
      <c r="K2980" s="1"/>
      <c r="L2980" s="2"/>
    </row>
    <row r="2981" spans="1:12" x14ac:dyDescent="0.2">
      <c r="A2981" s="103"/>
      <c r="B2981" s="104"/>
      <c r="C2981" s="105"/>
      <c r="K2981" s="1"/>
      <c r="L2981" s="2"/>
    </row>
    <row r="2982" spans="1:12" x14ac:dyDescent="0.2">
      <c r="A2982" s="103"/>
      <c r="B2982" s="104"/>
      <c r="C2982" s="105"/>
      <c r="K2982" s="1"/>
      <c r="L2982" s="2"/>
    </row>
    <row r="2983" spans="1:12" x14ac:dyDescent="0.2">
      <c r="A2983" s="103"/>
      <c r="B2983" s="104"/>
      <c r="C2983" s="105"/>
      <c r="K2983" s="1"/>
      <c r="L2983" s="2"/>
    </row>
    <row r="2984" spans="1:12" x14ac:dyDescent="0.2">
      <c r="A2984" s="103"/>
      <c r="B2984" s="104"/>
      <c r="C2984" s="105"/>
      <c r="K2984" s="1"/>
      <c r="L2984" s="2"/>
    </row>
    <row r="2985" spans="1:12" x14ac:dyDescent="0.2">
      <c r="A2985" s="103"/>
      <c r="B2985" s="104"/>
      <c r="C2985" s="105"/>
      <c r="K2985" s="1"/>
      <c r="L2985" s="2"/>
    </row>
    <row r="2986" spans="1:12" x14ac:dyDescent="0.2">
      <c r="A2986" s="103"/>
      <c r="B2986" s="104"/>
      <c r="C2986" s="105"/>
      <c r="K2986" s="1"/>
      <c r="L2986" s="2"/>
    </row>
    <row r="2987" spans="1:12" x14ac:dyDescent="0.2">
      <c r="A2987" s="103"/>
      <c r="B2987" s="104"/>
      <c r="C2987" s="105"/>
      <c r="K2987" s="1"/>
      <c r="L2987" s="2"/>
    </row>
    <row r="2988" spans="1:12" x14ac:dyDescent="0.2">
      <c r="A2988" s="103"/>
      <c r="B2988" s="104"/>
      <c r="C2988" s="105"/>
      <c r="K2988" s="1"/>
      <c r="L2988" s="2"/>
    </row>
    <row r="2989" spans="1:12" x14ac:dyDescent="0.2">
      <c r="A2989" s="103"/>
      <c r="B2989" s="104"/>
      <c r="C2989" s="105"/>
      <c r="K2989" s="1"/>
      <c r="L2989" s="2"/>
    </row>
    <row r="2990" spans="1:12" x14ac:dyDescent="0.2">
      <c r="A2990" s="103"/>
      <c r="B2990" s="104"/>
      <c r="C2990" s="105"/>
      <c r="K2990" s="1"/>
      <c r="L2990" s="2"/>
    </row>
    <row r="2991" spans="1:12" x14ac:dyDescent="0.2">
      <c r="A2991" s="103"/>
      <c r="B2991" s="104"/>
      <c r="C2991" s="105"/>
      <c r="K2991" s="1"/>
      <c r="L2991" s="2"/>
    </row>
    <row r="2992" spans="1:12" x14ac:dyDescent="0.2">
      <c r="A2992" s="103"/>
      <c r="B2992" s="104"/>
      <c r="C2992" s="105"/>
      <c r="K2992" s="1"/>
      <c r="L2992" s="2"/>
    </row>
    <row r="2993" spans="1:12" x14ac:dyDescent="0.2">
      <c r="A2993" s="103"/>
      <c r="B2993" s="104"/>
      <c r="C2993" s="105"/>
      <c r="K2993" s="1"/>
      <c r="L2993" s="2"/>
    </row>
    <row r="2994" spans="1:12" x14ac:dyDescent="0.2">
      <c r="A2994" s="103"/>
      <c r="B2994" s="104"/>
      <c r="C2994" s="105"/>
      <c r="K2994" s="1"/>
      <c r="L2994" s="2"/>
    </row>
    <row r="2995" spans="1:12" x14ac:dyDescent="0.2">
      <c r="A2995" s="103"/>
      <c r="B2995" s="104"/>
      <c r="C2995" s="105"/>
      <c r="K2995" s="1"/>
      <c r="L2995" s="2"/>
    </row>
    <row r="2996" spans="1:12" x14ac:dyDescent="0.2">
      <c r="A2996" s="103"/>
      <c r="B2996" s="104"/>
      <c r="C2996" s="105"/>
      <c r="K2996" s="1"/>
      <c r="L2996" s="2"/>
    </row>
    <row r="2997" spans="1:12" x14ac:dyDescent="0.2">
      <c r="A2997" s="103"/>
      <c r="B2997" s="104"/>
      <c r="C2997" s="105"/>
      <c r="K2997" s="1"/>
      <c r="L2997" s="2"/>
    </row>
    <row r="2998" spans="1:12" x14ac:dyDescent="0.2">
      <c r="A2998" s="103"/>
      <c r="B2998" s="104"/>
      <c r="C2998" s="105"/>
      <c r="K2998" s="1"/>
      <c r="L2998" s="2"/>
    </row>
    <row r="2999" spans="1:12" x14ac:dyDescent="0.2">
      <c r="A2999" s="103"/>
      <c r="B2999" s="104"/>
      <c r="C2999" s="105"/>
      <c r="K2999" s="1"/>
      <c r="L2999" s="2"/>
    </row>
    <row r="3000" spans="1:12" x14ac:dyDescent="0.2">
      <c r="A3000" s="103"/>
      <c r="B3000" s="104"/>
      <c r="C3000" s="105"/>
      <c r="K3000" s="1"/>
      <c r="L3000" s="2"/>
    </row>
    <row r="3001" spans="1:12" x14ac:dyDescent="0.2">
      <c r="A3001" s="103"/>
      <c r="B3001" s="104"/>
      <c r="C3001" s="105"/>
      <c r="K3001" s="1"/>
      <c r="L3001" s="2"/>
    </row>
    <row r="3002" spans="1:12" x14ac:dyDescent="0.2">
      <c r="A3002" s="103"/>
      <c r="B3002" s="104"/>
      <c r="C3002" s="105"/>
      <c r="K3002" s="1"/>
      <c r="L3002" s="2"/>
    </row>
    <row r="3003" spans="1:12" x14ac:dyDescent="0.2">
      <c r="A3003" s="103"/>
      <c r="B3003" s="104"/>
      <c r="C3003" s="105"/>
      <c r="K3003" s="1"/>
      <c r="L3003" s="2"/>
    </row>
    <row r="3004" spans="1:12" x14ac:dyDescent="0.2">
      <c r="A3004" s="103"/>
      <c r="B3004" s="104"/>
      <c r="C3004" s="105"/>
      <c r="K3004" s="1"/>
      <c r="L3004" s="2"/>
    </row>
    <row r="3005" spans="1:12" x14ac:dyDescent="0.2">
      <c r="A3005" s="103"/>
      <c r="B3005" s="104"/>
      <c r="C3005" s="105"/>
      <c r="K3005" s="1"/>
      <c r="L3005" s="2"/>
    </row>
    <row r="3006" spans="1:12" x14ac:dyDescent="0.2">
      <c r="A3006" s="103"/>
      <c r="B3006" s="104"/>
      <c r="C3006" s="105"/>
      <c r="K3006" s="1"/>
      <c r="L3006" s="2"/>
    </row>
    <row r="3007" spans="1:12" x14ac:dyDescent="0.2">
      <c r="A3007" s="103"/>
      <c r="B3007" s="104"/>
      <c r="C3007" s="105"/>
      <c r="K3007" s="1"/>
      <c r="L3007" s="2"/>
    </row>
    <row r="3008" spans="1:12" x14ac:dyDescent="0.2">
      <c r="A3008" s="103"/>
      <c r="B3008" s="104"/>
      <c r="C3008" s="105"/>
      <c r="K3008" s="1"/>
      <c r="L3008" s="2"/>
    </row>
    <row r="3009" spans="1:12" x14ac:dyDescent="0.2">
      <c r="A3009" s="103"/>
      <c r="B3009" s="104"/>
      <c r="C3009" s="105"/>
      <c r="K3009" s="1"/>
      <c r="L3009" s="2"/>
    </row>
    <row r="3010" spans="1:12" x14ac:dyDescent="0.2">
      <c r="A3010" s="103"/>
      <c r="B3010" s="104"/>
      <c r="C3010" s="105"/>
      <c r="K3010" s="1"/>
      <c r="L3010" s="2"/>
    </row>
    <row r="3011" spans="1:12" x14ac:dyDescent="0.2">
      <c r="A3011" s="103"/>
      <c r="B3011" s="104"/>
      <c r="C3011" s="105"/>
      <c r="K3011" s="1"/>
      <c r="L3011" s="2"/>
    </row>
    <row r="3012" spans="1:12" x14ac:dyDescent="0.2">
      <c r="A3012" s="103"/>
      <c r="B3012" s="104"/>
      <c r="C3012" s="105"/>
      <c r="K3012" s="1"/>
      <c r="L3012" s="2"/>
    </row>
    <row r="3013" spans="1:12" x14ac:dyDescent="0.2">
      <c r="A3013" s="103"/>
      <c r="B3013" s="104"/>
      <c r="C3013" s="105"/>
      <c r="K3013" s="1"/>
      <c r="L3013" s="2"/>
    </row>
    <row r="3014" spans="1:12" x14ac:dyDescent="0.2">
      <c r="A3014" s="103"/>
      <c r="B3014" s="104"/>
      <c r="C3014" s="105"/>
      <c r="K3014" s="1"/>
      <c r="L3014" s="2"/>
    </row>
    <row r="3015" spans="1:12" x14ac:dyDescent="0.2">
      <c r="A3015" s="103"/>
      <c r="B3015" s="104"/>
      <c r="C3015" s="105"/>
      <c r="K3015" s="1"/>
      <c r="L3015" s="2"/>
    </row>
    <row r="3016" spans="1:12" x14ac:dyDescent="0.2">
      <c r="A3016" s="103"/>
      <c r="B3016" s="104"/>
      <c r="C3016" s="105"/>
      <c r="K3016" s="1"/>
      <c r="L3016" s="2"/>
    </row>
    <row r="3017" spans="1:12" x14ac:dyDescent="0.2">
      <c r="A3017" s="103"/>
      <c r="B3017" s="104"/>
      <c r="C3017" s="105"/>
      <c r="K3017" s="1"/>
      <c r="L3017" s="2"/>
    </row>
    <row r="3018" spans="1:12" x14ac:dyDescent="0.2">
      <c r="A3018" s="103"/>
      <c r="B3018" s="104"/>
      <c r="C3018" s="105"/>
      <c r="K3018" s="1"/>
      <c r="L3018" s="2"/>
    </row>
    <row r="3019" spans="1:12" x14ac:dyDescent="0.2">
      <c r="A3019" s="103"/>
      <c r="B3019" s="104"/>
      <c r="C3019" s="105"/>
      <c r="K3019" s="1"/>
      <c r="L3019" s="2"/>
    </row>
    <row r="3020" spans="1:12" x14ac:dyDescent="0.2">
      <c r="A3020" s="103"/>
      <c r="B3020" s="104"/>
      <c r="C3020" s="105"/>
      <c r="K3020" s="1"/>
      <c r="L3020" s="2"/>
    </row>
    <row r="3021" spans="1:12" x14ac:dyDescent="0.2">
      <c r="A3021" s="103"/>
      <c r="B3021" s="104"/>
      <c r="C3021" s="105"/>
      <c r="K3021" s="1"/>
      <c r="L3021" s="2"/>
    </row>
    <row r="3022" spans="1:12" x14ac:dyDescent="0.2">
      <c r="A3022" s="103"/>
      <c r="B3022" s="104"/>
      <c r="C3022" s="105"/>
      <c r="K3022" s="1"/>
      <c r="L3022" s="2"/>
    </row>
    <row r="3023" spans="1:12" x14ac:dyDescent="0.2">
      <c r="A3023" s="103"/>
      <c r="B3023" s="104"/>
      <c r="C3023" s="105"/>
      <c r="K3023" s="1"/>
      <c r="L3023" s="2"/>
    </row>
    <row r="3024" spans="1:12" x14ac:dyDescent="0.2">
      <c r="A3024" s="103"/>
      <c r="B3024" s="104"/>
      <c r="C3024" s="105"/>
      <c r="K3024" s="1"/>
      <c r="L3024" s="2"/>
    </row>
    <row r="3025" spans="1:12" x14ac:dyDescent="0.2">
      <c r="A3025" s="103"/>
      <c r="B3025" s="104"/>
      <c r="C3025" s="105"/>
      <c r="K3025" s="1"/>
      <c r="L3025" s="2"/>
    </row>
    <row r="3026" spans="1:12" x14ac:dyDescent="0.2">
      <c r="A3026" s="103"/>
      <c r="B3026" s="104"/>
      <c r="C3026" s="105"/>
      <c r="K3026" s="1"/>
      <c r="L3026" s="2"/>
    </row>
    <row r="3027" spans="1:12" x14ac:dyDescent="0.2">
      <c r="A3027" s="103"/>
      <c r="B3027" s="104"/>
      <c r="C3027" s="105"/>
      <c r="K3027" s="1"/>
      <c r="L3027" s="2"/>
    </row>
    <row r="3028" spans="1:12" x14ac:dyDescent="0.2">
      <c r="A3028" s="103"/>
      <c r="B3028" s="104"/>
      <c r="C3028" s="105"/>
      <c r="K3028" s="1"/>
      <c r="L3028" s="2"/>
    </row>
    <row r="3029" spans="1:12" x14ac:dyDescent="0.2">
      <c r="A3029" s="103"/>
      <c r="B3029" s="104"/>
      <c r="C3029" s="105"/>
      <c r="K3029" s="1"/>
      <c r="L3029" s="2"/>
    </row>
    <row r="3030" spans="1:12" x14ac:dyDescent="0.2">
      <c r="A3030" s="103"/>
      <c r="B3030" s="104"/>
      <c r="C3030" s="105"/>
      <c r="K3030" s="1"/>
      <c r="L3030" s="2"/>
    </row>
    <row r="3031" spans="1:12" x14ac:dyDescent="0.2">
      <c r="A3031" s="103"/>
      <c r="B3031" s="104"/>
      <c r="C3031" s="105"/>
      <c r="K3031" s="1"/>
      <c r="L3031" s="2"/>
    </row>
    <row r="3032" spans="1:12" x14ac:dyDescent="0.2">
      <c r="A3032" s="103"/>
      <c r="B3032" s="104"/>
      <c r="C3032" s="105"/>
      <c r="K3032" s="1"/>
      <c r="L3032" s="2"/>
    </row>
    <row r="3033" spans="1:12" x14ac:dyDescent="0.2">
      <c r="A3033" s="103"/>
      <c r="B3033" s="104"/>
      <c r="C3033" s="105"/>
      <c r="K3033" s="1"/>
      <c r="L3033" s="2"/>
    </row>
    <row r="3034" spans="1:12" x14ac:dyDescent="0.2">
      <c r="A3034" s="103"/>
      <c r="B3034" s="104"/>
      <c r="C3034" s="105"/>
      <c r="K3034" s="1"/>
      <c r="L3034" s="2"/>
    </row>
    <row r="3035" spans="1:12" x14ac:dyDescent="0.2">
      <c r="A3035" s="103"/>
      <c r="B3035" s="104"/>
      <c r="C3035" s="105"/>
      <c r="K3035" s="1"/>
      <c r="L3035" s="2"/>
    </row>
    <row r="3036" spans="1:12" x14ac:dyDescent="0.2">
      <c r="A3036" s="103"/>
      <c r="B3036" s="104"/>
      <c r="C3036" s="105"/>
      <c r="K3036" s="1"/>
      <c r="L3036" s="2"/>
    </row>
    <row r="3037" spans="1:12" x14ac:dyDescent="0.2">
      <c r="A3037" s="103"/>
      <c r="B3037" s="104"/>
      <c r="C3037" s="105"/>
      <c r="K3037" s="1"/>
      <c r="L3037" s="2"/>
    </row>
    <row r="3038" spans="1:12" x14ac:dyDescent="0.2">
      <c r="A3038" s="103"/>
      <c r="B3038" s="104"/>
      <c r="C3038" s="105"/>
      <c r="K3038" s="1"/>
      <c r="L3038" s="2"/>
    </row>
    <row r="3039" spans="1:12" x14ac:dyDescent="0.2">
      <c r="A3039" s="103"/>
      <c r="B3039" s="104"/>
      <c r="C3039" s="105"/>
      <c r="K3039" s="1"/>
      <c r="L3039" s="2"/>
    </row>
    <row r="3040" spans="1:12" x14ac:dyDescent="0.2">
      <c r="A3040" s="103"/>
      <c r="B3040" s="104"/>
      <c r="C3040" s="105"/>
      <c r="K3040" s="1"/>
      <c r="L3040" s="2"/>
    </row>
    <row r="3041" spans="1:12" x14ac:dyDescent="0.2">
      <c r="A3041" s="103"/>
      <c r="B3041" s="104"/>
      <c r="C3041" s="105"/>
      <c r="K3041" s="1"/>
      <c r="L3041" s="2"/>
    </row>
    <row r="3042" spans="1:12" x14ac:dyDescent="0.2">
      <c r="A3042" s="103"/>
      <c r="B3042" s="104"/>
      <c r="C3042" s="105"/>
      <c r="K3042" s="1"/>
      <c r="L3042" s="2"/>
    </row>
    <row r="3043" spans="1:12" x14ac:dyDescent="0.2">
      <c r="A3043" s="103"/>
      <c r="B3043" s="104"/>
      <c r="C3043" s="105"/>
      <c r="K3043" s="1"/>
      <c r="L3043" s="2"/>
    </row>
    <row r="3044" spans="1:12" x14ac:dyDescent="0.2">
      <c r="A3044" s="103"/>
      <c r="B3044" s="104"/>
      <c r="C3044" s="105"/>
      <c r="K3044" s="1"/>
      <c r="L3044" s="2"/>
    </row>
    <row r="3045" spans="1:12" x14ac:dyDescent="0.2">
      <c r="A3045" s="103"/>
      <c r="B3045" s="104"/>
      <c r="C3045" s="105"/>
      <c r="K3045" s="1"/>
      <c r="L3045" s="2"/>
    </row>
    <row r="3046" spans="1:12" x14ac:dyDescent="0.2">
      <c r="A3046" s="103"/>
      <c r="B3046" s="104"/>
      <c r="C3046" s="105"/>
      <c r="K3046" s="1"/>
      <c r="L3046" s="2"/>
    </row>
    <row r="3047" spans="1:12" x14ac:dyDescent="0.2">
      <c r="A3047" s="103"/>
      <c r="B3047" s="104"/>
      <c r="C3047" s="105"/>
      <c r="K3047" s="1"/>
      <c r="L3047" s="2"/>
    </row>
    <row r="3048" spans="1:12" x14ac:dyDescent="0.2">
      <c r="A3048" s="103"/>
      <c r="B3048" s="104"/>
      <c r="C3048" s="105"/>
      <c r="K3048" s="1"/>
      <c r="L3048" s="2"/>
    </row>
    <row r="3049" spans="1:12" x14ac:dyDescent="0.2">
      <c r="A3049" s="103"/>
      <c r="B3049" s="104"/>
      <c r="C3049" s="105"/>
      <c r="K3049" s="1"/>
      <c r="L3049" s="2"/>
    </row>
    <row r="3050" spans="1:12" x14ac:dyDescent="0.2">
      <c r="A3050" s="103"/>
      <c r="B3050" s="104"/>
      <c r="C3050" s="105"/>
      <c r="K3050" s="1"/>
      <c r="L3050" s="2"/>
    </row>
    <row r="3051" spans="1:12" x14ac:dyDescent="0.2">
      <c r="A3051" s="103"/>
      <c r="B3051" s="104"/>
      <c r="C3051" s="105"/>
      <c r="K3051" s="1"/>
      <c r="L3051" s="2"/>
    </row>
    <row r="3052" spans="1:12" x14ac:dyDescent="0.2">
      <c r="A3052" s="103"/>
      <c r="B3052" s="104"/>
      <c r="C3052" s="105"/>
      <c r="K3052" s="1"/>
      <c r="L3052" s="2"/>
    </row>
    <row r="3053" spans="1:12" x14ac:dyDescent="0.2">
      <c r="A3053" s="103"/>
      <c r="B3053" s="104"/>
      <c r="C3053" s="105"/>
      <c r="K3053" s="1"/>
      <c r="L3053" s="2"/>
    </row>
    <row r="3054" spans="1:12" x14ac:dyDescent="0.2">
      <c r="A3054" s="103"/>
      <c r="B3054" s="104"/>
      <c r="C3054" s="105"/>
      <c r="K3054" s="1"/>
      <c r="L3054" s="2"/>
    </row>
    <row r="3055" spans="1:12" x14ac:dyDescent="0.2">
      <c r="A3055" s="103"/>
      <c r="B3055" s="104"/>
      <c r="C3055" s="105"/>
      <c r="K3055" s="1"/>
      <c r="L3055" s="2"/>
    </row>
    <row r="3056" spans="1:12" x14ac:dyDescent="0.2">
      <c r="A3056" s="103"/>
      <c r="B3056" s="104"/>
      <c r="C3056" s="105"/>
      <c r="K3056" s="1"/>
      <c r="L3056" s="2"/>
    </row>
    <row r="3057" spans="1:12" x14ac:dyDescent="0.2">
      <c r="A3057" s="103"/>
      <c r="B3057" s="104"/>
      <c r="C3057" s="105"/>
      <c r="K3057" s="1"/>
      <c r="L3057" s="2"/>
    </row>
    <row r="3058" spans="1:12" x14ac:dyDescent="0.2">
      <c r="A3058" s="103"/>
      <c r="B3058" s="104"/>
      <c r="C3058" s="105"/>
      <c r="K3058" s="1"/>
      <c r="L3058" s="2"/>
    </row>
    <row r="3059" spans="1:12" x14ac:dyDescent="0.2">
      <c r="A3059" s="103"/>
      <c r="B3059" s="104"/>
      <c r="C3059" s="105"/>
      <c r="K3059" s="1"/>
      <c r="L3059" s="2"/>
    </row>
    <row r="3060" spans="1:12" x14ac:dyDescent="0.2">
      <c r="A3060" s="103"/>
      <c r="B3060" s="104"/>
      <c r="C3060" s="105"/>
      <c r="K3060" s="1"/>
      <c r="L3060" s="2"/>
    </row>
    <row r="3061" spans="1:12" x14ac:dyDescent="0.2">
      <c r="A3061" s="103"/>
      <c r="B3061" s="104"/>
      <c r="C3061" s="105"/>
      <c r="K3061" s="1"/>
      <c r="L3061" s="2"/>
    </row>
    <row r="3062" spans="1:12" x14ac:dyDescent="0.2">
      <c r="A3062" s="103"/>
      <c r="B3062" s="104"/>
      <c r="C3062" s="105"/>
      <c r="K3062" s="1"/>
      <c r="L3062" s="2"/>
    </row>
    <row r="3063" spans="1:12" x14ac:dyDescent="0.2">
      <c r="A3063" s="103"/>
      <c r="B3063" s="104"/>
      <c r="C3063" s="105"/>
      <c r="K3063" s="1"/>
      <c r="L3063" s="2"/>
    </row>
    <row r="3064" spans="1:12" x14ac:dyDescent="0.2">
      <c r="A3064" s="103"/>
      <c r="B3064" s="104"/>
      <c r="C3064" s="105"/>
      <c r="K3064" s="1"/>
      <c r="L3064" s="2"/>
    </row>
    <row r="3065" spans="1:12" x14ac:dyDescent="0.2">
      <c r="A3065" s="103"/>
      <c r="B3065" s="104"/>
      <c r="C3065" s="105"/>
      <c r="K3065" s="1"/>
      <c r="L3065" s="2"/>
    </row>
    <row r="3066" spans="1:12" x14ac:dyDescent="0.2">
      <c r="A3066" s="103"/>
      <c r="B3066" s="104"/>
      <c r="C3066" s="105"/>
      <c r="K3066" s="1"/>
      <c r="L3066" s="2"/>
    </row>
    <row r="3067" spans="1:12" x14ac:dyDescent="0.2">
      <c r="A3067" s="103"/>
      <c r="B3067" s="104"/>
      <c r="C3067" s="105"/>
      <c r="K3067" s="1"/>
      <c r="L3067" s="2"/>
    </row>
    <row r="3068" spans="1:12" x14ac:dyDescent="0.2">
      <c r="A3068" s="103"/>
      <c r="B3068" s="104"/>
      <c r="C3068" s="105"/>
      <c r="K3068" s="1"/>
      <c r="L3068" s="2"/>
    </row>
    <row r="3069" spans="1:12" x14ac:dyDescent="0.2">
      <c r="A3069" s="103"/>
      <c r="B3069" s="104"/>
      <c r="C3069" s="105"/>
      <c r="K3069" s="1"/>
      <c r="L3069" s="2"/>
    </row>
    <row r="3070" spans="1:12" x14ac:dyDescent="0.2">
      <c r="A3070" s="103"/>
      <c r="B3070" s="104"/>
      <c r="C3070" s="105"/>
      <c r="K3070" s="1"/>
      <c r="L3070" s="2"/>
    </row>
    <row r="3071" spans="1:12" x14ac:dyDescent="0.2">
      <c r="A3071" s="103"/>
      <c r="B3071" s="104"/>
      <c r="C3071" s="105"/>
      <c r="K3071" s="1"/>
      <c r="L3071" s="2"/>
    </row>
    <row r="3072" spans="1:12" x14ac:dyDescent="0.2">
      <c r="A3072" s="103"/>
      <c r="B3072" s="104"/>
      <c r="C3072" s="105"/>
      <c r="K3072" s="1"/>
      <c r="L3072" s="2"/>
    </row>
    <row r="3073" spans="1:12" x14ac:dyDescent="0.2">
      <c r="A3073" s="103"/>
      <c r="B3073" s="104"/>
      <c r="C3073" s="105"/>
      <c r="K3073" s="1"/>
      <c r="L3073" s="2"/>
    </row>
    <row r="3074" spans="1:12" x14ac:dyDescent="0.2">
      <c r="A3074" s="103"/>
      <c r="B3074" s="104"/>
      <c r="C3074" s="105"/>
      <c r="K3074" s="1"/>
      <c r="L3074" s="2"/>
    </row>
    <row r="3075" spans="1:12" x14ac:dyDescent="0.2">
      <c r="A3075" s="103"/>
      <c r="B3075" s="104"/>
      <c r="C3075" s="105"/>
      <c r="K3075" s="1"/>
      <c r="L3075" s="2"/>
    </row>
    <row r="3076" spans="1:12" x14ac:dyDescent="0.2">
      <c r="A3076" s="103"/>
      <c r="B3076" s="104"/>
      <c r="C3076" s="105"/>
      <c r="K3076" s="1"/>
      <c r="L3076" s="2"/>
    </row>
    <row r="3077" spans="1:12" x14ac:dyDescent="0.2">
      <c r="A3077" s="103"/>
      <c r="B3077" s="104"/>
      <c r="C3077" s="105"/>
      <c r="K3077" s="1"/>
      <c r="L3077" s="2"/>
    </row>
    <row r="3078" spans="1:12" x14ac:dyDescent="0.2">
      <c r="A3078" s="103"/>
      <c r="B3078" s="104"/>
      <c r="C3078" s="105"/>
      <c r="K3078" s="1"/>
      <c r="L3078" s="2"/>
    </row>
    <row r="3079" spans="1:12" x14ac:dyDescent="0.2">
      <c r="A3079" s="103"/>
      <c r="B3079" s="104"/>
      <c r="C3079" s="105"/>
      <c r="K3079" s="1"/>
      <c r="L3079" s="2"/>
    </row>
    <row r="3080" spans="1:12" x14ac:dyDescent="0.2">
      <c r="A3080" s="103"/>
      <c r="B3080" s="104"/>
      <c r="C3080" s="105"/>
      <c r="K3080" s="1"/>
      <c r="L3080" s="2"/>
    </row>
    <row r="3081" spans="1:12" x14ac:dyDescent="0.2">
      <c r="A3081" s="103"/>
      <c r="B3081" s="104"/>
      <c r="C3081" s="105"/>
      <c r="K3081" s="1"/>
      <c r="L3081" s="2"/>
    </row>
    <row r="3082" spans="1:12" x14ac:dyDescent="0.2">
      <c r="A3082" s="103"/>
      <c r="B3082" s="104"/>
      <c r="C3082" s="105"/>
      <c r="K3082" s="1"/>
      <c r="L3082" s="2"/>
    </row>
    <row r="3083" spans="1:12" x14ac:dyDescent="0.2">
      <c r="A3083" s="103"/>
      <c r="B3083" s="104"/>
      <c r="C3083" s="105"/>
      <c r="K3083" s="1"/>
      <c r="L3083" s="2"/>
    </row>
    <row r="3084" spans="1:12" x14ac:dyDescent="0.2">
      <c r="A3084" s="103"/>
      <c r="B3084" s="104"/>
      <c r="C3084" s="105"/>
      <c r="K3084" s="1"/>
      <c r="L3084" s="2"/>
    </row>
    <row r="3085" spans="1:12" x14ac:dyDescent="0.2">
      <c r="A3085" s="103"/>
      <c r="B3085" s="104"/>
      <c r="C3085" s="105"/>
      <c r="K3085" s="1"/>
      <c r="L3085" s="2"/>
    </row>
    <row r="3086" spans="1:12" x14ac:dyDescent="0.2">
      <c r="A3086" s="103"/>
      <c r="B3086" s="104"/>
      <c r="C3086" s="105"/>
      <c r="K3086" s="1"/>
      <c r="L3086" s="2"/>
    </row>
    <row r="3087" spans="1:12" x14ac:dyDescent="0.2">
      <c r="A3087" s="103"/>
      <c r="B3087" s="104"/>
      <c r="C3087" s="105"/>
      <c r="K3087" s="1"/>
      <c r="L3087" s="2"/>
    </row>
    <row r="3088" spans="1:12" x14ac:dyDescent="0.2">
      <c r="A3088" s="103"/>
      <c r="B3088" s="104"/>
      <c r="C3088" s="105"/>
      <c r="K3088" s="1"/>
      <c r="L3088" s="2"/>
    </row>
    <row r="3089" spans="1:12" x14ac:dyDescent="0.2">
      <c r="A3089" s="103"/>
      <c r="B3089" s="104"/>
      <c r="C3089" s="105"/>
      <c r="K3089" s="1"/>
      <c r="L3089" s="2"/>
    </row>
    <row r="3090" spans="1:12" x14ac:dyDescent="0.2">
      <c r="A3090" s="103"/>
      <c r="B3090" s="104"/>
      <c r="C3090" s="105"/>
      <c r="K3090" s="1"/>
      <c r="L3090" s="2"/>
    </row>
    <row r="3091" spans="1:12" x14ac:dyDescent="0.2">
      <c r="A3091" s="103"/>
      <c r="B3091" s="104"/>
      <c r="C3091" s="105"/>
      <c r="K3091" s="1"/>
      <c r="L3091" s="2"/>
    </row>
    <row r="3092" spans="1:12" x14ac:dyDescent="0.2">
      <c r="A3092" s="103"/>
      <c r="B3092" s="104"/>
      <c r="C3092" s="105"/>
      <c r="K3092" s="1"/>
      <c r="L3092" s="2"/>
    </row>
    <row r="3093" spans="1:12" x14ac:dyDescent="0.2">
      <c r="A3093" s="103"/>
      <c r="B3093" s="104"/>
      <c r="C3093" s="105"/>
      <c r="K3093" s="1"/>
      <c r="L3093" s="2"/>
    </row>
    <row r="3094" spans="1:12" x14ac:dyDescent="0.2">
      <c r="A3094" s="103"/>
      <c r="B3094" s="104"/>
      <c r="C3094" s="105"/>
      <c r="K3094" s="1"/>
      <c r="L3094" s="2"/>
    </row>
    <row r="3095" spans="1:12" x14ac:dyDescent="0.2">
      <c r="A3095" s="103"/>
      <c r="B3095" s="104"/>
      <c r="C3095" s="105"/>
      <c r="K3095" s="1"/>
      <c r="L3095" s="2"/>
    </row>
    <row r="3096" spans="1:12" x14ac:dyDescent="0.2">
      <c r="A3096" s="103"/>
      <c r="B3096" s="104"/>
      <c r="C3096" s="105"/>
      <c r="K3096" s="1"/>
      <c r="L3096" s="2"/>
    </row>
    <row r="3097" spans="1:12" x14ac:dyDescent="0.2">
      <c r="A3097" s="103"/>
      <c r="B3097" s="104"/>
      <c r="C3097" s="105"/>
      <c r="K3097" s="1"/>
      <c r="L3097" s="2"/>
    </row>
    <row r="3098" spans="1:12" x14ac:dyDescent="0.2">
      <c r="A3098" s="103"/>
      <c r="B3098" s="104"/>
      <c r="C3098" s="105"/>
      <c r="K3098" s="1"/>
      <c r="L3098" s="2"/>
    </row>
    <row r="3099" spans="1:12" x14ac:dyDescent="0.2">
      <c r="A3099" s="103"/>
      <c r="B3099" s="104"/>
      <c r="C3099" s="105"/>
      <c r="K3099" s="1"/>
      <c r="L3099" s="2"/>
    </row>
    <row r="3100" spans="1:12" x14ac:dyDescent="0.2">
      <c r="A3100" s="103"/>
      <c r="B3100" s="104"/>
      <c r="C3100" s="105"/>
      <c r="K3100" s="1"/>
      <c r="L3100" s="2"/>
    </row>
    <row r="3101" spans="1:12" x14ac:dyDescent="0.2">
      <c r="A3101" s="103"/>
      <c r="B3101" s="104"/>
      <c r="C3101" s="105"/>
      <c r="K3101" s="1"/>
      <c r="L3101" s="2"/>
    </row>
    <row r="3102" spans="1:12" x14ac:dyDescent="0.2">
      <c r="A3102" s="103"/>
      <c r="B3102" s="104"/>
      <c r="C3102" s="105"/>
      <c r="K3102" s="1"/>
      <c r="L3102" s="2"/>
    </row>
    <row r="3103" spans="1:12" x14ac:dyDescent="0.2">
      <c r="A3103" s="103"/>
      <c r="B3103" s="104"/>
      <c r="C3103" s="105"/>
      <c r="K3103" s="1"/>
      <c r="L3103" s="2"/>
    </row>
    <row r="3104" spans="1:12" x14ac:dyDescent="0.2">
      <c r="A3104" s="103"/>
      <c r="B3104" s="104"/>
      <c r="C3104" s="105"/>
      <c r="K3104" s="1"/>
      <c r="L3104" s="2"/>
    </row>
    <row r="3105" spans="1:12" x14ac:dyDescent="0.2">
      <c r="A3105" s="103"/>
      <c r="B3105" s="104"/>
      <c r="C3105" s="105"/>
      <c r="K3105" s="1"/>
      <c r="L3105" s="2"/>
    </row>
    <row r="3106" spans="1:12" x14ac:dyDescent="0.2">
      <c r="A3106" s="103"/>
      <c r="B3106" s="104"/>
      <c r="C3106" s="105"/>
      <c r="K3106" s="1"/>
      <c r="L3106" s="2"/>
    </row>
    <row r="3107" spans="1:12" x14ac:dyDescent="0.2">
      <c r="A3107" s="103"/>
      <c r="B3107" s="104"/>
      <c r="C3107" s="105"/>
      <c r="K3107" s="1"/>
      <c r="L3107" s="2"/>
    </row>
    <row r="3108" spans="1:12" x14ac:dyDescent="0.2">
      <c r="A3108" s="103"/>
      <c r="B3108" s="104"/>
      <c r="C3108" s="105"/>
      <c r="K3108" s="1"/>
      <c r="L3108" s="2"/>
    </row>
    <row r="3109" spans="1:12" x14ac:dyDescent="0.2">
      <c r="A3109" s="103"/>
      <c r="B3109" s="104"/>
      <c r="C3109" s="105"/>
      <c r="K3109" s="1"/>
      <c r="L3109" s="2"/>
    </row>
    <row r="3110" spans="1:12" x14ac:dyDescent="0.2">
      <c r="A3110" s="103"/>
      <c r="B3110" s="104"/>
      <c r="C3110" s="105"/>
      <c r="K3110" s="1"/>
      <c r="L3110" s="2"/>
    </row>
    <row r="3111" spans="1:12" x14ac:dyDescent="0.2">
      <c r="A3111" s="103"/>
      <c r="B3111" s="104"/>
      <c r="C3111" s="105"/>
      <c r="K3111" s="1"/>
      <c r="L3111" s="2"/>
    </row>
    <row r="3112" spans="1:12" x14ac:dyDescent="0.2">
      <c r="A3112" s="103"/>
      <c r="B3112" s="104"/>
      <c r="C3112" s="105"/>
      <c r="K3112" s="1"/>
      <c r="L3112" s="2"/>
    </row>
    <row r="3113" spans="1:12" x14ac:dyDescent="0.2">
      <c r="A3113" s="103"/>
      <c r="B3113" s="104"/>
      <c r="C3113" s="105"/>
      <c r="K3113" s="1"/>
      <c r="L3113" s="2"/>
    </row>
    <row r="3114" spans="1:12" x14ac:dyDescent="0.2">
      <c r="A3114" s="103"/>
      <c r="B3114" s="104"/>
      <c r="C3114" s="105"/>
      <c r="K3114" s="1"/>
      <c r="L3114" s="2"/>
    </row>
    <row r="3115" spans="1:12" x14ac:dyDescent="0.2">
      <c r="A3115" s="103"/>
      <c r="B3115" s="104"/>
      <c r="C3115" s="105"/>
      <c r="K3115" s="1"/>
      <c r="L3115" s="2"/>
    </row>
    <row r="3116" spans="1:12" x14ac:dyDescent="0.2">
      <c r="A3116" s="103"/>
      <c r="B3116" s="104"/>
      <c r="C3116" s="105"/>
      <c r="K3116" s="1"/>
      <c r="L3116" s="2"/>
    </row>
    <row r="3117" spans="1:12" x14ac:dyDescent="0.2">
      <c r="A3117" s="103"/>
      <c r="B3117" s="104"/>
      <c r="C3117" s="105"/>
      <c r="K3117" s="1"/>
      <c r="L3117" s="2"/>
    </row>
    <row r="3118" spans="1:12" x14ac:dyDescent="0.2">
      <c r="A3118" s="103"/>
      <c r="B3118" s="104"/>
      <c r="C3118" s="105"/>
      <c r="K3118" s="1"/>
      <c r="L3118" s="2"/>
    </row>
    <row r="3119" spans="1:12" x14ac:dyDescent="0.2">
      <c r="A3119" s="103"/>
      <c r="B3119" s="104"/>
      <c r="C3119" s="105"/>
      <c r="K3119" s="1"/>
      <c r="L3119" s="2"/>
    </row>
    <row r="3120" spans="1:12" x14ac:dyDescent="0.2">
      <c r="A3120" s="103"/>
      <c r="B3120" s="104"/>
      <c r="C3120" s="105"/>
      <c r="K3120" s="1"/>
      <c r="L3120" s="2"/>
    </row>
    <row r="3121" spans="1:12" x14ac:dyDescent="0.2">
      <c r="A3121" s="103"/>
      <c r="B3121" s="104"/>
      <c r="C3121" s="105"/>
      <c r="K3121" s="1"/>
      <c r="L3121" s="2"/>
    </row>
    <row r="3122" spans="1:12" x14ac:dyDescent="0.2">
      <c r="A3122" s="103"/>
      <c r="B3122" s="104"/>
      <c r="C3122" s="105"/>
      <c r="K3122" s="1"/>
      <c r="L3122" s="2"/>
    </row>
    <row r="3123" spans="1:12" x14ac:dyDescent="0.2">
      <c r="A3123" s="103"/>
      <c r="B3123" s="104"/>
      <c r="C3123" s="105"/>
      <c r="K3123" s="1"/>
      <c r="L3123" s="2"/>
    </row>
    <row r="3124" spans="1:12" x14ac:dyDescent="0.2">
      <c r="A3124" s="103"/>
      <c r="B3124" s="104"/>
      <c r="C3124" s="105"/>
      <c r="K3124" s="1"/>
      <c r="L3124" s="2"/>
    </row>
    <row r="3125" spans="1:12" x14ac:dyDescent="0.2">
      <c r="A3125" s="103"/>
      <c r="B3125" s="104"/>
      <c r="C3125" s="105"/>
      <c r="K3125" s="1"/>
      <c r="L3125" s="2"/>
    </row>
    <row r="3126" spans="1:12" x14ac:dyDescent="0.2">
      <c r="A3126" s="103"/>
      <c r="B3126" s="104"/>
      <c r="C3126" s="105"/>
      <c r="K3126" s="1"/>
      <c r="L3126" s="2"/>
    </row>
    <row r="3127" spans="1:12" x14ac:dyDescent="0.2">
      <c r="A3127" s="103"/>
      <c r="B3127" s="104"/>
      <c r="C3127" s="105"/>
      <c r="K3127" s="1"/>
      <c r="L3127" s="2"/>
    </row>
    <row r="3128" spans="1:12" x14ac:dyDescent="0.2">
      <c r="A3128" s="103"/>
      <c r="B3128" s="104"/>
      <c r="C3128" s="105"/>
      <c r="K3128" s="1"/>
      <c r="L3128" s="2"/>
    </row>
    <row r="3129" spans="1:12" x14ac:dyDescent="0.2">
      <c r="A3129" s="103"/>
      <c r="B3129" s="104"/>
      <c r="C3129" s="105"/>
      <c r="K3129" s="1"/>
      <c r="L3129" s="2"/>
    </row>
    <row r="3130" spans="1:12" x14ac:dyDescent="0.2">
      <c r="A3130" s="103"/>
      <c r="B3130" s="104"/>
      <c r="C3130" s="105"/>
      <c r="K3130" s="1"/>
      <c r="L3130" s="2"/>
    </row>
    <row r="3131" spans="1:12" x14ac:dyDescent="0.2">
      <c r="A3131" s="103"/>
      <c r="B3131" s="104"/>
      <c r="C3131" s="105"/>
      <c r="K3131" s="1"/>
      <c r="L3131" s="2"/>
    </row>
    <row r="3132" spans="1:12" x14ac:dyDescent="0.2">
      <c r="A3132" s="103"/>
      <c r="B3132" s="104"/>
      <c r="C3132" s="105"/>
      <c r="K3132" s="1"/>
      <c r="L3132" s="2"/>
    </row>
    <row r="3133" spans="1:12" x14ac:dyDescent="0.2">
      <c r="A3133" s="103"/>
      <c r="B3133" s="104"/>
      <c r="C3133" s="105"/>
      <c r="K3133" s="1"/>
      <c r="L3133" s="2"/>
    </row>
    <row r="3134" spans="1:12" x14ac:dyDescent="0.2">
      <c r="A3134" s="103"/>
      <c r="B3134" s="104"/>
      <c r="C3134" s="105"/>
      <c r="K3134" s="1"/>
      <c r="L3134" s="2"/>
    </row>
    <row r="3135" spans="1:12" x14ac:dyDescent="0.2">
      <c r="A3135" s="103"/>
      <c r="B3135" s="104"/>
      <c r="C3135" s="105"/>
      <c r="K3135" s="1"/>
      <c r="L3135" s="2"/>
    </row>
    <row r="3136" spans="1:12" x14ac:dyDescent="0.2">
      <c r="A3136" s="103"/>
      <c r="B3136" s="104"/>
      <c r="C3136" s="105"/>
      <c r="K3136" s="1"/>
      <c r="L3136" s="2"/>
    </row>
    <row r="3137" spans="1:12" x14ac:dyDescent="0.2">
      <c r="A3137" s="103"/>
      <c r="B3137" s="104"/>
      <c r="C3137" s="105"/>
      <c r="K3137" s="1"/>
      <c r="L3137" s="2"/>
    </row>
    <row r="3138" spans="1:12" x14ac:dyDescent="0.2">
      <c r="A3138" s="103"/>
      <c r="B3138" s="104"/>
      <c r="C3138" s="105"/>
      <c r="K3138" s="1"/>
      <c r="L3138" s="2"/>
    </row>
    <row r="3139" spans="1:12" x14ac:dyDescent="0.2">
      <c r="A3139" s="103"/>
      <c r="B3139" s="104"/>
      <c r="C3139" s="105"/>
      <c r="K3139" s="1"/>
      <c r="L3139" s="2"/>
    </row>
    <row r="3140" spans="1:12" x14ac:dyDescent="0.2">
      <c r="A3140" s="103"/>
      <c r="B3140" s="104"/>
      <c r="C3140" s="105"/>
      <c r="K3140" s="1"/>
      <c r="L3140" s="2"/>
    </row>
    <row r="3141" spans="1:12" x14ac:dyDescent="0.2">
      <c r="A3141" s="103"/>
      <c r="B3141" s="104"/>
      <c r="C3141" s="105"/>
      <c r="K3141" s="1"/>
      <c r="L3141" s="2"/>
    </row>
    <row r="3142" spans="1:12" x14ac:dyDescent="0.2">
      <c r="A3142" s="103"/>
      <c r="B3142" s="104"/>
      <c r="C3142" s="105"/>
      <c r="K3142" s="1"/>
      <c r="L3142" s="2"/>
    </row>
    <row r="3143" spans="1:12" x14ac:dyDescent="0.2">
      <c r="A3143" s="103"/>
      <c r="B3143" s="104"/>
      <c r="C3143" s="105"/>
      <c r="K3143" s="1"/>
      <c r="L3143" s="2"/>
    </row>
    <row r="3144" spans="1:12" x14ac:dyDescent="0.2">
      <c r="A3144" s="103"/>
      <c r="B3144" s="104"/>
      <c r="C3144" s="105"/>
      <c r="K3144" s="1"/>
      <c r="L3144" s="2"/>
    </row>
    <row r="3145" spans="1:12" x14ac:dyDescent="0.2">
      <c r="A3145" s="103"/>
      <c r="B3145" s="104"/>
      <c r="C3145" s="105"/>
      <c r="K3145" s="1"/>
      <c r="L3145" s="2"/>
    </row>
    <row r="3146" spans="1:12" x14ac:dyDescent="0.2">
      <c r="A3146" s="103"/>
      <c r="B3146" s="104"/>
      <c r="C3146" s="105"/>
      <c r="K3146" s="1"/>
      <c r="L3146" s="2"/>
    </row>
    <row r="3147" spans="1:12" x14ac:dyDescent="0.2">
      <c r="A3147" s="103"/>
      <c r="B3147" s="104"/>
      <c r="C3147" s="105"/>
      <c r="K3147" s="1"/>
      <c r="L3147" s="2"/>
    </row>
    <row r="3148" spans="1:12" x14ac:dyDescent="0.2">
      <c r="A3148" s="103"/>
      <c r="B3148" s="104"/>
      <c r="C3148" s="105"/>
      <c r="K3148" s="1"/>
      <c r="L3148" s="2"/>
    </row>
    <row r="3149" spans="1:12" x14ac:dyDescent="0.2">
      <c r="A3149" s="103"/>
      <c r="B3149" s="104"/>
      <c r="C3149" s="105"/>
      <c r="K3149" s="1"/>
      <c r="L3149" s="2"/>
    </row>
    <row r="3150" spans="1:12" x14ac:dyDescent="0.2">
      <c r="A3150" s="103"/>
      <c r="B3150" s="104"/>
      <c r="C3150" s="105"/>
      <c r="K3150" s="1"/>
      <c r="L3150" s="2"/>
    </row>
    <row r="3151" spans="1:12" x14ac:dyDescent="0.2">
      <c r="A3151" s="103"/>
      <c r="B3151" s="104"/>
      <c r="C3151" s="105"/>
      <c r="K3151" s="1"/>
      <c r="L3151" s="2"/>
    </row>
    <row r="3152" spans="1:12" x14ac:dyDescent="0.2">
      <c r="A3152" s="103"/>
      <c r="B3152" s="104"/>
      <c r="C3152" s="105"/>
      <c r="K3152" s="1"/>
      <c r="L3152" s="2"/>
    </row>
    <row r="3153" spans="1:12" x14ac:dyDescent="0.2">
      <c r="A3153" s="103"/>
      <c r="B3153" s="104"/>
      <c r="C3153" s="105"/>
      <c r="K3153" s="1"/>
      <c r="L3153" s="2"/>
    </row>
    <row r="3154" spans="1:12" x14ac:dyDescent="0.2">
      <c r="A3154" s="103"/>
      <c r="B3154" s="104"/>
      <c r="C3154" s="105"/>
      <c r="K3154" s="1"/>
      <c r="L3154" s="2"/>
    </row>
    <row r="3155" spans="1:12" x14ac:dyDescent="0.2">
      <c r="A3155" s="103"/>
      <c r="B3155" s="104"/>
      <c r="C3155" s="105"/>
      <c r="K3155" s="1"/>
      <c r="L3155" s="2"/>
    </row>
    <row r="3156" spans="1:12" x14ac:dyDescent="0.2">
      <c r="A3156" s="103"/>
      <c r="B3156" s="104"/>
      <c r="C3156" s="105"/>
      <c r="K3156" s="1"/>
      <c r="L3156" s="2"/>
    </row>
    <row r="3157" spans="1:12" x14ac:dyDescent="0.2">
      <c r="A3157" s="103"/>
      <c r="B3157" s="104"/>
      <c r="C3157" s="105"/>
      <c r="K3157" s="1"/>
      <c r="L3157" s="2"/>
    </row>
    <row r="3158" spans="1:12" x14ac:dyDescent="0.2">
      <c r="A3158" s="103"/>
      <c r="B3158" s="104"/>
      <c r="C3158" s="105"/>
      <c r="K3158" s="1"/>
      <c r="L3158" s="2"/>
    </row>
    <row r="3159" spans="1:12" x14ac:dyDescent="0.2">
      <c r="A3159" s="103"/>
      <c r="B3159" s="104"/>
      <c r="C3159" s="105"/>
      <c r="K3159" s="1"/>
      <c r="L3159" s="2"/>
    </row>
    <row r="3160" spans="1:12" x14ac:dyDescent="0.2">
      <c r="A3160" s="103"/>
      <c r="B3160" s="104"/>
      <c r="C3160" s="105"/>
      <c r="K3160" s="1"/>
      <c r="L3160" s="2"/>
    </row>
    <row r="3161" spans="1:12" x14ac:dyDescent="0.2">
      <c r="A3161" s="103"/>
      <c r="B3161" s="104"/>
      <c r="C3161" s="105"/>
      <c r="K3161" s="1"/>
      <c r="L3161" s="2"/>
    </row>
    <row r="3162" spans="1:12" x14ac:dyDescent="0.2">
      <c r="A3162" s="103"/>
      <c r="B3162" s="104"/>
      <c r="C3162" s="105"/>
      <c r="K3162" s="1"/>
      <c r="L3162" s="2"/>
    </row>
    <row r="3163" spans="1:12" x14ac:dyDescent="0.2">
      <c r="A3163" s="103"/>
      <c r="B3163" s="104"/>
      <c r="C3163" s="105"/>
      <c r="K3163" s="1"/>
      <c r="L3163" s="2"/>
    </row>
    <row r="3164" spans="1:12" x14ac:dyDescent="0.2">
      <c r="A3164" s="103"/>
      <c r="B3164" s="104"/>
      <c r="C3164" s="105"/>
      <c r="K3164" s="1"/>
      <c r="L3164" s="2"/>
    </row>
    <row r="3165" spans="1:12" x14ac:dyDescent="0.2">
      <c r="A3165" s="103"/>
      <c r="B3165" s="104"/>
      <c r="C3165" s="105"/>
      <c r="K3165" s="1"/>
      <c r="L3165" s="2"/>
    </row>
    <row r="3166" spans="1:12" x14ac:dyDescent="0.2">
      <c r="A3166" s="103"/>
      <c r="B3166" s="104"/>
      <c r="C3166" s="105"/>
      <c r="K3166" s="1"/>
      <c r="L3166" s="2"/>
    </row>
    <row r="3167" spans="1:12" x14ac:dyDescent="0.2">
      <c r="A3167" s="103"/>
      <c r="B3167" s="104"/>
      <c r="C3167" s="105"/>
      <c r="K3167" s="1"/>
      <c r="L3167" s="2"/>
    </row>
    <row r="3168" spans="1:12" x14ac:dyDescent="0.2">
      <c r="A3168" s="103"/>
      <c r="B3168" s="104"/>
      <c r="C3168" s="105"/>
      <c r="K3168" s="1"/>
      <c r="L3168" s="2"/>
    </row>
    <row r="3169" spans="1:12" x14ac:dyDescent="0.2">
      <c r="A3169" s="103"/>
      <c r="B3169" s="104"/>
      <c r="C3169" s="105"/>
      <c r="K3169" s="1"/>
      <c r="L3169" s="2"/>
    </row>
    <row r="3170" spans="1:12" x14ac:dyDescent="0.2">
      <c r="A3170" s="103"/>
      <c r="B3170" s="104"/>
      <c r="C3170" s="105"/>
      <c r="K3170" s="1"/>
      <c r="L3170" s="2"/>
    </row>
    <row r="3171" spans="1:12" x14ac:dyDescent="0.2">
      <c r="A3171" s="103"/>
      <c r="B3171" s="104"/>
      <c r="C3171" s="105"/>
      <c r="K3171" s="1"/>
      <c r="L3171" s="2"/>
    </row>
    <row r="3172" spans="1:12" x14ac:dyDescent="0.2">
      <c r="A3172" s="103"/>
      <c r="B3172" s="104"/>
      <c r="C3172" s="105"/>
      <c r="K3172" s="1"/>
      <c r="L3172" s="2"/>
    </row>
    <row r="3173" spans="1:12" x14ac:dyDescent="0.2">
      <c r="A3173" s="103"/>
      <c r="B3173" s="104"/>
      <c r="C3173" s="105"/>
      <c r="K3173" s="1"/>
      <c r="L3173" s="2"/>
    </row>
    <row r="3174" spans="1:12" x14ac:dyDescent="0.2">
      <c r="A3174" s="103"/>
      <c r="B3174" s="104"/>
      <c r="C3174" s="105"/>
      <c r="K3174" s="1"/>
      <c r="L3174" s="2"/>
    </row>
    <row r="3175" spans="1:12" x14ac:dyDescent="0.2">
      <c r="A3175" s="103"/>
      <c r="B3175" s="104"/>
      <c r="C3175" s="105"/>
      <c r="K3175" s="1"/>
      <c r="L3175" s="2"/>
    </row>
    <row r="3176" spans="1:12" x14ac:dyDescent="0.2">
      <c r="A3176" s="103"/>
      <c r="B3176" s="104"/>
      <c r="C3176" s="105"/>
      <c r="K3176" s="1"/>
      <c r="L3176" s="2"/>
    </row>
    <row r="3177" spans="1:12" x14ac:dyDescent="0.2">
      <c r="A3177" s="103"/>
      <c r="B3177" s="104"/>
      <c r="C3177" s="105"/>
      <c r="K3177" s="1"/>
      <c r="L3177" s="2"/>
    </row>
    <row r="3178" spans="1:12" x14ac:dyDescent="0.2">
      <c r="A3178" s="103"/>
      <c r="B3178" s="104"/>
      <c r="C3178" s="105"/>
      <c r="K3178" s="1"/>
      <c r="L3178" s="2"/>
    </row>
    <row r="3179" spans="1:12" x14ac:dyDescent="0.2">
      <c r="A3179" s="103"/>
      <c r="B3179" s="104"/>
      <c r="C3179" s="105"/>
      <c r="K3179" s="1"/>
      <c r="L3179" s="2"/>
    </row>
    <row r="3180" spans="1:12" x14ac:dyDescent="0.2">
      <c r="A3180" s="103"/>
      <c r="B3180" s="104"/>
      <c r="C3180" s="105"/>
      <c r="K3180" s="1"/>
      <c r="L3180" s="2"/>
    </row>
    <row r="3181" spans="1:12" x14ac:dyDescent="0.2">
      <c r="A3181" s="103"/>
      <c r="B3181" s="104"/>
      <c r="C3181" s="105"/>
      <c r="K3181" s="1"/>
      <c r="L3181" s="2"/>
    </row>
    <row r="3182" spans="1:12" x14ac:dyDescent="0.2">
      <c r="A3182" s="103"/>
      <c r="B3182" s="104"/>
      <c r="C3182" s="105"/>
      <c r="K3182" s="1"/>
      <c r="L3182" s="2"/>
    </row>
    <row r="3183" spans="1:12" x14ac:dyDescent="0.2">
      <c r="A3183" s="103"/>
      <c r="B3183" s="104"/>
      <c r="C3183" s="105"/>
      <c r="K3183" s="1"/>
      <c r="L3183" s="2"/>
    </row>
    <row r="3184" spans="1:12" x14ac:dyDescent="0.2">
      <c r="A3184" s="103"/>
      <c r="B3184" s="104"/>
      <c r="C3184" s="105"/>
      <c r="K3184" s="1"/>
      <c r="L3184" s="2"/>
    </row>
    <row r="3185" spans="1:12" x14ac:dyDescent="0.2">
      <c r="A3185" s="103"/>
      <c r="B3185" s="104"/>
      <c r="C3185" s="105"/>
      <c r="K3185" s="1"/>
      <c r="L3185" s="2"/>
    </row>
    <row r="3186" spans="1:12" x14ac:dyDescent="0.2">
      <c r="A3186" s="103"/>
      <c r="B3186" s="104"/>
      <c r="C3186" s="105"/>
      <c r="K3186" s="1"/>
      <c r="L3186" s="2"/>
    </row>
    <row r="3187" spans="1:12" x14ac:dyDescent="0.2">
      <c r="A3187" s="103"/>
      <c r="B3187" s="104"/>
      <c r="C3187" s="105"/>
      <c r="K3187" s="1"/>
      <c r="L3187" s="2"/>
    </row>
    <row r="3188" spans="1:12" x14ac:dyDescent="0.2">
      <c r="A3188" s="103"/>
      <c r="B3188" s="104"/>
      <c r="C3188" s="105"/>
      <c r="K3188" s="1"/>
      <c r="L3188" s="2"/>
    </row>
    <row r="3189" spans="1:12" x14ac:dyDescent="0.2">
      <c r="A3189" s="103"/>
      <c r="B3189" s="104"/>
      <c r="C3189" s="105"/>
      <c r="K3189" s="1"/>
      <c r="L3189" s="2"/>
    </row>
    <row r="3190" spans="1:12" x14ac:dyDescent="0.2">
      <c r="A3190" s="103"/>
      <c r="B3190" s="104"/>
      <c r="C3190" s="105"/>
      <c r="K3190" s="1"/>
      <c r="L3190" s="2"/>
    </row>
    <row r="3191" spans="1:12" x14ac:dyDescent="0.2">
      <c r="A3191" s="103"/>
      <c r="B3191" s="104"/>
      <c r="C3191" s="105"/>
      <c r="K3191" s="1"/>
      <c r="L3191" s="2"/>
    </row>
    <row r="3192" spans="1:12" x14ac:dyDescent="0.2">
      <c r="A3192" s="103"/>
      <c r="B3192" s="104"/>
      <c r="C3192" s="105"/>
      <c r="K3192" s="1"/>
      <c r="L3192" s="2"/>
    </row>
    <row r="3193" spans="1:12" x14ac:dyDescent="0.2">
      <c r="A3193" s="103"/>
      <c r="B3193" s="104"/>
      <c r="C3193" s="105"/>
      <c r="K3193" s="1"/>
      <c r="L3193" s="2"/>
    </row>
    <row r="3194" spans="1:12" x14ac:dyDescent="0.2">
      <c r="A3194" s="103"/>
      <c r="B3194" s="104"/>
      <c r="C3194" s="105"/>
      <c r="K3194" s="1"/>
      <c r="L3194" s="2"/>
    </row>
    <row r="3195" spans="1:12" x14ac:dyDescent="0.2">
      <c r="A3195" s="103"/>
      <c r="B3195" s="104"/>
      <c r="C3195" s="105"/>
      <c r="K3195" s="1"/>
      <c r="L3195" s="2"/>
    </row>
    <row r="3196" spans="1:12" x14ac:dyDescent="0.2">
      <c r="A3196" s="103"/>
      <c r="B3196" s="104"/>
      <c r="C3196" s="105"/>
      <c r="K3196" s="1"/>
      <c r="L3196" s="2"/>
    </row>
    <row r="3197" spans="1:12" x14ac:dyDescent="0.2">
      <c r="A3197" s="103"/>
      <c r="B3197" s="104"/>
      <c r="C3197" s="105"/>
      <c r="K3197" s="1"/>
      <c r="L3197" s="2"/>
    </row>
    <row r="3198" spans="1:12" x14ac:dyDescent="0.2">
      <c r="A3198" s="103"/>
      <c r="B3198" s="104"/>
      <c r="C3198" s="105"/>
      <c r="K3198" s="1"/>
      <c r="L3198" s="2"/>
    </row>
    <row r="3199" spans="1:12" x14ac:dyDescent="0.2">
      <c r="A3199" s="103"/>
      <c r="B3199" s="104"/>
      <c r="C3199" s="105"/>
      <c r="K3199" s="1"/>
      <c r="L3199" s="2"/>
    </row>
    <row r="3200" spans="1:12" x14ac:dyDescent="0.2">
      <c r="A3200" s="103"/>
      <c r="B3200" s="104"/>
      <c r="C3200" s="105"/>
      <c r="K3200" s="1"/>
      <c r="L3200" s="2"/>
    </row>
    <row r="3201" spans="1:12" x14ac:dyDescent="0.2">
      <c r="A3201" s="103"/>
      <c r="B3201" s="104"/>
      <c r="C3201" s="105"/>
      <c r="K3201" s="1"/>
      <c r="L3201" s="2"/>
    </row>
    <row r="3202" spans="1:12" x14ac:dyDescent="0.2">
      <c r="A3202" s="103"/>
      <c r="B3202" s="104"/>
      <c r="C3202" s="105"/>
      <c r="K3202" s="1"/>
      <c r="L3202" s="2"/>
    </row>
    <row r="3203" spans="1:12" x14ac:dyDescent="0.2">
      <c r="A3203" s="103"/>
      <c r="B3203" s="104"/>
      <c r="C3203" s="105"/>
      <c r="K3203" s="1"/>
      <c r="L3203" s="2"/>
    </row>
    <row r="3204" spans="1:12" x14ac:dyDescent="0.2">
      <c r="A3204" s="103"/>
      <c r="B3204" s="104"/>
      <c r="C3204" s="105"/>
      <c r="K3204" s="1"/>
      <c r="L3204" s="2"/>
    </row>
    <row r="3205" spans="1:12" x14ac:dyDescent="0.2">
      <c r="A3205" s="103"/>
      <c r="B3205" s="104"/>
      <c r="C3205" s="105"/>
      <c r="K3205" s="1"/>
      <c r="L3205" s="2"/>
    </row>
    <row r="3206" spans="1:12" x14ac:dyDescent="0.2">
      <c r="A3206" s="103"/>
      <c r="B3206" s="104"/>
      <c r="C3206" s="105"/>
      <c r="K3206" s="1"/>
      <c r="L3206" s="2"/>
    </row>
    <row r="3207" spans="1:12" x14ac:dyDescent="0.2">
      <c r="A3207" s="103"/>
      <c r="B3207" s="104"/>
      <c r="C3207" s="105"/>
      <c r="K3207" s="1"/>
      <c r="L3207" s="2"/>
    </row>
    <row r="3208" spans="1:12" x14ac:dyDescent="0.2">
      <c r="A3208" s="103"/>
      <c r="B3208" s="104"/>
      <c r="C3208" s="105"/>
      <c r="K3208" s="1"/>
      <c r="L3208" s="2"/>
    </row>
    <row r="3209" spans="1:12" x14ac:dyDescent="0.2">
      <c r="A3209" s="103"/>
      <c r="B3209" s="104"/>
      <c r="C3209" s="105"/>
      <c r="K3209" s="1"/>
      <c r="L3209" s="2"/>
    </row>
    <row r="3210" spans="1:12" x14ac:dyDescent="0.2">
      <c r="A3210" s="103"/>
      <c r="B3210" s="104"/>
      <c r="C3210" s="105"/>
      <c r="K3210" s="1"/>
      <c r="L3210" s="2"/>
    </row>
    <row r="3211" spans="1:12" x14ac:dyDescent="0.2">
      <c r="A3211" s="103"/>
      <c r="B3211" s="104"/>
      <c r="C3211" s="105"/>
      <c r="K3211" s="1"/>
      <c r="L3211" s="2"/>
    </row>
    <row r="3212" spans="1:12" x14ac:dyDescent="0.2">
      <c r="A3212" s="103"/>
      <c r="B3212" s="104"/>
      <c r="C3212" s="105"/>
      <c r="K3212" s="1"/>
      <c r="L3212" s="2"/>
    </row>
    <row r="3213" spans="1:12" x14ac:dyDescent="0.2">
      <c r="A3213" s="103"/>
      <c r="B3213" s="104"/>
      <c r="C3213" s="105"/>
      <c r="K3213" s="1"/>
      <c r="L3213" s="2"/>
    </row>
    <row r="3214" spans="1:12" x14ac:dyDescent="0.2">
      <c r="A3214" s="103"/>
      <c r="B3214" s="104"/>
      <c r="C3214" s="105"/>
      <c r="K3214" s="1"/>
      <c r="L3214" s="2"/>
    </row>
    <row r="3215" spans="1:12" x14ac:dyDescent="0.2">
      <c r="A3215" s="103"/>
      <c r="B3215" s="104"/>
      <c r="C3215" s="105"/>
      <c r="K3215" s="1"/>
      <c r="L3215" s="2"/>
    </row>
    <row r="3216" spans="1:12" x14ac:dyDescent="0.2">
      <c r="A3216" s="103"/>
      <c r="B3216" s="104"/>
      <c r="C3216" s="105"/>
      <c r="K3216" s="1"/>
      <c r="L3216" s="2"/>
    </row>
    <row r="3217" spans="1:12" x14ac:dyDescent="0.2">
      <c r="A3217" s="103"/>
      <c r="B3217" s="104"/>
      <c r="C3217" s="105"/>
      <c r="K3217" s="1"/>
      <c r="L3217" s="2"/>
    </row>
    <row r="3218" spans="1:12" x14ac:dyDescent="0.2">
      <c r="A3218" s="103"/>
      <c r="B3218" s="104"/>
      <c r="C3218" s="105"/>
      <c r="K3218" s="1"/>
      <c r="L3218" s="2"/>
    </row>
    <row r="3219" spans="1:12" x14ac:dyDescent="0.2">
      <c r="A3219" s="103"/>
      <c r="B3219" s="104"/>
      <c r="C3219" s="105"/>
      <c r="K3219" s="1"/>
      <c r="L3219" s="2"/>
    </row>
    <row r="3220" spans="1:12" x14ac:dyDescent="0.2">
      <c r="A3220" s="103"/>
      <c r="B3220" s="104"/>
      <c r="C3220" s="105"/>
      <c r="K3220" s="1"/>
      <c r="L3220" s="2"/>
    </row>
    <row r="3221" spans="1:12" x14ac:dyDescent="0.2">
      <c r="A3221" s="103"/>
      <c r="B3221" s="104"/>
      <c r="C3221" s="105"/>
      <c r="K3221" s="1"/>
      <c r="L3221" s="2"/>
    </row>
    <row r="3222" spans="1:12" x14ac:dyDescent="0.2">
      <c r="A3222" s="103"/>
      <c r="B3222" s="104"/>
      <c r="C3222" s="105"/>
      <c r="K3222" s="1"/>
      <c r="L3222" s="2"/>
    </row>
    <row r="3223" spans="1:12" x14ac:dyDescent="0.2">
      <c r="A3223" s="103"/>
      <c r="B3223" s="104"/>
      <c r="C3223" s="105"/>
      <c r="K3223" s="1"/>
      <c r="L3223" s="2"/>
    </row>
    <row r="3224" spans="1:12" x14ac:dyDescent="0.2">
      <c r="A3224" s="103"/>
      <c r="B3224" s="104"/>
      <c r="C3224" s="105"/>
      <c r="K3224" s="1"/>
      <c r="L3224" s="2"/>
    </row>
    <row r="3225" spans="1:12" x14ac:dyDescent="0.2">
      <c r="A3225" s="103"/>
      <c r="B3225" s="104"/>
      <c r="C3225" s="105"/>
      <c r="K3225" s="1"/>
      <c r="L3225" s="2"/>
    </row>
    <row r="3226" spans="1:12" x14ac:dyDescent="0.2">
      <c r="A3226" s="103"/>
      <c r="B3226" s="104"/>
      <c r="C3226" s="105"/>
      <c r="K3226" s="1"/>
      <c r="L3226" s="2"/>
    </row>
    <row r="3227" spans="1:12" x14ac:dyDescent="0.2">
      <c r="A3227" s="103"/>
      <c r="B3227" s="104"/>
      <c r="C3227" s="105"/>
      <c r="K3227" s="1"/>
      <c r="L3227" s="2"/>
    </row>
    <row r="3228" spans="1:12" x14ac:dyDescent="0.2">
      <c r="A3228" s="103"/>
      <c r="B3228" s="104"/>
      <c r="C3228" s="105"/>
      <c r="K3228" s="1"/>
      <c r="L3228" s="2"/>
    </row>
    <row r="3229" spans="1:12" x14ac:dyDescent="0.2">
      <c r="A3229" s="103"/>
      <c r="B3229" s="104"/>
      <c r="C3229" s="105"/>
      <c r="K3229" s="1"/>
      <c r="L3229" s="2"/>
    </row>
    <row r="3230" spans="1:12" x14ac:dyDescent="0.2">
      <c r="A3230" s="103"/>
      <c r="B3230" s="104"/>
      <c r="C3230" s="105"/>
      <c r="K3230" s="1"/>
      <c r="L3230" s="2"/>
    </row>
    <row r="3231" spans="1:12" x14ac:dyDescent="0.2">
      <c r="A3231" s="103"/>
      <c r="B3231" s="104"/>
      <c r="C3231" s="105"/>
      <c r="K3231" s="1"/>
      <c r="L3231" s="2"/>
    </row>
    <row r="3232" spans="1:12" x14ac:dyDescent="0.2">
      <c r="A3232" s="103"/>
      <c r="B3232" s="104"/>
      <c r="C3232" s="105"/>
      <c r="K3232" s="1"/>
      <c r="L3232" s="2"/>
    </row>
    <row r="3233" spans="1:12" x14ac:dyDescent="0.2">
      <c r="A3233" s="103"/>
      <c r="B3233" s="104"/>
      <c r="C3233" s="105"/>
      <c r="K3233" s="1"/>
      <c r="L3233" s="2"/>
    </row>
    <row r="3234" spans="1:12" x14ac:dyDescent="0.2">
      <c r="A3234" s="103"/>
      <c r="B3234" s="104"/>
      <c r="C3234" s="105"/>
      <c r="K3234" s="1"/>
      <c r="L3234" s="2"/>
    </row>
    <row r="3235" spans="1:12" x14ac:dyDescent="0.2">
      <c r="A3235" s="103"/>
      <c r="B3235" s="104"/>
      <c r="C3235" s="105"/>
      <c r="K3235" s="1"/>
      <c r="L3235" s="2"/>
    </row>
    <row r="3236" spans="1:12" x14ac:dyDescent="0.2">
      <c r="A3236" s="103"/>
      <c r="B3236" s="104"/>
      <c r="C3236" s="105"/>
      <c r="K3236" s="1"/>
      <c r="L3236" s="2"/>
    </row>
    <row r="3237" spans="1:12" x14ac:dyDescent="0.2">
      <c r="A3237" s="103"/>
      <c r="B3237" s="104"/>
      <c r="C3237" s="105"/>
      <c r="K3237" s="1"/>
      <c r="L3237" s="2"/>
    </row>
    <row r="3238" spans="1:12" x14ac:dyDescent="0.2">
      <c r="A3238" s="103"/>
      <c r="B3238" s="104"/>
      <c r="C3238" s="105"/>
      <c r="K3238" s="1"/>
      <c r="L3238" s="2"/>
    </row>
    <row r="3239" spans="1:12" x14ac:dyDescent="0.2">
      <c r="A3239" s="103"/>
      <c r="B3239" s="104"/>
      <c r="C3239" s="105"/>
      <c r="K3239" s="1"/>
      <c r="L3239" s="2"/>
    </row>
    <row r="3240" spans="1:12" x14ac:dyDescent="0.2">
      <c r="A3240" s="103"/>
      <c r="B3240" s="104"/>
      <c r="C3240" s="105"/>
      <c r="K3240" s="1"/>
      <c r="L3240" s="2"/>
    </row>
    <row r="3241" spans="1:12" x14ac:dyDescent="0.2">
      <c r="A3241" s="103"/>
      <c r="B3241" s="104"/>
      <c r="C3241" s="105"/>
      <c r="K3241" s="1"/>
      <c r="L3241" s="2"/>
    </row>
    <row r="3242" spans="1:12" x14ac:dyDescent="0.2">
      <c r="A3242" s="103"/>
      <c r="B3242" s="104"/>
      <c r="C3242" s="105"/>
      <c r="K3242" s="1"/>
      <c r="L3242" s="2"/>
    </row>
    <row r="3243" spans="1:12" x14ac:dyDescent="0.2">
      <c r="A3243" s="103"/>
      <c r="B3243" s="104"/>
      <c r="C3243" s="105"/>
      <c r="K3243" s="1"/>
      <c r="L3243" s="2"/>
    </row>
    <row r="3244" spans="1:12" x14ac:dyDescent="0.2">
      <c r="A3244" s="103"/>
      <c r="B3244" s="104"/>
      <c r="C3244" s="105"/>
      <c r="K3244" s="1"/>
      <c r="L3244" s="2"/>
    </row>
    <row r="3245" spans="1:12" x14ac:dyDescent="0.2">
      <c r="A3245" s="103"/>
      <c r="B3245" s="104"/>
      <c r="C3245" s="105"/>
      <c r="K3245" s="1"/>
      <c r="L3245" s="2"/>
    </row>
    <row r="3246" spans="1:12" x14ac:dyDescent="0.2">
      <c r="A3246" s="103"/>
      <c r="B3246" s="104"/>
      <c r="C3246" s="105"/>
      <c r="K3246" s="1"/>
      <c r="L3246" s="2"/>
    </row>
    <row r="3247" spans="1:12" x14ac:dyDescent="0.2">
      <c r="A3247" s="103"/>
      <c r="B3247" s="104"/>
      <c r="C3247" s="105"/>
      <c r="K3247" s="1"/>
      <c r="L3247" s="2"/>
    </row>
    <row r="3248" spans="1:12" x14ac:dyDescent="0.2">
      <c r="A3248" s="103"/>
      <c r="B3248" s="104"/>
      <c r="C3248" s="105"/>
      <c r="K3248" s="1"/>
      <c r="L3248" s="2"/>
    </row>
    <row r="3249" spans="1:12" x14ac:dyDescent="0.2">
      <c r="A3249" s="103"/>
      <c r="B3249" s="104"/>
      <c r="C3249" s="105"/>
      <c r="K3249" s="1"/>
      <c r="L3249" s="2"/>
    </row>
    <row r="3250" spans="1:12" x14ac:dyDescent="0.2">
      <c r="A3250" s="103"/>
      <c r="B3250" s="104"/>
      <c r="C3250" s="105"/>
      <c r="K3250" s="1"/>
      <c r="L3250" s="2"/>
    </row>
    <row r="3251" spans="1:12" x14ac:dyDescent="0.2">
      <c r="A3251" s="103"/>
      <c r="B3251" s="104"/>
      <c r="C3251" s="105"/>
      <c r="K3251" s="1"/>
      <c r="L3251" s="2"/>
    </row>
    <row r="3252" spans="1:12" x14ac:dyDescent="0.2">
      <c r="A3252" s="103"/>
      <c r="B3252" s="104"/>
      <c r="C3252" s="105"/>
      <c r="K3252" s="1"/>
      <c r="L3252" s="2"/>
    </row>
    <row r="3253" spans="1:12" x14ac:dyDescent="0.2">
      <c r="A3253" s="103"/>
      <c r="B3253" s="104"/>
      <c r="C3253" s="105"/>
      <c r="K3253" s="1"/>
      <c r="L3253" s="2"/>
    </row>
    <row r="3254" spans="1:12" x14ac:dyDescent="0.2">
      <c r="A3254" s="103"/>
      <c r="B3254" s="104"/>
      <c r="C3254" s="105"/>
      <c r="K3254" s="1"/>
      <c r="L3254" s="2"/>
    </row>
    <row r="3255" spans="1:12" x14ac:dyDescent="0.2">
      <c r="A3255" s="103"/>
      <c r="B3255" s="104"/>
      <c r="C3255" s="105"/>
      <c r="K3255" s="1"/>
      <c r="L3255" s="2"/>
    </row>
    <row r="3256" spans="1:12" x14ac:dyDescent="0.2">
      <c r="A3256" s="103"/>
      <c r="B3256" s="104"/>
      <c r="C3256" s="105"/>
      <c r="K3256" s="1"/>
      <c r="L3256" s="2"/>
    </row>
    <row r="3257" spans="1:12" x14ac:dyDescent="0.2">
      <c r="A3257" s="103"/>
      <c r="B3257" s="104"/>
      <c r="C3257" s="105"/>
      <c r="K3257" s="1"/>
      <c r="L3257" s="2"/>
    </row>
    <row r="3258" spans="1:12" x14ac:dyDescent="0.2">
      <c r="A3258" s="103"/>
      <c r="B3258" s="104"/>
      <c r="C3258" s="105"/>
      <c r="K3258" s="1"/>
      <c r="L3258" s="2"/>
    </row>
    <row r="3259" spans="1:12" x14ac:dyDescent="0.2">
      <c r="A3259" s="103"/>
      <c r="B3259" s="104"/>
      <c r="C3259" s="105"/>
      <c r="K3259" s="1"/>
      <c r="L3259" s="2"/>
    </row>
    <row r="3260" spans="1:12" x14ac:dyDescent="0.2">
      <c r="A3260" s="103"/>
      <c r="B3260" s="104"/>
      <c r="C3260" s="105"/>
      <c r="K3260" s="1"/>
      <c r="L3260" s="2"/>
    </row>
    <row r="3261" spans="1:12" x14ac:dyDescent="0.2">
      <c r="A3261" s="103"/>
      <c r="B3261" s="104"/>
      <c r="C3261" s="105"/>
      <c r="K3261" s="1"/>
      <c r="L3261" s="2"/>
    </row>
    <row r="3262" spans="1:12" x14ac:dyDescent="0.2">
      <c r="A3262" s="103"/>
      <c r="B3262" s="104"/>
      <c r="C3262" s="105"/>
      <c r="K3262" s="1"/>
      <c r="L3262" s="2"/>
    </row>
    <row r="3263" spans="1:12" x14ac:dyDescent="0.2">
      <c r="A3263" s="103"/>
      <c r="B3263" s="104"/>
      <c r="C3263" s="105"/>
      <c r="K3263" s="1"/>
      <c r="L3263" s="2"/>
    </row>
    <row r="3264" spans="1:12" x14ac:dyDescent="0.2">
      <c r="A3264" s="103"/>
      <c r="B3264" s="104"/>
      <c r="C3264" s="105"/>
      <c r="K3264" s="1"/>
      <c r="L3264" s="2"/>
    </row>
    <row r="3265" spans="1:12" x14ac:dyDescent="0.2">
      <c r="A3265" s="103"/>
      <c r="B3265" s="104"/>
      <c r="C3265" s="105"/>
      <c r="K3265" s="1"/>
      <c r="L3265" s="2"/>
    </row>
    <row r="3266" spans="1:12" x14ac:dyDescent="0.2">
      <c r="A3266" s="103"/>
      <c r="B3266" s="104"/>
      <c r="C3266" s="105"/>
      <c r="K3266" s="1"/>
      <c r="L3266" s="2"/>
    </row>
    <row r="3267" spans="1:12" x14ac:dyDescent="0.2">
      <c r="A3267" s="103"/>
      <c r="B3267" s="104"/>
      <c r="C3267" s="105"/>
      <c r="K3267" s="1"/>
      <c r="L3267" s="2"/>
    </row>
    <row r="3268" spans="1:12" x14ac:dyDescent="0.2">
      <c r="A3268" s="103"/>
      <c r="B3268" s="104"/>
      <c r="C3268" s="105"/>
      <c r="K3268" s="1"/>
      <c r="L3268" s="2"/>
    </row>
    <row r="3269" spans="1:12" x14ac:dyDescent="0.2">
      <c r="A3269" s="103"/>
      <c r="B3269" s="104"/>
      <c r="C3269" s="105"/>
      <c r="K3269" s="1"/>
      <c r="L3269" s="2"/>
    </row>
    <row r="3270" spans="1:12" x14ac:dyDescent="0.2">
      <c r="A3270" s="103"/>
      <c r="B3270" s="104"/>
      <c r="C3270" s="105"/>
      <c r="K3270" s="1"/>
      <c r="L3270" s="2"/>
    </row>
    <row r="3271" spans="1:12" x14ac:dyDescent="0.2">
      <c r="A3271" s="103"/>
      <c r="B3271" s="104"/>
      <c r="C3271" s="105"/>
      <c r="K3271" s="1"/>
      <c r="L3271" s="2"/>
    </row>
    <row r="3272" spans="1:12" x14ac:dyDescent="0.2">
      <c r="A3272" s="103"/>
      <c r="B3272" s="104"/>
      <c r="C3272" s="105"/>
      <c r="K3272" s="1"/>
      <c r="L3272" s="2"/>
    </row>
    <row r="3273" spans="1:12" x14ac:dyDescent="0.2">
      <c r="A3273" s="103"/>
      <c r="B3273" s="104"/>
      <c r="C3273" s="105"/>
      <c r="K3273" s="1"/>
      <c r="L3273" s="2"/>
    </row>
    <row r="3274" spans="1:12" x14ac:dyDescent="0.2">
      <c r="A3274" s="103"/>
      <c r="B3274" s="104"/>
      <c r="C3274" s="105"/>
      <c r="K3274" s="1"/>
      <c r="L3274" s="2"/>
    </row>
    <row r="3275" spans="1:12" x14ac:dyDescent="0.2">
      <c r="A3275" s="103"/>
      <c r="B3275" s="104"/>
      <c r="C3275" s="105"/>
      <c r="K3275" s="1"/>
      <c r="L3275" s="2"/>
    </row>
    <row r="3276" spans="1:12" x14ac:dyDescent="0.2">
      <c r="A3276" s="103"/>
      <c r="B3276" s="104"/>
      <c r="C3276" s="105"/>
      <c r="K3276" s="1"/>
      <c r="L3276" s="2"/>
    </row>
    <row r="3277" spans="1:12" x14ac:dyDescent="0.2">
      <c r="A3277" s="103"/>
      <c r="B3277" s="104"/>
      <c r="C3277" s="105"/>
      <c r="K3277" s="1"/>
      <c r="L3277" s="2"/>
    </row>
    <row r="3278" spans="1:12" x14ac:dyDescent="0.2">
      <c r="A3278" s="103"/>
      <c r="B3278" s="104"/>
      <c r="C3278" s="105"/>
      <c r="K3278" s="1"/>
      <c r="L3278" s="2"/>
    </row>
    <row r="3279" spans="1:12" x14ac:dyDescent="0.2">
      <c r="A3279" s="103"/>
      <c r="B3279" s="104"/>
      <c r="C3279" s="105"/>
      <c r="K3279" s="1"/>
      <c r="L3279" s="2"/>
    </row>
    <row r="3280" spans="1:12" x14ac:dyDescent="0.2">
      <c r="A3280" s="103"/>
      <c r="B3280" s="104"/>
      <c r="C3280" s="105"/>
      <c r="K3280" s="1"/>
      <c r="L3280" s="2"/>
    </row>
    <row r="3281" spans="1:12" x14ac:dyDescent="0.2">
      <c r="A3281" s="103"/>
      <c r="B3281" s="104"/>
      <c r="C3281" s="105"/>
      <c r="K3281" s="1"/>
      <c r="L3281" s="2"/>
    </row>
    <row r="3282" spans="1:12" x14ac:dyDescent="0.2">
      <c r="A3282" s="103"/>
      <c r="B3282" s="104"/>
      <c r="C3282" s="105"/>
      <c r="K3282" s="1"/>
      <c r="L3282" s="2"/>
    </row>
    <row r="3283" spans="1:12" x14ac:dyDescent="0.2">
      <c r="A3283" s="103"/>
      <c r="B3283" s="104"/>
      <c r="C3283" s="105"/>
      <c r="K3283" s="1"/>
      <c r="L3283" s="2"/>
    </row>
    <row r="3284" spans="1:12" x14ac:dyDescent="0.2">
      <c r="A3284" s="103"/>
      <c r="B3284" s="104"/>
      <c r="C3284" s="105"/>
      <c r="K3284" s="1"/>
      <c r="L3284" s="2"/>
    </row>
    <row r="3285" spans="1:12" x14ac:dyDescent="0.2">
      <c r="A3285" s="103"/>
      <c r="B3285" s="104"/>
      <c r="C3285" s="105"/>
      <c r="K3285" s="1"/>
      <c r="L3285" s="2"/>
    </row>
    <row r="3286" spans="1:12" x14ac:dyDescent="0.2">
      <c r="A3286" s="103"/>
      <c r="B3286" s="104"/>
      <c r="C3286" s="105"/>
      <c r="K3286" s="1"/>
      <c r="L3286" s="2"/>
    </row>
    <row r="3287" spans="1:12" x14ac:dyDescent="0.2">
      <c r="A3287" s="103"/>
      <c r="B3287" s="104"/>
      <c r="C3287" s="105"/>
      <c r="K3287" s="1"/>
      <c r="L3287" s="2"/>
    </row>
    <row r="3288" spans="1:12" x14ac:dyDescent="0.2">
      <c r="A3288" s="103"/>
      <c r="B3288" s="104"/>
      <c r="C3288" s="105"/>
      <c r="K3288" s="1"/>
      <c r="L3288" s="2"/>
    </row>
    <row r="3289" spans="1:12" x14ac:dyDescent="0.2">
      <c r="A3289" s="103"/>
      <c r="B3289" s="104"/>
      <c r="C3289" s="105"/>
      <c r="K3289" s="1"/>
      <c r="L3289" s="2"/>
    </row>
    <row r="3290" spans="1:12" x14ac:dyDescent="0.2">
      <c r="A3290" s="103"/>
      <c r="B3290" s="104"/>
      <c r="C3290" s="105"/>
      <c r="K3290" s="1"/>
      <c r="L3290" s="2"/>
    </row>
    <row r="3291" spans="1:12" x14ac:dyDescent="0.2">
      <c r="A3291" s="103"/>
      <c r="B3291" s="104"/>
      <c r="C3291" s="105"/>
      <c r="K3291" s="1"/>
      <c r="L3291" s="2"/>
    </row>
    <row r="3292" spans="1:12" x14ac:dyDescent="0.2">
      <c r="A3292" s="103"/>
      <c r="B3292" s="104"/>
      <c r="C3292" s="105"/>
      <c r="K3292" s="1"/>
      <c r="L3292" s="2"/>
    </row>
    <row r="3293" spans="1:12" x14ac:dyDescent="0.2">
      <c r="A3293" s="103"/>
      <c r="B3293" s="104"/>
      <c r="C3293" s="105"/>
      <c r="K3293" s="1"/>
      <c r="L3293" s="2"/>
    </row>
    <row r="3294" spans="1:12" x14ac:dyDescent="0.2">
      <c r="A3294" s="103"/>
      <c r="B3294" s="104"/>
      <c r="C3294" s="105"/>
      <c r="K3294" s="1"/>
      <c r="L3294" s="2"/>
    </row>
    <row r="3295" spans="1:12" x14ac:dyDescent="0.2">
      <c r="A3295" s="103"/>
      <c r="B3295" s="104"/>
      <c r="C3295" s="105"/>
      <c r="K3295" s="1"/>
      <c r="L3295" s="2"/>
    </row>
    <row r="3296" spans="1:12" x14ac:dyDescent="0.2">
      <c r="A3296" s="103"/>
      <c r="B3296" s="104"/>
      <c r="C3296" s="105"/>
      <c r="K3296" s="1"/>
      <c r="L3296" s="2"/>
    </row>
    <row r="3297" spans="1:12" x14ac:dyDescent="0.2">
      <c r="A3297" s="103"/>
      <c r="B3297" s="104"/>
      <c r="C3297" s="105"/>
      <c r="K3297" s="1"/>
      <c r="L3297" s="2"/>
    </row>
    <row r="3298" spans="1:12" x14ac:dyDescent="0.2">
      <c r="A3298" s="103"/>
      <c r="B3298" s="104"/>
      <c r="C3298" s="105"/>
      <c r="K3298" s="1"/>
      <c r="L3298" s="2"/>
    </row>
    <row r="3299" spans="1:12" x14ac:dyDescent="0.2">
      <c r="A3299" s="103"/>
      <c r="B3299" s="104"/>
      <c r="C3299" s="105"/>
      <c r="K3299" s="1"/>
      <c r="L3299" s="2"/>
    </row>
    <row r="3300" spans="1:12" x14ac:dyDescent="0.2">
      <c r="A3300" s="103"/>
      <c r="B3300" s="104"/>
      <c r="C3300" s="105"/>
      <c r="K3300" s="1"/>
      <c r="L3300" s="2"/>
    </row>
    <row r="3301" spans="1:12" x14ac:dyDescent="0.2">
      <c r="A3301" s="103"/>
      <c r="B3301" s="104"/>
      <c r="C3301" s="105"/>
      <c r="K3301" s="1"/>
      <c r="L3301" s="2"/>
    </row>
    <row r="3302" spans="1:12" x14ac:dyDescent="0.2">
      <c r="A3302" s="103"/>
      <c r="B3302" s="104"/>
      <c r="C3302" s="105"/>
      <c r="K3302" s="1"/>
      <c r="L3302" s="2"/>
    </row>
    <row r="3303" spans="1:12" x14ac:dyDescent="0.2">
      <c r="A3303" s="103"/>
      <c r="B3303" s="104"/>
      <c r="C3303" s="105"/>
      <c r="K3303" s="1"/>
      <c r="L3303" s="2"/>
    </row>
    <row r="3304" spans="1:12" x14ac:dyDescent="0.2">
      <c r="A3304" s="103"/>
      <c r="B3304" s="104"/>
      <c r="C3304" s="105"/>
      <c r="K3304" s="1"/>
      <c r="L3304" s="2"/>
    </row>
    <row r="3305" spans="1:12" x14ac:dyDescent="0.2">
      <c r="A3305" s="103"/>
      <c r="B3305" s="104"/>
      <c r="C3305" s="105"/>
      <c r="K3305" s="1"/>
      <c r="L3305" s="2"/>
    </row>
    <row r="3306" spans="1:12" x14ac:dyDescent="0.2">
      <c r="A3306" s="103"/>
      <c r="B3306" s="104"/>
      <c r="C3306" s="105"/>
      <c r="K3306" s="1"/>
      <c r="L3306" s="2"/>
    </row>
    <row r="3307" spans="1:12" x14ac:dyDescent="0.2">
      <c r="A3307" s="103"/>
      <c r="B3307" s="104"/>
      <c r="C3307" s="105"/>
      <c r="K3307" s="1"/>
      <c r="L3307" s="2"/>
    </row>
    <row r="3308" spans="1:12" x14ac:dyDescent="0.2">
      <c r="A3308" s="103"/>
      <c r="B3308" s="104"/>
      <c r="C3308" s="105"/>
      <c r="K3308" s="1"/>
      <c r="L3308" s="2"/>
    </row>
    <row r="3309" spans="1:12" x14ac:dyDescent="0.2">
      <c r="A3309" s="103"/>
      <c r="B3309" s="104"/>
      <c r="C3309" s="105"/>
      <c r="K3309" s="1"/>
      <c r="L3309" s="2"/>
    </row>
    <row r="3310" spans="1:12" x14ac:dyDescent="0.2">
      <c r="A3310" s="103"/>
      <c r="B3310" s="104"/>
      <c r="C3310" s="105"/>
      <c r="K3310" s="1"/>
      <c r="L3310" s="2"/>
    </row>
    <row r="3311" spans="1:12" x14ac:dyDescent="0.2">
      <c r="A3311" s="103"/>
      <c r="B3311" s="104"/>
      <c r="C3311" s="105"/>
      <c r="K3311" s="1"/>
      <c r="L3311" s="2"/>
    </row>
    <row r="3312" spans="1:12" x14ac:dyDescent="0.2">
      <c r="A3312" s="103"/>
      <c r="B3312" s="104"/>
      <c r="C3312" s="105"/>
      <c r="K3312" s="1"/>
      <c r="L3312" s="2"/>
    </row>
    <row r="3313" spans="1:12" x14ac:dyDescent="0.2">
      <c r="A3313" s="103"/>
      <c r="B3313" s="104"/>
      <c r="C3313" s="105"/>
      <c r="K3313" s="1"/>
      <c r="L3313" s="2"/>
    </row>
    <row r="3314" spans="1:12" x14ac:dyDescent="0.2">
      <c r="A3314" s="103"/>
      <c r="B3314" s="104"/>
      <c r="C3314" s="105"/>
      <c r="K3314" s="1"/>
      <c r="L3314" s="2"/>
    </row>
    <row r="3315" spans="1:12" x14ac:dyDescent="0.2">
      <c r="A3315" s="103"/>
      <c r="B3315" s="104"/>
      <c r="C3315" s="105"/>
      <c r="K3315" s="1"/>
      <c r="L3315" s="2"/>
    </row>
    <row r="3316" spans="1:12" x14ac:dyDescent="0.2">
      <c r="A3316" s="103"/>
      <c r="B3316" s="104"/>
      <c r="C3316" s="105"/>
      <c r="K3316" s="1"/>
      <c r="L3316" s="2"/>
    </row>
    <row r="3317" spans="1:12" x14ac:dyDescent="0.2">
      <c r="A3317" s="103"/>
      <c r="B3317" s="104"/>
      <c r="C3317" s="105"/>
      <c r="K3317" s="1"/>
      <c r="L3317" s="2"/>
    </row>
    <row r="3318" spans="1:12" x14ac:dyDescent="0.2">
      <c r="A3318" s="103"/>
      <c r="B3318" s="104"/>
      <c r="C3318" s="105"/>
      <c r="K3318" s="1"/>
      <c r="L3318" s="2"/>
    </row>
    <row r="3319" spans="1:12" x14ac:dyDescent="0.2">
      <c r="A3319" s="103"/>
      <c r="B3319" s="104"/>
      <c r="C3319" s="105"/>
      <c r="K3319" s="1"/>
      <c r="L3319" s="2"/>
    </row>
    <row r="3320" spans="1:12" x14ac:dyDescent="0.2">
      <c r="A3320" s="103"/>
      <c r="B3320" s="104"/>
      <c r="C3320" s="105"/>
      <c r="K3320" s="1"/>
      <c r="L3320" s="2"/>
    </row>
    <row r="3321" spans="1:12" x14ac:dyDescent="0.2">
      <c r="A3321" s="103"/>
      <c r="B3321" s="104"/>
      <c r="C3321" s="105"/>
      <c r="K3321" s="1"/>
      <c r="L3321" s="2"/>
    </row>
    <row r="3322" spans="1:12" x14ac:dyDescent="0.2">
      <c r="A3322" s="103"/>
      <c r="B3322" s="104"/>
      <c r="C3322" s="105"/>
      <c r="K3322" s="1"/>
      <c r="L3322" s="2"/>
    </row>
    <row r="3323" spans="1:12" x14ac:dyDescent="0.2">
      <c r="A3323" s="103"/>
      <c r="B3323" s="104"/>
      <c r="C3323" s="105"/>
      <c r="K3323" s="1"/>
      <c r="L3323" s="2"/>
    </row>
    <row r="3324" spans="1:12" x14ac:dyDescent="0.2">
      <c r="A3324" s="103"/>
      <c r="B3324" s="104"/>
      <c r="C3324" s="105"/>
      <c r="K3324" s="1"/>
      <c r="L3324" s="2"/>
    </row>
    <row r="3325" spans="1:12" x14ac:dyDescent="0.2">
      <c r="A3325" s="103"/>
      <c r="B3325" s="104"/>
      <c r="C3325" s="105"/>
      <c r="K3325" s="1"/>
      <c r="L3325" s="2"/>
    </row>
    <row r="3326" spans="1:12" x14ac:dyDescent="0.2">
      <c r="A3326" s="103"/>
      <c r="B3326" s="104"/>
      <c r="C3326" s="105"/>
      <c r="K3326" s="1"/>
      <c r="L3326" s="2"/>
    </row>
    <row r="3327" spans="1:12" x14ac:dyDescent="0.2">
      <c r="A3327" s="103"/>
      <c r="B3327" s="104"/>
      <c r="C3327" s="105"/>
      <c r="K3327" s="1"/>
      <c r="L3327" s="2"/>
    </row>
    <row r="3328" spans="1:12" x14ac:dyDescent="0.2">
      <c r="A3328" s="103"/>
      <c r="B3328" s="104"/>
      <c r="C3328" s="105"/>
      <c r="K3328" s="1"/>
      <c r="L3328" s="2"/>
    </row>
    <row r="3329" spans="1:12" x14ac:dyDescent="0.2">
      <c r="A3329" s="103"/>
      <c r="B3329" s="104"/>
      <c r="C3329" s="105"/>
      <c r="K3329" s="1"/>
      <c r="L3329" s="2"/>
    </row>
    <row r="3330" spans="1:12" x14ac:dyDescent="0.2">
      <c r="A3330" s="103"/>
      <c r="B3330" s="104"/>
      <c r="C3330" s="105"/>
      <c r="K3330" s="1"/>
      <c r="L3330" s="2"/>
    </row>
    <row r="3331" spans="1:12" x14ac:dyDescent="0.2">
      <c r="A3331" s="103"/>
      <c r="B3331" s="104"/>
      <c r="C3331" s="105"/>
      <c r="K3331" s="1"/>
      <c r="L3331" s="2"/>
    </row>
    <row r="3332" spans="1:12" x14ac:dyDescent="0.2">
      <c r="A3332" s="103"/>
      <c r="B3332" s="104"/>
      <c r="C3332" s="105"/>
      <c r="K3332" s="1"/>
      <c r="L3332" s="2"/>
    </row>
    <row r="3333" spans="1:12" x14ac:dyDescent="0.2">
      <c r="A3333" s="103"/>
      <c r="B3333" s="104"/>
      <c r="C3333" s="105"/>
      <c r="K3333" s="1"/>
      <c r="L3333" s="2"/>
    </row>
    <row r="3334" spans="1:12" x14ac:dyDescent="0.2">
      <c r="A3334" s="103"/>
      <c r="B3334" s="104"/>
      <c r="C3334" s="105"/>
      <c r="K3334" s="1"/>
      <c r="L3334" s="2"/>
    </row>
    <row r="3335" spans="1:12" x14ac:dyDescent="0.2">
      <c r="A3335" s="103"/>
      <c r="B3335" s="104"/>
      <c r="C3335" s="105"/>
      <c r="K3335" s="1"/>
      <c r="L3335" s="2"/>
    </row>
    <row r="3336" spans="1:12" x14ac:dyDescent="0.2">
      <c r="A3336" s="103"/>
      <c r="B3336" s="104"/>
      <c r="C3336" s="105"/>
      <c r="K3336" s="1"/>
      <c r="L3336" s="2"/>
    </row>
    <row r="3337" spans="1:12" x14ac:dyDescent="0.2">
      <c r="A3337" s="103"/>
      <c r="B3337" s="104"/>
      <c r="C3337" s="105"/>
      <c r="K3337" s="1"/>
      <c r="L3337" s="2"/>
    </row>
    <row r="3338" spans="1:12" x14ac:dyDescent="0.2">
      <c r="A3338" s="103"/>
      <c r="B3338" s="104"/>
      <c r="C3338" s="105"/>
      <c r="K3338" s="1"/>
      <c r="L3338" s="2"/>
    </row>
    <row r="3339" spans="1:12" x14ac:dyDescent="0.2">
      <c r="A3339" s="103"/>
      <c r="B3339" s="104"/>
      <c r="C3339" s="105"/>
      <c r="K3339" s="1"/>
      <c r="L3339" s="2"/>
    </row>
    <row r="3340" spans="1:12" x14ac:dyDescent="0.2">
      <c r="A3340" s="103"/>
      <c r="B3340" s="104"/>
      <c r="C3340" s="105"/>
      <c r="K3340" s="1"/>
      <c r="L3340" s="2"/>
    </row>
    <row r="3341" spans="1:12" x14ac:dyDescent="0.2">
      <c r="A3341" s="103"/>
      <c r="B3341" s="104"/>
      <c r="C3341" s="105"/>
      <c r="K3341" s="1"/>
      <c r="L3341" s="2"/>
    </row>
    <row r="3342" spans="1:12" x14ac:dyDescent="0.2">
      <c r="A3342" s="103"/>
      <c r="B3342" s="104"/>
      <c r="C3342" s="105"/>
      <c r="K3342" s="1"/>
      <c r="L3342" s="2"/>
    </row>
    <row r="3343" spans="1:12" x14ac:dyDescent="0.2">
      <c r="A3343" s="103"/>
      <c r="B3343" s="104"/>
      <c r="C3343" s="105"/>
      <c r="K3343" s="1"/>
      <c r="L3343" s="2"/>
    </row>
    <row r="3344" spans="1:12" x14ac:dyDescent="0.2">
      <c r="A3344" s="103"/>
      <c r="B3344" s="104"/>
      <c r="C3344" s="105"/>
      <c r="K3344" s="1"/>
      <c r="L3344" s="2"/>
    </row>
    <row r="3345" spans="1:12" x14ac:dyDescent="0.2">
      <c r="A3345" s="103"/>
      <c r="B3345" s="104"/>
      <c r="C3345" s="105"/>
      <c r="K3345" s="1"/>
      <c r="L3345" s="2"/>
    </row>
    <row r="3346" spans="1:12" x14ac:dyDescent="0.2">
      <c r="A3346" s="103"/>
      <c r="B3346" s="104"/>
      <c r="C3346" s="105"/>
      <c r="K3346" s="1"/>
      <c r="L3346" s="2"/>
    </row>
    <row r="3347" spans="1:12" x14ac:dyDescent="0.2">
      <c r="A3347" s="103"/>
      <c r="B3347" s="104"/>
      <c r="C3347" s="105"/>
      <c r="K3347" s="1"/>
      <c r="L3347" s="2"/>
    </row>
    <row r="3348" spans="1:12" x14ac:dyDescent="0.2">
      <c r="A3348" s="103"/>
      <c r="B3348" s="104"/>
      <c r="C3348" s="105"/>
      <c r="K3348" s="1"/>
      <c r="L3348" s="2"/>
    </row>
    <row r="3349" spans="1:12" x14ac:dyDescent="0.2">
      <c r="A3349" s="103"/>
      <c r="B3349" s="104"/>
      <c r="C3349" s="105"/>
      <c r="K3349" s="1"/>
      <c r="L3349" s="2"/>
    </row>
    <row r="3350" spans="1:12" x14ac:dyDescent="0.2">
      <c r="A3350" s="103"/>
      <c r="B3350" s="104"/>
      <c r="C3350" s="105"/>
      <c r="K3350" s="1"/>
      <c r="L3350" s="2"/>
    </row>
    <row r="3351" spans="1:12" x14ac:dyDescent="0.2">
      <c r="A3351" s="103"/>
      <c r="B3351" s="104"/>
      <c r="C3351" s="105"/>
      <c r="K3351" s="1"/>
      <c r="L3351" s="2"/>
    </row>
    <row r="3352" spans="1:12" x14ac:dyDescent="0.2">
      <c r="A3352" s="103"/>
      <c r="B3352" s="104"/>
      <c r="C3352" s="105"/>
      <c r="K3352" s="1"/>
      <c r="L3352" s="2"/>
    </row>
    <row r="3353" spans="1:12" x14ac:dyDescent="0.2">
      <c r="A3353" s="103"/>
      <c r="B3353" s="104"/>
      <c r="C3353" s="105"/>
      <c r="K3353" s="1"/>
      <c r="L3353" s="2"/>
    </row>
    <row r="3354" spans="1:12" x14ac:dyDescent="0.2">
      <c r="A3354" s="103"/>
      <c r="B3354" s="104"/>
      <c r="C3354" s="105"/>
      <c r="K3354" s="1"/>
      <c r="L3354" s="2"/>
    </row>
    <row r="3355" spans="1:12" x14ac:dyDescent="0.2">
      <c r="A3355" s="103"/>
      <c r="B3355" s="104"/>
      <c r="C3355" s="105"/>
      <c r="K3355" s="1"/>
      <c r="L3355" s="2"/>
    </row>
    <row r="3356" spans="1:12" x14ac:dyDescent="0.2">
      <c r="A3356" s="103"/>
      <c r="B3356" s="104"/>
      <c r="C3356" s="105"/>
      <c r="K3356" s="1"/>
      <c r="L3356" s="2"/>
    </row>
    <row r="3357" spans="1:12" x14ac:dyDescent="0.2">
      <c r="A3357" s="103"/>
      <c r="B3357" s="104"/>
      <c r="C3357" s="105"/>
      <c r="K3357" s="1"/>
      <c r="L3357" s="2"/>
    </row>
    <row r="3358" spans="1:12" x14ac:dyDescent="0.2">
      <c r="A3358" s="103"/>
      <c r="B3358" s="104"/>
      <c r="C3358" s="105"/>
      <c r="K3358" s="1"/>
      <c r="L3358" s="2"/>
    </row>
    <row r="3359" spans="1:12" x14ac:dyDescent="0.2">
      <c r="A3359" s="103"/>
      <c r="B3359" s="104"/>
      <c r="C3359" s="105"/>
      <c r="K3359" s="1"/>
      <c r="L3359" s="2"/>
    </row>
    <row r="3360" spans="1:12" x14ac:dyDescent="0.2">
      <c r="A3360" s="103"/>
      <c r="B3360" s="104"/>
      <c r="C3360" s="105"/>
      <c r="K3360" s="1"/>
      <c r="L3360" s="2"/>
    </row>
    <row r="3361" spans="1:12" x14ac:dyDescent="0.2">
      <c r="A3361" s="103"/>
      <c r="B3361" s="104"/>
      <c r="C3361" s="105"/>
      <c r="K3361" s="1"/>
      <c r="L3361" s="2"/>
    </row>
    <row r="3362" spans="1:12" x14ac:dyDescent="0.2">
      <c r="A3362" s="103"/>
      <c r="B3362" s="104"/>
      <c r="C3362" s="105"/>
      <c r="K3362" s="1"/>
      <c r="L3362" s="2"/>
    </row>
    <row r="3363" spans="1:12" x14ac:dyDescent="0.2">
      <c r="A3363" s="103"/>
      <c r="B3363" s="104"/>
      <c r="C3363" s="105"/>
      <c r="K3363" s="1"/>
      <c r="L3363" s="2"/>
    </row>
    <row r="3364" spans="1:12" x14ac:dyDescent="0.2">
      <c r="A3364" s="103"/>
      <c r="B3364" s="104"/>
      <c r="C3364" s="105"/>
      <c r="K3364" s="1"/>
      <c r="L3364" s="2"/>
    </row>
    <row r="3365" spans="1:12" x14ac:dyDescent="0.2">
      <c r="A3365" s="103"/>
      <c r="B3365" s="104"/>
      <c r="C3365" s="105"/>
      <c r="K3365" s="1"/>
      <c r="L3365" s="2"/>
    </row>
    <row r="3366" spans="1:12" x14ac:dyDescent="0.2">
      <c r="A3366" s="103"/>
      <c r="B3366" s="104"/>
      <c r="C3366" s="105"/>
      <c r="K3366" s="1"/>
      <c r="L3366" s="2"/>
    </row>
    <row r="3367" spans="1:12" x14ac:dyDescent="0.2">
      <c r="A3367" s="103"/>
      <c r="B3367" s="104"/>
      <c r="C3367" s="105"/>
      <c r="K3367" s="1"/>
      <c r="L3367" s="2"/>
    </row>
    <row r="3368" spans="1:12" x14ac:dyDescent="0.2">
      <c r="A3368" s="103"/>
      <c r="B3368" s="104"/>
      <c r="C3368" s="105"/>
      <c r="K3368" s="1"/>
      <c r="L3368" s="2"/>
    </row>
    <row r="3369" spans="1:12" x14ac:dyDescent="0.2">
      <c r="A3369" s="103"/>
      <c r="B3369" s="104"/>
      <c r="C3369" s="105"/>
      <c r="K3369" s="1"/>
      <c r="L3369" s="2"/>
    </row>
    <row r="3370" spans="1:12" x14ac:dyDescent="0.2">
      <c r="A3370" s="103"/>
      <c r="B3370" s="104"/>
      <c r="C3370" s="105"/>
      <c r="K3370" s="1"/>
      <c r="L3370" s="2"/>
    </row>
    <row r="3371" spans="1:12" x14ac:dyDescent="0.2">
      <c r="A3371" s="103"/>
      <c r="B3371" s="104"/>
      <c r="C3371" s="105"/>
      <c r="K3371" s="1"/>
      <c r="L3371" s="2"/>
    </row>
    <row r="3372" spans="1:12" x14ac:dyDescent="0.2">
      <c r="A3372" s="103"/>
      <c r="B3372" s="104"/>
      <c r="C3372" s="105"/>
      <c r="K3372" s="1"/>
      <c r="L3372" s="2"/>
    </row>
    <row r="3373" spans="1:12" x14ac:dyDescent="0.2">
      <c r="A3373" s="103"/>
      <c r="B3373" s="104"/>
      <c r="C3373" s="105"/>
      <c r="K3373" s="1"/>
      <c r="L3373" s="2"/>
    </row>
    <row r="3374" spans="1:12" x14ac:dyDescent="0.2">
      <c r="A3374" s="103"/>
      <c r="B3374" s="104"/>
      <c r="C3374" s="105"/>
      <c r="K3374" s="1"/>
      <c r="L3374" s="2"/>
    </row>
    <row r="3375" spans="1:12" x14ac:dyDescent="0.2">
      <c r="A3375" s="103"/>
      <c r="B3375" s="104"/>
      <c r="C3375" s="105"/>
      <c r="K3375" s="1"/>
      <c r="L3375" s="2"/>
    </row>
    <row r="3376" spans="1:12" x14ac:dyDescent="0.2">
      <c r="A3376" s="103"/>
      <c r="B3376" s="104"/>
      <c r="C3376" s="105"/>
      <c r="K3376" s="1"/>
      <c r="L3376" s="2"/>
    </row>
    <row r="3377" spans="1:12" x14ac:dyDescent="0.2">
      <c r="A3377" s="103"/>
      <c r="B3377" s="104"/>
      <c r="C3377" s="105"/>
      <c r="K3377" s="1"/>
      <c r="L3377" s="2"/>
    </row>
    <row r="3378" spans="1:12" x14ac:dyDescent="0.2">
      <c r="A3378" s="103"/>
      <c r="B3378" s="104"/>
      <c r="C3378" s="105"/>
      <c r="K3378" s="1"/>
      <c r="L3378" s="2"/>
    </row>
    <row r="3379" spans="1:12" x14ac:dyDescent="0.2">
      <c r="A3379" s="103"/>
      <c r="B3379" s="104"/>
      <c r="C3379" s="105"/>
      <c r="K3379" s="1"/>
      <c r="L3379" s="2"/>
    </row>
    <row r="3380" spans="1:12" x14ac:dyDescent="0.2">
      <c r="A3380" s="103"/>
      <c r="B3380" s="104"/>
      <c r="C3380" s="105"/>
      <c r="K3380" s="1"/>
      <c r="L3380" s="2"/>
    </row>
    <row r="3381" spans="1:12" x14ac:dyDescent="0.2">
      <c r="A3381" s="103"/>
      <c r="B3381" s="104"/>
      <c r="C3381" s="105"/>
      <c r="K3381" s="1"/>
      <c r="L3381" s="2"/>
    </row>
    <row r="3382" spans="1:12" x14ac:dyDescent="0.2">
      <c r="A3382" s="103"/>
      <c r="B3382" s="104"/>
      <c r="C3382" s="105"/>
      <c r="K3382" s="1"/>
      <c r="L3382" s="2"/>
    </row>
    <row r="3383" spans="1:12" x14ac:dyDescent="0.2">
      <c r="A3383" s="103"/>
      <c r="B3383" s="104"/>
      <c r="C3383" s="105"/>
      <c r="K3383" s="1"/>
      <c r="L3383" s="2"/>
    </row>
    <row r="3384" spans="1:12" x14ac:dyDescent="0.2">
      <c r="A3384" s="103"/>
      <c r="B3384" s="104"/>
      <c r="C3384" s="105"/>
      <c r="K3384" s="1"/>
      <c r="L3384" s="2"/>
    </row>
    <row r="3385" spans="1:12" x14ac:dyDescent="0.2">
      <c r="A3385" s="103"/>
      <c r="B3385" s="104"/>
      <c r="C3385" s="105"/>
      <c r="K3385" s="1"/>
      <c r="L3385" s="2"/>
    </row>
    <row r="3386" spans="1:12" x14ac:dyDescent="0.2">
      <c r="A3386" s="103"/>
      <c r="B3386" s="104"/>
      <c r="C3386" s="105"/>
      <c r="K3386" s="1"/>
      <c r="L3386" s="2"/>
    </row>
    <row r="3387" spans="1:12" x14ac:dyDescent="0.2">
      <c r="A3387" s="103"/>
      <c r="B3387" s="104"/>
      <c r="C3387" s="105"/>
      <c r="K3387" s="1"/>
      <c r="L3387" s="2"/>
    </row>
    <row r="3388" spans="1:12" x14ac:dyDescent="0.2">
      <c r="A3388" s="103"/>
      <c r="B3388" s="104"/>
      <c r="C3388" s="105"/>
      <c r="K3388" s="1"/>
      <c r="L3388" s="2"/>
    </row>
    <row r="3389" spans="1:12" x14ac:dyDescent="0.2">
      <c r="A3389" s="103"/>
      <c r="B3389" s="104"/>
      <c r="C3389" s="105"/>
      <c r="K3389" s="1"/>
      <c r="L3389" s="2"/>
    </row>
    <row r="3390" spans="1:12" x14ac:dyDescent="0.2">
      <c r="A3390" s="103"/>
      <c r="B3390" s="104"/>
      <c r="C3390" s="105"/>
      <c r="K3390" s="1"/>
      <c r="L3390" s="2"/>
    </row>
    <row r="3391" spans="1:12" x14ac:dyDescent="0.2">
      <c r="A3391" s="103"/>
      <c r="B3391" s="104"/>
      <c r="C3391" s="105"/>
      <c r="K3391" s="1"/>
      <c r="L3391" s="2"/>
    </row>
    <row r="3392" spans="1:12" x14ac:dyDescent="0.2">
      <c r="A3392" s="103"/>
      <c r="B3392" s="104"/>
      <c r="C3392" s="105"/>
      <c r="K3392" s="1"/>
      <c r="L3392" s="2"/>
    </row>
    <row r="3393" spans="1:12" x14ac:dyDescent="0.2">
      <c r="A3393" s="103"/>
      <c r="B3393" s="104"/>
      <c r="C3393" s="105"/>
      <c r="K3393" s="1"/>
      <c r="L3393" s="2"/>
    </row>
    <row r="3394" spans="1:12" x14ac:dyDescent="0.2">
      <c r="A3394" s="103"/>
      <c r="B3394" s="104"/>
      <c r="C3394" s="105"/>
      <c r="K3394" s="1"/>
      <c r="L3394" s="2"/>
    </row>
    <row r="3395" spans="1:12" x14ac:dyDescent="0.2">
      <c r="A3395" s="103"/>
      <c r="B3395" s="104"/>
      <c r="C3395" s="105"/>
      <c r="K3395" s="1"/>
      <c r="L3395" s="2"/>
    </row>
    <row r="3396" spans="1:12" x14ac:dyDescent="0.2">
      <c r="A3396" s="103"/>
      <c r="B3396" s="104"/>
      <c r="C3396" s="105"/>
      <c r="K3396" s="1"/>
      <c r="L3396" s="2"/>
    </row>
    <row r="3397" spans="1:12" x14ac:dyDescent="0.2">
      <c r="A3397" s="103"/>
      <c r="B3397" s="104"/>
      <c r="C3397" s="105"/>
      <c r="K3397" s="1"/>
      <c r="L3397" s="2"/>
    </row>
    <row r="3398" spans="1:12" x14ac:dyDescent="0.2">
      <c r="A3398" s="103"/>
      <c r="B3398" s="104"/>
      <c r="C3398" s="105"/>
      <c r="K3398" s="1"/>
      <c r="L3398" s="2"/>
    </row>
    <row r="3399" spans="1:12" x14ac:dyDescent="0.2">
      <c r="A3399" s="103"/>
      <c r="B3399" s="104"/>
      <c r="C3399" s="105"/>
      <c r="K3399" s="1"/>
      <c r="L3399" s="2"/>
    </row>
    <row r="3400" spans="1:12" x14ac:dyDescent="0.2">
      <c r="A3400" s="103"/>
      <c r="B3400" s="104"/>
      <c r="C3400" s="105"/>
      <c r="K3400" s="1"/>
      <c r="L3400" s="2"/>
    </row>
    <row r="3401" spans="1:12" x14ac:dyDescent="0.2">
      <c r="A3401" s="103"/>
      <c r="B3401" s="104"/>
      <c r="C3401" s="105"/>
      <c r="K3401" s="1"/>
      <c r="L3401" s="2"/>
    </row>
    <row r="3402" spans="1:12" x14ac:dyDescent="0.2">
      <c r="A3402" s="103"/>
      <c r="B3402" s="104"/>
      <c r="C3402" s="105"/>
      <c r="K3402" s="1"/>
      <c r="L3402" s="2"/>
    </row>
    <row r="3403" spans="1:12" x14ac:dyDescent="0.2">
      <c r="A3403" s="103"/>
      <c r="B3403" s="104"/>
      <c r="C3403" s="105"/>
      <c r="K3403" s="1"/>
      <c r="L3403" s="2"/>
    </row>
    <row r="3404" spans="1:12" x14ac:dyDescent="0.2">
      <c r="A3404" s="103"/>
      <c r="B3404" s="104"/>
      <c r="C3404" s="105"/>
      <c r="K3404" s="1"/>
      <c r="L3404" s="2"/>
    </row>
    <row r="3405" spans="1:12" x14ac:dyDescent="0.2">
      <c r="A3405" s="103"/>
      <c r="B3405" s="104"/>
      <c r="C3405" s="105"/>
      <c r="K3405" s="1"/>
      <c r="L3405" s="2"/>
    </row>
    <row r="3406" spans="1:12" x14ac:dyDescent="0.2">
      <c r="A3406" s="103"/>
      <c r="B3406" s="104"/>
      <c r="C3406" s="105"/>
      <c r="K3406" s="1"/>
      <c r="L3406" s="2"/>
    </row>
    <row r="3407" spans="1:12" x14ac:dyDescent="0.2">
      <c r="A3407" s="103"/>
      <c r="B3407" s="104"/>
      <c r="C3407" s="105"/>
      <c r="K3407" s="1"/>
      <c r="L3407" s="2"/>
    </row>
    <row r="3408" spans="1:12" x14ac:dyDescent="0.2">
      <c r="A3408" s="103"/>
      <c r="B3408" s="104"/>
      <c r="C3408" s="105"/>
      <c r="K3408" s="1"/>
      <c r="L3408" s="2"/>
    </row>
    <row r="3409" spans="1:12" x14ac:dyDescent="0.2">
      <c r="A3409" s="103"/>
      <c r="B3409" s="104"/>
      <c r="C3409" s="105"/>
      <c r="K3409" s="1"/>
      <c r="L3409" s="2"/>
    </row>
    <row r="3410" spans="1:12" x14ac:dyDescent="0.2">
      <c r="A3410" s="103"/>
      <c r="B3410" s="104"/>
      <c r="C3410" s="105"/>
      <c r="K3410" s="1"/>
      <c r="L3410" s="2"/>
    </row>
    <row r="3411" spans="1:12" x14ac:dyDescent="0.2">
      <c r="A3411" s="103"/>
      <c r="B3411" s="104"/>
      <c r="C3411" s="105"/>
      <c r="K3411" s="1"/>
      <c r="L3411" s="2"/>
    </row>
    <row r="3412" spans="1:12" x14ac:dyDescent="0.2">
      <c r="A3412" s="103"/>
      <c r="B3412" s="104"/>
      <c r="C3412" s="105"/>
      <c r="K3412" s="1"/>
      <c r="L3412" s="2"/>
    </row>
    <row r="3413" spans="1:12" x14ac:dyDescent="0.2">
      <c r="A3413" s="103"/>
      <c r="B3413" s="104"/>
      <c r="C3413" s="105"/>
      <c r="K3413" s="1"/>
      <c r="L3413" s="2"/>
    </row>
    <row r="3414" spans="1:12" x14ac:dyDescent="0.2">
      <c r="A3414" s="103"/>
      <c r="B3414" s="104"/>
      <c r="C3414" s="105"/>
      <c r="K3414" s="1"/>
      <c r="L3414" s="2"/>
    </row>
    <row r="3415" spans="1:12" x14ac:dyDescent="0.2">
      <c r="A3415" s="103"/>
      <c r="B3415" s="104"/>
      <c r="C3415" s="105"/>
      <c r="K3415" s="1"/>
      <c r="L3415" s="2"/>
    </row>
    <row r="3416" spans="1:12" x14ac:dyDescent="0.2">
      <c r="A3416" s="103"/>
      <c r="B3416" s="104"/>
      <c r="C3416" s="105"/>
      <c r="K3416" s="1"/>
      <c r="L3416" s="2"/>
    </row>
    <row r="3417" spans="1:12" x14ac:dyDescent="0.2">
      <c r="A3417" s="103"/>
      <c r="B3417" s="104"/>
      <c r="C3417" s="105"/>
      <c r="K3417" s="1"/>
      <c r="L3417" s="2"/>
    </row>
    <row r="3418" spans="1:12" x14ac:dyDescent="0.2">
      <c r="A3418" s="103"/>
      <c r="B3418" s="104"/>
      <c r="C3418" s="105"/>
      <c r="K3418" s="1"/>
      <c r="L3418" s="2"/>
    </row>
    <row r="3419" spans="1:12" x14ac:dyDescent="0.2">
      <c r="A3419" s="103"/>
      <c r="B3419" s="104"/>
      <c r="C3419" s="105"/>
      <c r="K3419" s="1"/>
      <c r="L3419" s="2"/>
    </row>
    <row r="3420" spans="1:12" x14ac:dyDescent="0.2">
      <c r="A3420" s="103"/>
      <c r="B3420" s="104"/>
      <c r="C3420" s="105"/>
      <c r="K3420" s="1"/>
      <c r="L3420" s="2"/>
    </row>
    <row r="3421" spans="1:12" x14ac:dyDescent="0.2">
      <c r="A3421" s="103"/>
      <c r="B3421" s="104"/>
      <c r="C3421" s="105"/>
      <c r="K3421" s="1"/>
      <c r="L3421" s="2"/>
    </row>
    <row r="3422" spans="1:12" x14ac:dyDescent="0.2">
      <c r="A3422" s="103"/>
      <c r="B3422" s="104"/>
      <c r="C3422" s="105"/>
      <c r="K3422" s="1"/>
      <c r="L3422" s="2"/>
    </row>
    <row r="3423" spans="1:12" x14ac:dyDescent="0.2">
      <c r="A3423" s="103"/>
      <c r="B3423" s="104"/>
      <c r="C3423" s="105"/>
      <c r="K3423" s="1"/>
      <c r="L3423" s="2"/>
    </row>
    <row r="3424" spans="1:12" x14ac:dyDescent="0.2">
      <c r="A3424" s="103"/>
      <c r="B3424" s="104"/>
      <c r="C3424" s="105"/>
      <c r="K3424" s="1"/>
      <c r="L3424" s="2"/>
    </row>
    <row r="3425" spans="1:12" x14ac:dyDescent="0.2">
      <c r="A3425" s="103"/>
      <c r="B3425" s="104"/>
      <c r="C3425" s="105"/>
      <c r="K3425" s="1"/>
      <c r="L3425" s="2"/>
    </row>
    <row r="3426" spans="1:12" x14ac:dyDescent="0.2">
      <c r="A3426" s="103"/>
      <c r="B3426" s="104"/>
      <c r="C3426" s="105"/>
      <c r="K3426" s="1"/>
      <c r="L3426" s="2"/>
    </row>
    <row r="3427" spans="1:12" x14ac:dyDescent="0.2">
      <c r="A3427" s="103"/>
      <c r="B3427" s="104"/>
      <c r="C3427" s="105"/>
      <c r="K3427" s="1"/>
      <c r="L3427" s="2"/>
    </row>
    <row r="3428" spans="1:12" x14ac:dyDescent="0.2">
      <c r="A3428" s="103"/>
      <c r="B3428" s="104"/>
      <c r="C3428" s="105"/>
      <c r="K3428" s="1"/>
      <c r="L3428" s="2"/>
    </row>
    <row r="3429" spans="1:12" x14ac:dyDescent="0.2">
      <c r="A3429" s="103"/>
      <c r="B3429" s="104"/>
      <c r="C3429" s="105"/>
      <c r="K3429" s="1"/>
      <c r="L3429" s="2"/>
    </row>
    <row r="3430" spans="1:12" x14ac:dyDescent="0.2">
      <c r="A3430" s="103"/>
      <c r="B3430" s="104"/>
      <c r="C3430" s="105"/>
      <c r="K3430" s="1"/>
      <c r="L3430" s="2"/>
    </row>
    <row r="3431" spans="1:12" x14ac:dyDescent="0.2">
      <c r="A3431" s="103"/>
      <c r="B3431" s="104"/>
      <c r="C3431" s="105"/>
      <c r="K3431" s="1"/>
      <c r="L3431" s="2"/>
    </row>
    <row r="3432" spans="1:12" x14ac:dyDescent="0.2">
      <c r="A3432" s="103"/>
      <c r="B3432" s="104"/>
      <c r="C3432" s="105"/>
      <c r="K3432" s="1"/>
      <c r="L3432" s="2"/>
    </row>
    <row r="3433" spans="1:12" x14ac:dyDescent="0.2">
      <c r="A3433" s="103"/>
      <c r="B3433" s="104"/>
      <c r="C3433" s="105"/>
      <c r="K3433" s="1"/>
      <c r="L3433" s="2"/>
    </row>
    <row r="3434" spans="1:12" x14ac:dyDescent="0.2">
      <c r="A3434" s="103"/>
      <c r="B3434" s="104"/>
      <c r="C3434" s="105"/>
      <c r="K3434" s="1"/>
      <c r="L3434" s="2"/>
    </row>
    <row r="3435" spans="1:12" x14ac:dyDescent="0.2">
      <c r="A3435" s="103"/>
      <c r="B3435" s="104"/>
      <c r="C3435" s="105"/>
      <c r="K3435" s="1"/>
      <c r="L3435" s="2"/>
    </row>
    <row r="3436" spans="1:12" x14ac:dyDescent="0.2">
      <c r="A3436" s="103"/>
      <c r="B3436" s="104"/>
      <c r="C3436" s="105"/>
      <c r="K3436" s="1"/>
      <c r="L3436" s="2"/>
    </row>
    <row r="3437" spans="1:12" x14ac:dyDescent="0.2">
      <c r="A3437" s="103"/>
      <c r="B3437" s="104"/>
      <c r="C3437" s="105"/>
      <c r="K3437" s="1"/>
      <c r="L3437" s="2"/>
    </row>
    <row r="3438" spans="1:12" x14ac:dyDescent="0.2">
      <c r="A3438" s="103"/>
      <c r="B3438" s="104"/>
      <c r="C3438" s="105"/>
      <c r="K3438" s="1"/>
      <c r="L3438" s="2"/>
    </row>
    <row r="3439" spans="1:12" x14ac:dyDescent="0.2">
      <c r="A3439" s="103"/>
      <c r="B3439" s="104"/>
      <c r="C3439" s="105"/>
      <c r="K3439" s="1"/>
      <c r="L3439" s="2"/>
    </row>
    <row r="3440" spans="1:12" x14ac:dyDescent="0.2">
      <c r="A3440" s="103"/>
      <c r="B3440" s="104"/>
      <c r="C3440" s="105"/>
      <c r="K3440" s="1"/>
      <c r="L3440" s="2"/>
    </row>
    <row r="3441" spans="1:12" x14ac:dyDescent="0.2">
      <c r="A3441" s="103"/>
      <c r="B3441" s="104"/>
      <c r="C3441" s="105"/>
      <c r="K3441" s="1"/>
      <c r="L3441" s="2"/>
    </row>
    <row r="3442" spans="1:12" x14ac:dyDescent="0.2">
      <c r="A3442" s="103"/>
      <c r="B3442" s="104"/>
      <c r="C3442" s="105"/>
      <c r="K3442" s="1"/>
      <c r="L3442" s="2"/>
    </row>
    <row r="3443" spans="1:12" x14ac:dyDescent="0.2">
      <c r="A3443" s="103"/>
      <c r="B3443" s="104"/>
      <c r="C3443" s="105"/>
      <c r="K3443" s="1"/>
      <c r="L3443" s="2"/>
    </row>
    <row r="3444" spans="1:12" x14ac:dyDescent="0.2">
      <c r="A3444" s="103"/>
      <c r="B3444" s="104"/>
      <c r="C3444" s="105"/>
      <c r="K3444" s="1"/>
      <c r="L3444" s="2"/>
    </row>
    <row r="3445" spans="1:12" x14ac:dyDescent="0.2">
      <c r="A3445" s="103"/>
      <c r="B3445" s="104"/>
      <c r="C3445" s="105"/>
      <c r="K3445" s="1"/>
      <c r="L3445" s="2"/>
    </row>
    <row r="3446" spans="1:12" x14ac:dyDescent="0.2">
      <c r="A3446" s="103"/>
      <c r="B3446" s="104"/>
      <c r="C3446" s="105"/>
      <c r="K3446" s="1"/>
      <c r="L3446" s="2"/>
    </row>
    <row r="3447" spans="1:12" x14ac:dyDescent="0.2">
      <c r="A3447" s="103"/>
      <c r="B3447" s="104"/>
      <c r="C3447" s="105"/>
      <c r="K3447" s="1"/>
      <c r="L3447" s="2"/>
    </row>
    <row r="3448" spans="1:12" x14ac:dyDescent="0.2">
      <c r="A3448" s="103"/>
      <c r="B3448" s="104"/>
      <c r="C3448" s="105"/>
      <c r="K3448" s="1"/>
      <c r="L3448" s="2"/>
    </row>
    <row r="3449" spans="1:12" x14ac:dyDescent="0.2">
      <c r="A3449" s="103"/>
      <c r="B3449" s="104"/>
      <c r="C3449" s="105"/>
      <c r="K3449" s="1"/>
      <c r="L3449" s="2"/>
    </row>
    <row r="3450" spans="1:12" x14ac:dyDescent="0.2">
      <c r="A3450" s="103"/>
      <c r="B3450" s="104"/>
      <c r="C3450" s="105"/>
      <c r="K3450" s="1"/>
      <c r="L3450" s="2"/>
    </row>
    <row r="3451" spans="1:12" x14ac:dyDescent="0.2">
      <c r="A3451" s="103"/>
      <c r="B3451" s="104"/>
      <c r="C3451" s="105"/>
      <c r="K3451" s="1"/>
      <c r="L3451" s="2"/>
    </row>
    <row r="3452" spans="1:12" x14ac:dyDescent="0.2">
      <c r="A3452" s="103"/>
      <c r="B3452" s="104"/>
      <c r="C3452" s="105"/>
      <c r="K3452" s="1"/>
      <c r="L3452" s="2"/>
    </row>
    <row r="3453" spans="1:12" x14ac:dyDescent="0.2">
      <c r="A3453" s="103"/>
      <c r="B3453" s="104"/>
      <c r="C3453" s="105"/>
      <c r="K3453" s="1"/>
      <c r="L3453" s="2"/>
    </row>
    <row r="3454" spans="1:12" x14ac:dyDescent="0.2">
      <c r="A3454" s="103"/>
      <c r="B3454" s="104"/>
      <c r="C3454" s="105"/>
      <c r="K3454" s="1"/>
      <c r="L3454" s="2"/>
    </row>
    <row r="3455" spans="1:12" x14ac:dyDescent="0.2">
      <c r="A3455" s="103"/>
      <c r="B3455" s="104"/>
      <c r="C3455" s="105"/>
      <c r="K3455" s="1"/>
      <c r="L3455" s="2"/>
    </row>
    <row r="3456" spans="1:12" x14ac:dyDescent="0.2">
      <c r="A3456" s="103"/>
      <c r="B3456" s="104"/>
      <c r="C3456" s="105"/>
      <c r="K3456" s="1"/>
      <c r="L3456" s="2"/>
    </row>
    <row r="3457" spans="1:12" x14ac:dyDescent="0.2">
      <c r="A3457" s="103"/>
      <c r="B3457" s="104"/>
      <c r="C3457" s="105"/>
      <c r="K3457" s="1"/>
      <c r="L3457" s="2"/>
    </row>
    <row r="3458" spans="1:12" x14ac:dyDescent="0.2">
      <c r="A3458" s="103"/>
      <c r="B3458" s="104"/>
      <c r="C3458" s="105"/>
      <c r="K3458" s="1"/>
      <c r="L3458" s="2"/>
    </row>
    <row r="3459" spans="1:12" x14ac:dyDescent="0.2">
      <c r="A3459" s="103"/>
      <c r="B3459" s="104"/>
      <c r="C3459" s="105"/>
      <c r="K3459" s="1"/>
      <c r="L3459" s="2"/>
    </row>
    <row r="3460" spans="1:12" x14ac:dyDescent="0.2">
      <c r="A3460" s="103"/>
      <c r="B3460" s="104"/>
      <c r="C3460" s="105"/>
      <c r="K3460" s="1"/>
      <c r="L3460" s="2"/>
    </row>
    <row r="3461" spans="1:12" x14ac:dyDescent="0.2">
      <c r="A3461" s="103"/>
      <c r="B3461" s="104"/>
      <c r="C3461" s="105"/>
      <c r="K3461" s="1"/>
      <c r="L3461" s="2"/>
    </row>
    <row r="3462" spans="1:12" x14ac:dyDescent="0.2">
      <c r="A3462" s="103"/>
      <c r="B3462" s="104"/>
      <c r="C3462" s="105"/>
      <c r="K3462" s="1"/>
      <c r="L3462" s="2"/>
    </row>
    <row r="3463" spans="1:12" x14ac:dyDescent="0.2">
      <c r="A3463" s="103"/>
      <c r="B3463" s="104"/>
      <c r="C3463" s="105"/>
      <c r="K3463" s="1"/>
      <c r="L3463" s="2"/>
    </row>
    <row r="3464" spans="1:12" x14ac:dyDescent="0.2">
      <c r="A3464" s="103"/>
      <c r="B3464" s="104"/>
      <c r="C3464" s="105"/>
      <c r="K3464" s="1"/>
      <c r="L3464" s="2"/>
    </row>
    <row r="3465" spans="1:12" x14ac:dyDescent="0.2">
      <c r="A3465" s="103"/>
      <c r="B3465" s="104"/>
      <c r="C3465" s="105"/>
      <c r="K3465" s="1"/>
      <c r="L3465" s="2"/>
    </row>
    <row r="3466" spans="1:12" x14ac:dyDescent="0.2">
      <c r="A3466" s="103"/>
      <c r="B3466" s="104"/>
      <c r="C3466" s="105"/>
      <c r="K3466" s="1"/>
      <c r="L3466" s="2"/>
    </row>
    <row r="3467" spans="1:12" x14ac:dyDescent="0.2">
      <c r="A3467" s="103"/>
      <c r="B3467" s="104"/>
      <c r="C3467" s="105"/>
      <c r="K3467" s="1"/>
      <c r="L3467" s="2"/>
    </row>
    <row r="3468" spans="1:12" x14ac:dyDescent="0.2">
      <c r="A3468" s="103"/>
      <c r="B3468" s="104"/>
      <c r="C3468" s="105"/>
      <c r="K3468" s="1"/>
      <c r="L3468" s="2"/>
    </row>
    <row r="3469" spans="1:12" x14ac:dyDescent="0.2">
      <c r="A3469" s="103"/>
      <c r="B3469" s="104"/>
      <c r="C3469" s="105"/>
      <c r="K3469" s="1"/>
      <c r="L3469" s="2"/>
    </row>
    <row r="3470" spans="1:12" x14ac:dyDescent="0.2">
      <c r="A3470" s="103"/>
      <c r="B3470" s="104"/>
      <c r="C3470" s="105"/>
      <c r="K3470" s="1"/>
      <c r="L3470" s="2"/>
    </row>
    <row r="3471" spans="1:12" x14ac:dyDescent="0.2">
      <c r="A3471" s="103"/>
      <c r="B3471" s="104"/>
      <c r="C3471" s="105"/>
      <c r="K3471" s="1"/>
      <c r="L3471" s="2"/>
    </row>
    <row r="3472" spans="1:12" x14ac:dyDescent="0.2">
      <c r="A3472" s="103"/>
      <c r="B3472" s="104"/>
      <c r="C3472" s="105"/>
      <c r="K3472" s="1"/>
      <c r="L3472" s="2"/>
    </row>
    <row r="3473" spans="1:12" x14ac:dyDescent="0.2">
      <c r="A3473" s="103"/>
      <c r="B3473" s="104"/>
      <c r="C3473" s="105"/>
      <c r="K3473" s="1"/>
      <c r="L3473" s="2"/>
    </row>
    <row r="3474" spans="1:12" x14ac:dyDescent="0.2">
      <c r="A3474" s="103"/>
      <c r="B3474" s="104"/>
      <c r="C3474" s="105"/>
      <c r="K3474" s="1"/>
      <c r="L3474" s="2"/>
    </row>
    <row r="3475" spans="1:12" x14ac:dyDescent="0.2">
      <c r="A3475" s="103"/>
      <c r="B3475" s="104"/>
      <c r="C3475" s="105"/>
      <c r="K3475" s="1"/>
      <c r="L3475" s="2"/>
    </row>
    <row r="3476" spans="1:12" x14ac:dyDescent="0.2">
      <c r="A3476" s="103"/>
      <c r="B3476" s="104"/>
      <c r="C3476" s="105"/>
      <c r="K3476" s="1"/>
      <c r="L3476" s="2"/>
    </row>
    <row r="3477" spans="1:12" x14ac:dyDescent="0.2">
      <c r="A3477" s="103"/>
      <c r="B3477" s="104"/>
      <c r="C3477" s="105"/>
      <c r="K3477" s="1"/>
      <c r="L3477" s="2"/>
    </row>
    <row r="3478" spans="1:12" x14ac:dyDescent="0.2">
      <c r="A3478" s="103"/>
      <c r="B3478" s="104"/>
      <c r="C3478" s="105"/>
      <c r="K3478" s="1"/>
      <c r="L3478" s="2"/>
    </row>
    <row r="3479" spans="1:12" x14ac:dyDescent="0.2">
      <c r="A3479" s="103"/>
      <c r="B3479" s="104"/>
      <c r="C3479" s="105"/>
      <c r="K3479" s="1"/>
      <c r="L3479" s="2"/>
    </row>
    <row r="3480" spans="1:12" x14ac:dyDescent="0.2">
      <c r="A3480" s="103"/>
      <c r="B3480" s="104"/>
      <c r="C3480" s="105"/>
      <c r="K3480" s="1"/>
      <c r="L3480" s="2"/>
    </row>
    <row r="3481" spans="1:12" x14ac:dyDescent="0.2">
      <c r="A3481" s="103"/>
      <c r="B3481" s="104"/>
      <c r="C3481" s="105"/>
      <c r="K3481" s="1"/>
      <c r="L3481" s="2"/>
    </row>
    <row r="3482" spans="1:12" x14ac:dyDescent="0.2">
      <c r="A3482" s="103"/>
      <c r="B3482" s="104"/>
      <c r="C3482" s="105"/>
      <c r="K3482" s="1"/>
      <c r="L3482" s="2"/>
    </row>
    <row r="3483" spans="1:12" x14ac:dyDescent="0.2">
      <c r="A3483" s="103"/>
      <c r="B3483" s="104"/>
      <c r="C3483" s="105"/>
      <c r="K3483" s="1"/>
      <c r="L3483" s="2"/>
    </row>
    <row r="3484" spans="1:12" x14ac:dyDescent="0.2">
      <c r="A3484" s="103"/>
      <c r="B3484" s="104"/>
      <c r="C3484" s="105"/>
      <c r="K3484" s="1"/>
      <c r="L3484" s="2"/>
    </row>
    <row r="3485" spans="1:12" x14ac:dyDescent="0.2">
      <c r="A3485" s="103"/>
      <c r="B3485" s="104"/>
      <c r="C3485" s="105"/>
      <c r="K3485" s="1"/>
      <c r="L3485" s="2"/>
    </row>
    <row r="3486" spans="1:12" x14ac:dyDescent="0.2">
      <c r="A3486" s="103"/>
      <c r="B3486" s="104"/>
      <c r="C3486" s="105"/>
      <c r="K3486" s="1"/>
      <c r="L3486" s="2"/>
    </row>
    <row r="3487" spans="1:12" x14ac:dyDescent="0.2">
      <c r="A3487" s="103"/>
      <c r="B3487" s="104"/>
      <c r="C3487" s="105"/>
      <c r="K3487" s="1"/>
      <c r="L3487" s="2"/>
    </row>
    <row r="3488" spans="1:12" x14ac:dyDescent="0.2">
      <c r="A3488" s="103"/>
      <c r="B3488" s="104"/>
      <c r="C3488" s="105"/>
      <c r="K3488" s="1"/>
      <c r="L3488" s="2"/>
    </row>
    <row r="3489" spans="1:12" x14ac:dyDescent="0.2">
      <c r="A3489" s="103"/>
      <c r="B3489" s="104"/>
      <c r="C3489" s="105"/>
      <c r="K3489" s="1"/>
      <c r="L3489" s="2"/>
    </row>
    <row r="3490" spans="1:12" x14ac:dyDescent="0.2">
      <c r="A3490" s="103"/>
      <c r="B3490" s="104"/>
      <c r="C3490" s="105"/>
      <c r="K3490" s="1"/>
      <c r="L3490" s="2"/>
    </row>
    <row r="3491" spans="1:12" x14ac:dyDescent="0.2">
      <c r="A3491" s="103"/>
      <c r="B3491" s="104"/>
      <c r="C3491" s="105"/>
      <c r="K3491" s="1"/>
      <c r="L3491" s="2"/>
    </row>
    <row r="3492" spans="1:12" x14ac:dyDescent="0.2">
      <c r="A3492" s="103"/>
      <c r="B3492" s="104"/>
      <c r="C3492" s="105"/>
      <c r="K3492" s="1"/>
      <c r="L3492" s="2"/>
    </row>
    <row r="3493" spans="1:12" x14ac:dyDescent="0.2">
      <c r="A3493" s="103"/>
      <c r="B3493" s="104"/>
      <c r="C3493" s="105"/>
      <c r="K3493" s="1"/>
      <c r="L3493" s="2"/>
    </row>
    <row r="3494" spans="1:12" x14ac:dyDescent="0.2">
      <c r="A3494" s="103"/>
      <c r="B3494" s="104"/>
      <c r="C3494" s="105"/>
      <c r="K3494" s="1"/>
      <c r="L3494" s="2"/>
    </row>
    <row r="3495" spans="1:12" x14ac:dyDescent="0.2">
      <c r="A3495" s="103"/>
      <c r="B3495" s="104"/>
      <c r="C3495" s="105"/>
      <c r="K3495" s="1"/>
      <c r="L3495" s="2"/>
    </row>
    <row r="3496" spans="1:12" x14ac:dyDescent="0.2">
      <c r="A3496" s="103"/>
      <c r="B3496" s="104"/>
      <c r="C3496" s="105"/>
      <c r="K3496" s="1"/>
      <c r="L3496" s="2"/>
    </row>
    <row r="3497" spans="1:12" x14ac:dyDescent="0.2">
      <c r="A3497" s="103"/>
      <c r="B3497" s="104"/>
      <c r="C3497" s="105"/>
      <c r="K3497" s="1"/>
      <c r="L3497" s="2"/>
    </row>
    <row r="3498" spans="1:12" x14ac:dyDescent="0.2">
      <c r="A3498" s="103"/>
      <c r="B3498" s="104"/>
      <c r="C3498" s="105"/>
      <c r="K3498" s="1"/>
      <c r="L3498" s="2"/>
    </row>
    <row r="3499" spans="1:12" x14ac:dyDescent="0.2">
      <c r="A3499" s="103"/>
      <c r="B3499" s="104"/>
      <c r="C3499" s="105"/>
      <c r="K3499" s="1"/>
      <c r="L3499" s="2"/>
    </row>
    <row r="3500" spans="1:12" x14ac:dyDescent="0.2">
      <c r="A3500" s="103"/>
      <c r="B3500" s="104"/>
      <c r="C3500" s="105"/>
      <c r="K3500" s="1"/>
      <c r="L3500" s="2"/>
    </row>
    <row r="3501" spans="1:12" x14ac:dyDescent="0.2">
      <c r="A3501" s="103"/>
      <c r="B3501" s="104"/>
      <c r="C3501" s="105"/>
      <c r="K3501" s="1"/>
      <c r="L3501" s="2"/>
    </row>
    <row r="3502" spans="1:12" x14ac:dyDescent="0.2">
      <c r="A3502" s="103"/>
      <c r="B3502" s="104"/>
      <c r="C3502" s="105"/>
      <c r="K3502" s="1"/>
      <c r="L3502" s="2"/>
    </row>
    <row r="3503" spans="1:12" x14ac:dyDescent="0.2">
      <c r="A3503" s="103"/>
      <c r="B3503" s="104"/>
      <c r="C3503" s="105"/>
      <c r="K3503" s="1"/>
      <c r="L3503" s="2"/>
    </row>
    <row r="3504" spans="1:12" x14ac:dyDescent="0.2">
      <c r="A3504" s="103"/>
      <c r="B3504" s="104"/>
      <c r="C3504" s="105"/>
      <c r="K3504" s="1"/>
      <c r="L3504" s="2"/>
    </row>
    <row r="3505" spans="1:12" x14ac:dyDescent="0.2">
      <c r="A3505" s="103"/>
      <c r="B3505" s="104"/>
      <c r="C3505" s="105"/>
      <c r="K3505" s="1"/>
      <c r="L3505" s="2"/>
    </row>
    <row r="3506" spans="1:12" x14ac:dyDescent="0.2">
      <c r="A3506" s="103"/>
      <c r="B3506" s="104"/>
      <c r="C3506" s="105"/>
      <c r="K3506" s="1"/>
      <c r="L3506" s="2"/>
    </row>
    <row r="3507" spans="1:12" x14ac:dyDescent="0.2">
      <c r="A3507" s="103"/>
      <c r="B3507" s="104"/>
      <c r="C3507" s="105"/>
      <c r="K3507" s="1"/>
      <c r="L3507" s="2"/>
    </row>
    <row r="3508" spans="1:12" x14ac:dyDescent="0.2">
      <c r="A3508" s="103"/>
      <c r="B3508" s="104"/>
      <c r="C3508" s="105"/>
      <c r="K3508" s="1"/>
      <c r="L3508" s="2"/>
    </row>
    <row r="3509" spans="1:12" x14ac:dyDescent="0.2">
      <c r="A3509" s="103"/>
      <c r="B3509" s="104"/>
      <c r="C3509" s="105"/>
      <c r="K3509" s="1"/>
      <c r="L3509" s="2"/>
    </row>
    <row r="3510" spans="1:12" x14ac:dyDescent="0.2">
      <c r="A3510" s="103"/>
      <c r="B3510" s="104"/>
      <c r="C3510" s="105"/>
      <c r="K3510" s="1"/>
      <c r="L3510" s="2"/>
    </row>
    <row r="3511" spans="1:12" x14ac:dyDescent="0.2">
      <c r="A3511" s="103"/>
      <c r="B3511" s="104"/>
      <c r="C3511" s="105"/>
      <c r="K3511" s="1"/>
      <c r="L3511" s="2"/>
    </row>
    <row r="3512" spans="1:12" x14ac:dyDescent="0.2">
      <c r="A3512" s="103"/>
      <c r="B3512" s="104"/>
      <c r="C3512" s="105"/>
      <c r="K3512" s="1"/>
      <c r="L3512" s="2"/>
    </row>
    <row r="3513" spans="1:12" x14ac:dyDescent="0.2">
      <c r="A3513" s="103"/>
      <c r="B3513" s="104"/>
      <c r="C3513" s="105"/>
      <c r="K3513" s="1"/>
      <c r="L3513" s="2"/>
    </row>
    <row r="3514" spans="1:12" x14ac:dyDescent="0.2">
      <c r="A3514" s="103"/>
      <c r="B3514" s="104"/>
      <c r="C3514" s="105"/>
      <c r="K3514" s="1"/>
      <c r="L3514" s="2"/>
    </row>
    <row r="3515" spans="1:12" x14ac:dyDescent="0.2">
      <c r="A3515" s="103"/>
      <c r="B3515" s="104"/>
      <c r="C3515" s="105"/>
      <c r="K3515" s="1"/>
      <c r="L3515" s="2"/>
    </row>
    <row r="3516" spans="1:12" x14ac:dyDescent="0.2">
      <c r="A3516" s="103"/>
      <c r="B3516" s="104"/>
      <c r="C3516" s="105"/>
      <c r="K3516" s="1"/>
      <c r="L3516" s="2"/>
    </row>
    <row r="3517" spans="1:12" x14ac:dyDescent="0.2">
      <c r="A3517" s="103"/>
      <c r="B3517" s="104"/>
      <c r="C3517" s="105"/>
      <c r="K3517" s="1"/>
      <c r="L3517" s="2"/>
    </row>
    <row r="3518" spans="1:12" x14ac:dyDescent="0.2">
      <c r="A3518" s="103"/>
      <c r="B3518" s="104"/>
      <c r="C3518" s="105"/>
      <c r="K3518" s="1"/>
      <c r="L3518" s="2"/>
    </row>
    <row r="3519" spans="1:12" x14ac:dyDescent="0.2">
      <c r="A3519" s="103"/>
      <c r="B3519" s="104"/>
      <c r="C3519" s="105"/>
      <c r="K3519" s="1"/>
      <c r="L3519" s="2"/>
    </row>
    <row r="3520" spans="1:12" x14ac:dyDescent="0.2">
      <c r="A3520" s="103"/>
      <c r="B3520" s="104"/>
      <c r="C3520" s="105"/>
      <c r="K3520" s="1"/>
      <c r="L3520" s="2"/>
    </row>
    <row r="3521" spans="1:12" x14ac:dyDescent="0.2">
      <c r="A3521" s="103"/>
      <c r="B3521" s="104"/>
      <c r="C3521" s="105"/>
      <c r="K3521" s="1"/>
      <c r="L3521" s="2"/>
    </row>
    <row r="3522" spans="1:12" x14ac:dyDescent="0.2">
      <c r="A3522" s="103"/>
      <c r="B3522" s="104"/>
      <c r="C3522" s="105"/>
      <c r="K3522" s="1"/>
      <c r="L3522" s="2"/>
    </row>
    <row r="3523" spans="1:12" x14ac:dyDescent="0.2">
      <c r="A3523" s="103"/>
      <c r="B3523" s="104"/>
      <c r="C3523" s="105"/>
      <c r="K3523" s="1"/>
      <c r="L3523" s="2"/>
    </row>
    <row r="3524" spans="1:12" x14ac:dyDescent="0.2">
      <c r="A3524" s="103"/>
      <c r="B3524" s="104"/>
      <c r="C3524" s="105"/>
      <c r="K3524" s="1"/>
      <c r="L3524" s="2"/>
    </row>
    <row r="3525" spans="1:12" x14ac:dyDescent="0.2">
      <c r="A3525" s="103"/>
      <c r="B3525" s="104"/>
      <c r="C3525" s="105"/>
      <c r="K3525" s="1"/>
      <c r="L3525" s="2"/>
    </row>
    <row r="3526" spans="1:12" x14ac:dyDescent="0.2">
      <c r="A3526" s="103"/>
      <c r="B3526" s="104"/>
      <c r="C3526" s="105"/>
      <c r="K3526" s="1"/>
      <c r="L3526" s="2"/>
    </row>
    <row r="3527" spans="1:12" x14ac:dyDescent="0.2">
      <c r="A3527" s="103"/>
      <c r="B3527" s="104"/>
      <c r="C3527" s="105"/>
      <c r="K3527" s="1"/>
      <c r="L3527" s="2"/>
    </row>
    <row r="3528" spans="1:12" x14ac:dyDescent="0.2">
      <c r="A3528" s="103"/>
      <c r="B3528" s="104"/>
      <c r="C3528" s="105"/>
      <c r="K3528" s="1"/>
      <c r="L3528" s="2"/>
    </row>
    <row r="3529" spans="1:12" x14ac:dyDescent="0.2">
      <c r="A3529" s="103"/>
      <c r="B3529" s="104"/>
      <c r="C3529" s="105"/>
      <c r="K3529" s="1"/>
      <c r="L3529" s="2"/>
    </row>
    <row r="3530" spans="1:12" x14ac:dyDescent="0.2">
      <c r="A3530" s="103"/>
      <c r="B3530" s="104"/>
      <c r="C3530" s="105"/>
      <c r="K3530" s="1"/>
      <c r="L3530" s="2"/>
    </row>
    <row r="3531" spans="1:12" x14ac:dyDescent="0.2">
      <c r="A3531" s="103"/>
      <c r="B3531" s="104"/>
      <c r="C3531" s="105"/>
      <c r="K3531" s="1"/>
      <c r="L3531" s="2"/>
    </row>
    <row r="3532" spans="1:12" x14ac:dyDescent="0.2">
      <c r="A3532" s="103"/>
      <c r="B3532" s="104"/>
      <c r="C3532" s="105"/>
      <c r="K3532" s="1"/>
      <c r="L3532" s="2"/>
    </row>
    <row r="3533" spans="1:12" x14ac:dyDescent="0.2">
      <c r="A3533" s="103"/>
      <c r="B3533" s="104"/>
      <c r="C3533" s="105"/>
      <c r="K3533" s="1"/>
      <c r="L3533" s="2"/>
    </row>
    <row r="3534" spans="1:12" x14ac:dyDescent="0.2">
      <c r="A3534" s="103"/>
      <c r="B3534" s="104"/>
      <c r="C3534" s="105"/>
      <c r="K3534" s="1"/>
      <c r="L3534" s="2"/>
    </row>
    <row r="3535" spans="1:12" x14ac:dyDescent="0.2">
      <c r="A3535" s="103"/>
      <c r="B3535" s="104"/>
      <c r="C3535" s="105"/>
      <c r="K3535" s="1"/>
      <c r="L3535" s="2"/>
    </row>
    <row r="3536" spans="1:12" x14ac:dyDescent="0.2">
      <c r="A3536" s="103"/>
      <c r="B3536" s="104"/>
      <c r="C3536" s="105"/>
      <c r="K3536" s="1"/>
      <c r="L3536" s="2"/>
    </row>
    <row r="3537" spans="1:12" x14ac:dyDescent="0.2">
      <c r="A3537" s="103"/>
      <c r="B3537" s="104"/>
      <c r="C3537" s="105"/>
      <c r="K3537" s="1"/>
      <c r="L3537" s="2"/>
    </row>
    <row r="3538" spans="1:12" x14ac:dyDescent="0.2">
      <c r="A3538" s="103"/>
      <c r="B3538" s="104"/>
      <c r="C3538" s="105"/>
      <c r="K3538" s="1"/>
      <c r="L3538" s="2"/>
    </row>
    <row r="3539" spans="1:12" x14ac:dyDescent="0.2">
      <c r="A3539" s="103"/>
      <c r="B3539" s="104"/>
      <c r="C3539" s="105"/>
      <c r="K3539" s="1"/>
      <c r="L3539" s="2"/>
    </row>
    <row r="3540" spans="1:12" x14ac:dyDescent="0.2">
      <c r="A3540" s="103"/>
      <c r="B3540" s="104"/>
      <c r="C3540" s="105"/>
      <c r="K3540" s="1"/>
      <c r="L3540" s="2"/>
    </row>
    <row r="3541" spans="1:12" x14ac:dyDescent="0.2">
      <c r="A3541" s="103"/>
      <c r="B3541" s="104"/>
      <c r="C3541" s="105"/>
      <c r="K3541" s="1"/>
      <c r="L3541" s="2"/>
    </row>
    <row r="3542" spans="1:12" x14ac:dyDescent="0.2">
      <c r="A3542" s="103"/>
      <c r="B3542" s="104"/>
      <c r="C3542" s="105"/>
      <c r="K3542" s="1"/>
      <c r="L3542" s="2"/>
    </row>
    <row r="3543" spans="1:12" x14ac:dyDescent="0.2">
      <c r="A3543" s="103"/>
      <c r="B3543" s="104"/>
      <c r="C3543" s="105"/>
      <c r="K3543" s="1"/>
      <c r="L3543" s="2"/>
    </row>
    <row r="3544" spans="1:12" x14ac:dyDescent="0.2">
      <c r="A3544" s="103"/>
      <c r="B3544" s="104"/>
      <c r="C3544" s="105"/>
      <c r="K3544" s="1"/>
      <c r="L3544" s="2"/>
    </row>
    <row r="3545" spans="1:12" x14ac:dyDescent="0.2">
      <c r="A3545" s="103"/>
      <c r="B3545" s="104"/>
      <c r="C3545" s="105"/>
      <c r="K3545" s="1"/>
      <c r="L3545" s="2"/>
    </row>
    <row r="3546" spans="1:12" x14ac:dyDescent="0.2">
      <c r="A3546" s="103"/>
      <c r="B3546" s="104"/>
      <c r="C3546" s="105"/>
      <c r="K3546" s="1"/>
      <c r="L3546" s="2"/>
    </row>
    <row r="3547" spans="1:12" x14ac:dyDescent="0.2">
      <c r="A3547" s="103"/>
      <c r="B3547" s="104"/>
      <c r="C3547" s="105"/>
      <c r="K3547" s="1"/>
      <c r="L3547" s="2"/>
    </row>
    <row r="3548" spans="1:12" x14ac:dyDescent="0.2">
      <c r="A3548" s="103"/>
      <c r="B3548" s="104"/>
      <c r="C3548" s="105"/>
      <c r="K3548" s="1"/>
      <c r="L3548" s="2"/>
    </row>
    <row r="3549" spans="1:12" x14ac:dyDescent="0.2">
      <c r="A3549" s="103"/>
      <c r="B3549" s="104"/>
      <c r="C3549" s="105"/>
      <c r="K3549" s="1"/>
      <c r="L3549" s="2"/>
    </row>
    <row r="3550" spans="1:12" x14ac:dyDescent="0.2">
      <c r="A3550" s="103"/>
      <c r="B3550" s="104"/>
      <c r="C3550" s="105"/>
      <c r="K3550" s="1"/>
      <c r="L3550" s="2"/>
    </row>
    <row r="3551" spans="1:12" x14ac:dyDescent="0.2">
      <c r="A3551" s="103"/>
      <c r="B3551" s="104"/>
      <c r="C3551" s="105"/>
      <c r="K3551" s="1"/>
      <c r="L3551" s="2"/>
    </row>
    <row r="3552" spans="1:12" x14ac:dyDescent="0.2">
      <c r="A3552" s="103"/>
      <c r="B3552" s="104"/>
      <c r="C3552" s="105"/>
      <c r="K3552" s="1"/>
      <c r="L3552" s="2"/>
    </row>
    <row r="3553" spans="1:12" x14ac:dyDescent="0.2">
      <c r="A3553" s="103"/>
      <c r="B3553" s="104"/>
      <c r="C3553" s="105"/>
      <c r="K3553" s="1"/>
      <c r="L3553" s="2"/>
    </row>
    <row r="3554" spans="1:12" x14ac:dyDescent="0.2">
      <c r="A3554" s="103"/>
      <c r="B3554" s="104"/>
      <c r="C3554" s="105"/>
      <c r="K3554" s="1"/>
      <c r="L3554" s="2"/>
    </row>
    <row r="3555" spans="1:12" x14ac:dyDescent="0.2">
      <c r="A3555" s="103"/>
      <c r="B3555" s="104"/>
      <c r="C3555" s="105"/>
      <c r="K3555" s="1"/>
      <c r="L3555" s="2"/>
    </row>
    <row r="3556" spans="1:12" x14ac:dyDescent="0.2">
      <c r="A3556" s="103"/>
      <c r="B3556" s="104"/>
      <c r="C3556" s="105"/>
      <c r="K3556" s="1"/>
      <c r="L3556" s="2"/>
    </row>
    <row r="3557" spans="1:12" x14ac:dyDescent="0.2">
      <c r="A3557" s="103"/>
      <c r="B3557" s="104"/>
      <c r="C3557" s="105"/>
      <c r="K3557" s="1"/>
      <c r="L3557" s="2"/>
    </row>
    <row r="3558" spans="1:12" x14ac:dyDescent="0.2">
      <c r="A3558" s="103"/>
      <c r="B3558" s="104"/>
      <c r="C3558" s="105"/>
      <c r="K3558" s="1"/>
      <c r="L3558" s="2"/>
    </row>
    <row r="3559" spans="1:12" x14ac:dyDescent="0.2">
      <c r="A3559" s="103"/>
      <c r="B3559" s="104"/>
      <c r="C3559" s="105"/>
      <c r="K3559" s="1"/>
      <c r="L3559" s="2"/>
    </row>
    <row r="3560" spans="1:12" x14ac:dyDescent="0.2">
      <c r="A3560" s="103"/>
      <c r="B3560" s="104"/>
      <c r="C3560" s="105"/>
      <c r="K3560" s="1"/>
      <c r="L3560" s="2"/>
    </row>
    <row r="3561" spans="1:12" x14ac:dyDescent="0.2">
      <c r="A3561" s="103"/>
      <c r="B3561" s="104"/>
      <c r="C3561" s="105"/>
      <c r="K3561" s="1"/>
      <c r="L3561" s="2"/>
    </row>
    <row r="3562" spans="1:12" x14ac:dyDescent="0.2">
      <c r="A3562" s="103"/>
      <c r="B3562" s="104"/>
      <c r="C3562" s="105"/>
      <c r="K3562" s="1"/>
      <c r="L3562" s="2"/>
    </row>
    <row r="3563" spans="1:12" x14ac:dyDescent="0.2">
      <c r="A3563" s="103"/>
      <c r="B3563" s="104"/>
      <c r="C3563" s="105"/>
      <c r="K3563" s="1"/>
      <c r="L3563" s="2"/>
    </row>
    <row r="3564" spans="1:12" x14ac:dyDescent="0.2">
      <c r="A3564" s="103"/>
      <c r="B3564" s="104"/>
      <c r="C3564" s="105"/>
      <c r="K3564" s="1"/>
      <c r="L3564" s="2"/>
    </row>
    <row r="3565" spans="1:12" x14ac:dyDescent="0.2">
      <c r="A3565" s="103"/>
      <c r="B3565" s="104"/>
      <c r="C3565" s="105"/>
      <c r="K3565" s="1"/>
      <c r="L3565" s="2"/>
    </row>
    <row r="3566" spans="1:12" x14ac:dyDescent="0.2">
      <c r="A3566" s="103"/>
      <c r="B3566" s="104"/>
      <c r="C3566" s="105"/>
      <c r="K3566" s="1"/>
      <c r="L3566" s="2"/>
    </row>
    <row r="3567" spans="1:12" x14ac:dyDescent="0.2">
      <c r="A3567" s="103"/>
      <c r="B3567" s="104"/>
      <c r="C3567" s="105"/>
      <c r="K3567" s="1"/>
      <c r="L3567" s="2"/>
    </row>
    <row r="3568" spans="1:12" x14ac:dyDescent="0.2">
      <c r="A3568" s="103"/>
      <c r="B3568" s="104"/>
      <c r="C3568" s="105"/>
      <c r="K3568" s="1"/>
      <c r="L3568" s="2"/>
    </row>
    <row r="3569" spans="1:12" x14ac:dyDescent="0.2">
      <c r="A3569" s="103"/>
      <c r="B3569" s="104"/>
      <c r="C3569" s="105"/>
      <c r="K3569" s="1"/>
      <c r="L3569" s="2"/>
    </row>
    <row r="3570" spans="1:12" x14ac:dyDescent="0.2">
      <c r="A3570" s="103"/>
      <c r="B3570" s="104"/>
      <c r="C3570" s="105"/>
      <c r="K3570" s="1"/>
      <c r="L3570" s="2"/>
    </row>
    <row r="3571" spans="1:12" x14ac:dyDescent="0.2">
      <c r="A3571" s="103"/>
      <c r="B3571" s="104"/>
      <c r="C3571" s="105"/>
      <c r="K3571" s="1"/>
      <c r="L3571" s="2"/>
    </row>
    <row r="3572" spans="1:12" x14ac:dyDescent="0.2">
      <c r="A3572" s="103"/>
      <c r="B3572" s="104"/>
      <c r="C3572" s="105"/>
      <c r="K3572" s="1"/>
      <c r="L3572" s="2"/>
    </row>
    <row r="3573" spans="1:12" x14ac:dyDescent="0.2">
      <c r="A3573" s="103"/>
      <c r="B3573" s="104"/>
      <c r="C3573" s="105"/>
      <c r="K3573" s="1"/>
      <c r="L3573" s="2"/>
    </row>
    <row r="3574" spans="1:12" x14ac:dyDescent="0.2">
      <c r="A3574" s="103"/>
      <c r="B3574" s="104"/>
      <c r="C3574" s="105"/>
      <c r="K3574" s="1"/>
      <c r="L3574" s="2"/>
    </row>
    <row r="3575" spans="1:12" x14ac:dyDescent="0.2">
      <c r="A3575" s="103"/>
      <c r="B3575" s="104"/>
      <c r="C3575" s="105"/>
      <c r="K3575" s="1"/>
      <c r="L3575" s="2"/>
    </row>
    <row r="3576" spans="1:12" x14ac:dyDescent="0.2">
      <c r="A3576" s="103"/>
      <c r="B3576" s="104"/>
      <c r="C3576" s="105"/>
      <c r="K3576" s="1"/>
      <c r="L3576" s="2"/>
    </row>
    <row r="3577" spans="1:12" x14ac:dyDescent="0.2">
      <c r="A3577" s="103"/>
      <c r="B3577" s="104"/>
      <c r="C3577" s="105"/>
      <c r="K3577" s="1"/>
      <c r="L3577" s="2"/>
    </row>
    <row r="3578" spans="1:12" x14ac:dyDescent="0.2">
      <c r="A3578" s="103"/>
      <c r="B3578" s="104"/>
      <c r="C3578" s="105"/>
      <c r="K3578" s="1"/>
      <c r="L3578" s="2"/>
    </row>
    <row r="3579" spans="1:12" x14ac:dyDescent="0.2">
      <c r="A3579" s="103"/>
      <c r="B3579" s="104"/>
      <c r="C3579" s="105"/>
      <c r="K3579" s="1"/>
      <c r="L3579" s="2"/>
    </row>
    <row r="3580" spans="1:12" x14ac:dyDescent="0.2">
      <c r="A3580" s="103"/>
      <c r="B3580" s="104"/>
      <c r="C3580" s="105"/>
      <c r="K3580" s="1"/>
      <c r="L3580" s="2"/>
    </row>
    <row r="3581" spans="1:12" x14ac:dyDescent="0.2">
      <c r="A3581" s="103"/>
      <c r="B3581" s="104"/>
      <c r="C3581" s="105"/>
      <c r="K3581" s="1"/>
      <c r="L3581" s="2"/>
    </row>
    <row r="3582" spans="1:12" x14ac:dyDescent="0.2">
      <c r="A3582" s="103"/>
      <c r="B3582" s="104"/>
      <c r="C3582" s="105"/>
      <c r="K3582" s="1"/>
      <c r="L3582" s="2"/>
    </row>
    <row r="3583" spans="1:12" x14ac:dyDescent="0.2">
      <c r="A3583" s="103"/>
      <c r="B3583" s="104"/>
      <c r="C3583" s="105"/>
      <c r="K3583" s="1"/>
      <c r="L3583" s="2"/>
    </row>
    <row r="3584" spans="1:12" x14ac:dyDescent="0.2">
      <c r="A3584" s="103"/>
      <c r="B3584" s="104"/>
      <c r="C3584" s="105"/>
      <c r="K3584" s="1"/>
      <c r="L3584" s="2"/>
    </row>
    <row r="3585" spans="1:12" x14ac:dyDescent="0.2">
      <c r="A3585" s="103"/>
      <c r="B3585" s="104"/>
      <c r="C3585" s="105"/>
      <c r="K3585" s="1"/>
      <c r="L3585" s="2"/>
    </row>
    <row r="3586" spans="1:12" x14ac:dyDescent="0.2">
      <c r="A3586" s="103"/>
      <c r="B3586" s="104"/>
      <c r="C3586" s="105"/>
      <c r="K3586" s="1"/>
      <c r="L3586" s="2"/>
    </row>
    <row r="3587" spans="1:12" x14ac:dyDescent="0.2">
      <c r="A3587" s="103"/>
      <c r="B3587" s="104"/>
      <c r="C3587" s="105"/>
      <c r="K3587" s="1"/>
      <c r="L3587" s="2"/>
    </row>
    <row r="3588" spans="1:12" x14ac:dyDescent="0.2">
      <c r="A3588" s="103"/>
      <c r="B3588" s="104"/>
      <c r="C3588" s="105"/>
      <c r="K3588" s="1"/>
      <c r="L3588" s="2"/>
    </row>
    <row r="3589" spans="1:12" x14ac:dyDescent="0.2">
      <c r="A3589" s="103"/>
      <c r="B3589" s="104"/>
      <c r="C3589" s="105"/>
      <c r="K3589" s="1"/>
      <c r="L3589" s="2"/>
    </row>
    <row r="3590" spans="1:12" x14ac:dyDescent="0.2">
      <c r="A3590" s="103"/>
      <c r="B3590" s="104"/>
      <c r="C3590" s="105"/>
      <c r="K3590" s="1"/>
      <c r="L3590" s="2"/>
    </row>
    <row r="3591" spans="1:12" x14ac:dyDescent="0.2">
      <c r="A3591" s="103"/>
      <c r="B3591" s="104"/>
      <c r="C3591" s="105"/>
      <c r="K3591" s="1"/>
      <c r="L3591" s="2"/>
    </row>
    <row r="3592" spans="1:12" x14ac:dyDescent="0.2">
      <c r="A3592" s="103"/>
      <c r="B3592" s="104"/>
      <c r="C3592" s="105"/>
      <c r="K3592" s="1"/>
      <c r="L3592" s="2"/>
    </row>
    <row r="3593" spans="1:12" x14ac:dyDescent="0.2">
      <c r="A3593" s="103"/>
      <c r="B3593" s="104"/>
      <c r="C3593" s="105"/>
      <c r="K3593" s="1"/>
      <c r="L3593" s="2"/>
    </row>
    <row r="3594" spans="1:12" x14ac:dyDescent="0.2">
      <c r="A3594" s="103"/>
      <c r="B3594" s="104"/>
      <c r="C3594" s="105"/>
      <c r="K3594" s="1"/>
      <c r="L3594" s="2"/>
    </row>
    <row r="3595" spans="1:12" x14ac:dyDescent="0.2">
      <c r="A3595" s="103"/>
      <c r="B3595" s="104"/>
      <c r="C3595" s="105"/>
      <c r="K3595" s="1"/>
      <c r="L3595" s="2"/>
    </row>
    <row r="3596" spans="1:12" x14ac:dyDescent="0.2">
      <c r="A3596" s="103"/>
      <c r="B3596" s="104"/>
      <c r="C3596" s="105"/>
      <c r="K3596" s="1"/>
      <c r="L3596" s="2"/>
    </row>
    <row r="3597" spans="1:12" x14ac:dyDescent="0.2">
      <c r="A3597" s="103"/>
      <c r="B3597" s="104"/>
      <c r="C3597" s="105"/>
      <c r="K3597" s="1"/>
      <c r="L3597" s="2"/>
    </row>
    <row r="3598" spans="1:12" x14ac:dyDescent="0.2">
      <c r="A3598" s="103"/>
      <c r="B3598" s="104"/>
      <c r="C3598" s="105"/>
      <c r="K3598" s="1"/>
      <c r="L3598" s="2"/>
    </row>
    <row r="3599" spans="1:12" x14ac:dyDescent="0.2">
      <c r="A3599" s="103"/>
      <c r="B3599" s="104"/>
      <c r="C3599" s="105"/>
      <c r="K3599" s="1"/>
      <c r="L3599" s="2"/>
    </row>
    <row r="3600" spans="1:12" x14ac:dyDescent="0.2">
      <c r="A3600" s="103"/>
      <c r="B3600" s="104"/>
      <c r="C3600" s="105"/>
      <c r="K3600" s="1"/>
      <c r="L3600" s="2"/>
    </row>
    <row r="3601" spans="1:12" x14ac:dyDescent="0.2">
      <c r="A3601" s="103"/>
      <c r="B3601" s="104"/>
      <c r="C3601" s="105"/>
      <c r="K3601" s="1"/>
      <c r="L3601" s="2"/>
    </row>
    <row r="3602" spans="1:12" x14ac:dyDescent="0.2">
      <c r="A3602" s="103"/>
      <c r="B3602" s="104"/>
      <c r="C3602" s="105"/>
      <c r="K3602" s="1"/>
      <c r="L3602" s="2"/>
    </row>
    <row r="3603" spans="1:12" x14ac:dyDescent="0.2">
      <c r="A3603" s="103"/>
      <c r="B3603" s="104"/>
      <c r="C3603" s="105"/>
      <c r="K3603" s="1"/>
      <c r="L3603" s="2"/>
    </row>
    <row r="3604" spans="1:12" x14ac:dyDescent="0.2">
      <c r="A3604" s="103"/>
      <c r="B3604" s="104"/>
      <c r="C3604" s="105"/>
      <c r="K3604" s="1"/>
      <c r="L3604" s="2"/>
    </row>
    <row r="3605" spans="1:12" x14ac:dyDescent="0.2">
      <c r="A3605" s="103"/>
      <c r="B3605" s="104"/>
      <c r="C3605" s="105"/>
      <c r="K3605" s="1"/>
      <c r="L3605" s="2"/>
    </row>
    <row r="3606" spans="1:12" x14ac:dyDescent="0.2">
      <c r="A3606" s="103"/>
      <c r="B3606" s="104"/>
      <c r="C3606" s="105"/>
      <c r="K3606" s="1"/>
      <c r="L3606" s="2"/>
    </row>
    <row r="3607" spans="1:12" x14ac:dyDescent="0.2">
      <c r="A3607" s="103"/>
      <c r="B3607" s="104"/>
      <c r="C3607" s="105"/>
      <c r="K3607" s="1"/>
      <c r="L3607" s="2"/>
    </row>
    <row r="3608" spans="1:12" x14ac:dyDescent="0.2">
      <c r="A3608" s="103"/>
      <c r="B3608" s="104"/>
      <c r="C3608" s="105"/>
      <c r="K3608" s="1"/>
      <c r="L3608" s="2"/>
    </row>
    <row r="3609" spans="1:12" x14ac:dyDescent="0.2">
      <c r="A3609" s="103"/>
      <c r="B3609" s="104"/>
      <c r="C3609" s="105"/>
      <c r="K3609" s="1"/>
      <c r="L3609" s="2"/>
    </row>
    <row r="3610" spans="1:12" x14ac:dyDescent="0.2">
      <c r="A3610" s="103"/>
      <c r="B3610" s="104"/>
      <c r="C3610" s="105"/>
      <c r="K3610" s="1"/>
      <c r="L3610" s="2"/>
    </row>
    <row r="3611" spans="1:12" x14ac:dyDescent="0.2">
      <c r="A3611" s="103"/>
      <c r="B3611" s="104"/>
      <c r="C3611" s="105"/>
      <c r="K3611" s="1"/>
      <c r="L3611" s="2"/>
    </row>
    <row r="3612" spans="1:12" x14ac:dyDescent="0.2">
      <c r="A3612" s="103"/>
      <c r="B3612" s="104"/>
      <c r="C3612" s="105"/>
      <c r="K3612" s="1"/>
      <c r="L3612" s="2"/>
    </row>
    <row r="3613" spans="1:12" x14ac:dyDescent="0.2">
      <c r="A3613" s="103"/>
      <c r="B3613" s="104"/>
      <c r="C3613" s="105"/>
      <c r="K3613" s="1"/>
      <c r="L3613" s="2"/>
    </row>
    <row r="3614" spans="1:12" x14ac:dyDescent="0.2">
      <c r="A3614" s="103"/>
      <c r="B3614" s="104"/>
      <c r="C3614" s="105"/>
      <c r="K3614" s="1"/>
      <c r="L3614" s="2"/>
    </row>
    <row r="3615" spans="1:12" x14ac:dyDescent="0.2">
      <c r="A3615" s="103"/>
      <c r="B3615" s="104"/>
      <c r="C3615" s="105"/>
      <c r="K3615" s="1"/>
      <c r="L3615" s="2"/>
    </row>
    <row r="3616" spans="1:12" x14ac:dyDescent="0.2">
      <c r="A3616" s="103"/>
      <c r="B3616" s="104"/>
      <c r="C3616" s="105"/>
      <c r="K3616" s="1"/>
      <c r="L3616" s="2"/>
    </row>
    <row r="3617" spans="1:12" x14ac:dyDescent="0.2">
      <c r="A3617" s="103"/>
      <c r="B3617" s="104"/>
      <c r="C3617" s="105"/>
      <c r="K3617" s="1"/>
      <c r="L3617" s="2"/>
    </row>
    <row r="3618" spans="1:12" x14ac:dyDescent="0.2">
      <c r="A3618" s="103"/>
      <c r="B3618" s="104"/>
      <c r="C3618" s="105"/>
      <c r="K3618" s="1"/>
      <c r="L3618" s="2"/>
    </row>
    <row r="3619" spans="1:12" x14ac:dyDescent="0.2">
      <c r="A3619" s="103"/>
      <c r="B3619" s="104"/>
      <c r="C3619" s="105"/>
      <c r="K3619" s="1"/>
      <c r="L3619" s="2"/>
    </row>
    <row r="3620" spans="1:12" x14ac:dyDescent="0.2">
      <c r="A3620" s="103"/>
      <c r="B3620" s="104"/>
      <c r="C3620" s="105"/>
      <c r="K3620" s="1"/>
      <c r="L3620" s="2"/>
    </row>
    <row r="3621" spans="1:12" x14ac:dyDescent="0.2">
      <c r="A3621" s="103"/>
      <c r="B3621" s="104"/>
      <c r="C3621" s="105"/>
      <c r="K3621" s="1"/>
      <c r="L3621" s="2"/>
    </row>
    <row r="3622" spans="1:12" x14ac:dyDescent="0.2">
      <c r="A3622" s="103"/>
      <c r="B3622" s="104"/>
      <c r="C3622" s="105"/>
      <c r="K3622" s="1"/>
      <c r="L3622" s="2"/>
    </row>
    <row r="3623" spans="1:12" x14ac:dyDescent="0.2">
      <c r="A3623" s="103"/>
      <c r="B3623" s="104"/>
      <c r="C3623" s="105"/>
      <c r="K3623" s="1"/>
      <c r="L3623" s="2"/>
    </row>
    <row r="3624" spans="1:12" x14ac:dyDescent="0.2">
      <c r="A3624" s="103"/>
      <c r="B3624" s="104"/>
      <c r="C3624" s="105"/>
      <c r="K3624" s="1"/>
      <c r="L3624" s="2"/>
    </row>
    <row r="3625" spans="1:12" x14ac:dyDescent="0.2">
      <c r="A3625" s="103"/>
      <c r="B3625" s="104"/>
      <c r="C3625" s="105"/>
      <c r="K3625" s="1"/>
      <c r="L3625" s="2"/>
    </row>
    <row r="3626" spans="1:12" x14ac:dyDescent="0.2">
      <c r="A3626" s="103"/>
      <c r="B3626" s="104"/>
      <c r="C3626" s="105"/>
      <c r="K3626" s="1"/>
      <c r="L3626" s="2"/>
    </row>
    <row r="3627" spans="1:12" x14ac:dyDescent="0.2">
      <c r="A3627" s="103"/>
      <c r="B3627" s="104"/>
      <c r="C3627" s="105"/>
      <c r="K3627" s="1"/>
      <c r="L3627" s="2"/>
    </row>
    <row r="3628" spans="1:12" x14ac:dyDescent="0.2">
      <c r="A3628" s="103"/>
      <c r="B3628" s="104"/>
      <c r="C3628" s="105"/>
      <c r="K3628" s="1"/>
      <c r="L3628" s="2"/>
    </row>
    <row r="3629" spans="1:12" x14ac:dyDescent="0.2">
      <c r="A3629" s="103"/>
      <c r="B3629" s="104"/>
      <c r="C3629" s="105"/>
      <c r="K3629" s="1"/>
      <c r="L3629" s="2"/>
    </row>
    <row r="3630" spans="1:12" x14ac:dyDescent="0.2">
      <c r="A3630" s="103"/>
      <c r="B3630" s="104"/>
      <c r="C3630" s="105"/>
      <c r="K3630" s="1"/>
      <c r="L3630" s="2"/>
    </row>
    <row r="3631" spans="1:12" x14ac:dyDescent="0.2">
      <c r="A3631" s="103"/>
      <c r="B3631" s="104"/>
      <c r="C3631" s="105"/>
      <c r="K3631" s="1"/>
      <c r="L3631" s="2"/>
    </row>
    <row r="3632" spans="1:12" x14ac:dyDescent="0.2">
      <c r="A3632" s="103"/>
      <c r="B3632" s="104"/>
      <c r="C3632" s="105"/>
      <c r="K3632" s="1"/>
      <c r="L3632" s="2"/>
    </row>
    <row r="3633" spans="1:12" x14ac:dyDescent="0.2">
      <c r="A3633" s="103"/>
      <c r="B3633" s="104"/>
      <c r="C3633" s="105"/>
      <c r="K3633" s="1"/>
      <c r="L3633" s="2"/>
    </row>
    <row r="3634" spans="1:12" x14ac:dyDescent="0.2">
      <c r="A3634" s="103"/>
      <c r="B3634" s="104"/>
      <c r="C3634" s="105"/>
      <c r="K3634" s="1"/>
      <c r="L3634" s="2"/>
    </row>
    <row r="3635" spans="1:12" x14ac:dyDescent="0.2">
      <c r="A3635" s="103"/>
      <c r="B3635" s="104"/>
      <c r="C3635" s="105"/>
      <c r="K3635" s="1"/>
      <c r="L3635" s="2"/>
    </row>
    <row r="3636" spans="1:12" x14ac:dyDescent="0.2">
      <c r="A3636" s="103"/>
      <c r="B3636" s="104"/>
      <c r="C3636" s="105"/>
      <c r="K3636" s="1"/>
      <c r="L3636" s="2"/>
    </row>
    <row r="3637" spans="1:12" x14ac:dyDescent="0.2">
      <c r="A3637" s="103"/>
      <c r="B3637" s="104"/>
      <c r="C3637" s="105"/>
      <c r="K3637" s="1"/>
      <c r="L3637" s="2"/>
    </row>
    <row r="3638" spans="1:12" x14ac:dyDescent="0.2">
      <c r="A3638" s="103"/>
      <c r="B3638" s="104"/>
      <c r="C3638" s="105"/>
      <c r="K3638" s="1"/>
      <c r="L3638" s="2"/>
    </row>
    <row r="3639" spans="1:12" x14ac:dyDescent="0.2">
      <c r="A3639" s="103"/>
      <c r="B3639" s="104"/>
      <c r="C3639" s="105"/>
      <c r="K3639" s="1"/>
      <c r="L3639" s="2"/>
    </row>
    <row r="3640" spans="1:12" x14ac:dyDescent="0.2">
      <c r="A3640" s="103"/>
      <c r="B3640" s="104"/>
      <c r="C3640" s="105"/>
      <c r="K3640" s="1"/>
      <c r="L3640" s="2"/>
    </row>
    <row r="3641" spans="1:12" x14ac:dyDescent="0.2">
      <c r="A3641" s="103"/>
      <c r="B3641" s="104"/>
      <c r="C3641" s="105"/>
      <c r="K3641" s="1"/>
      <c r="L3641" s="2"/>
    </row>
    <row r="3642" spans="1:12" x14ac:dyDescent="0.2">
      <c r="A3642" s="103"/>
      <c r="B3642" s="104"/>
      <c r="C3642" s="105"/>
      <c r="K3642" s="1"/>
      <c r="L3642" s="2"/>
    </row>
    <row r="3643" spans="1:12" x14ac:dyDescent="0.2">
      <c r="A3643" s="103"/>
      <c r="B3643" s="104"/>
      <c r="C3643" s="105"/>
      <c r="K3643" s="1"/>
      <c r="L3643" s="2"/>
    </row>
    <row r="3644" spans="1:12" x14ac:dyDescent="0.2">
      <c r="A3644" s="103"/>
      <c r="B3644" s="104"/>
      <c r="C3644" s="105"/>
      <c r="K3644" s="1"/>
      <c r="L3644" s="2"/>
    </row>
    <row r="3645" spans="1:12" x14ac:dyDescent="0.2">
      <c r="A3645" s="103"/>
      <c r="B3645" s="104"/>
      <c r="C3645" s="105"/>
      <c r="K3645" s="1"/>
      <c r="L3645" s="2"/>
    </row>
    <row r="3646" spans="1:12" x14ac:dyDescent="0.2">
      <c r="A3646" s="103"/>
      <c r="B3646" s="104"/>
      <c r="C3646" s="105"/>
      <c r="K3646" s="1"/>
      <c r="L3646" s="2"/>
    </row>
    <row r="3647" spans="1:12" x14ac:dyDescent="0.2">
      <c r="A3647" s="103"/>
      <c r="B3647" s="104"/>
      <c r="C3647" s="105"/>
      <c r="K3647" s="1"/>
      <c r="L3647" s="2"/>
    </row>
    <row r="3648" spans="1:12" x14ac:dyDescent="0.2">
      <c r="A3648" s="103"/>
      <c r="B3648" s="104"/>
      <c r="C3648" s="105"/>
      <c r="K3648" s="1"/>
      <c r="L3648" s="2"/>
    </row>
    <row r="3649" spans="1:12" x14ac:dyDescent="0.2">
      <c r="A3649" s="103"/>
      <c r="B3649" s="104"/>
      <c r="C3649" s="105"/>
      <c r="K3649" s="1"/>
      <c r="L3649" s="2"/>
    </row>
    <row r="3650" spans="1:12" x14ac:dyDescent="0.2">
      <c r="A3650" s="103"/>
      <c r="B3650" s="104"/>
      <c r="C3650" s="105"/>
      <c r="K3650" s="1"/>
      <c r="L3650" s="2"/>
    </row>
    <row r="3651" spans="1:12" x14ac:dyDescent="0.2">
      <c r="A3651" s="103"/>
      <c r="B3651" s="104"/>
      <c r="C3651" s="105"/>
      <c r="K3651" s="1"/>
      <c r="L3651" s="2"/>
    </row>
    <row r="3652" spans="1:12" x14ac:dyDescent="0.2">
      <c r="A3652" s="103"/>
      <c r="B3652" s="104"/>
      <c r="C3652" s="105"/>
      <c r="K3652" s="1"/>
      <c r="L3652" s="2"/>
    </row>
    <row r="3653" spans="1:12" x14ac:dyDescent="0.2">
      <c r="A3653" s="103"/>
      <c r="B3653" s="104"/>
      <c r="C3653" s="105"/>
      <c r="K3653" s="1"/>
      <c r="L3653" s="2"/>
    </row>
    <row r="3654" spans="1:12" x14ac:dyDescent="0.2">
      <c r="A3654" s="103"/>
      <c r="B3654" s="104"/>
      <c r="C3654" s="105"/>
      <c r="K3654" s="1"/>
      <c r="L3654" s="2"/>
    </row>
    <row r="3655" spans="1:12" x14ac:dyDescent="0.2">
      <c r="A3655" s="103"/>
      <c r="B3655" s="104"/>
      <c r="C3655" s="105"/>
      <c r="K3655" s="1"/>
      <c r="L3655" s="2"/>
    </row>
    <row r="3656" spans="1:12" x14ac:dyDescent="0.2">
      <c r="A3656" s="103"/>
      <c r="B3656" s="104"/>
      <c r="C3656" s="105"/>
      <c r="K3656" s="1"/>
      <c r="L3656" s="2"/>
    </row>
    <row r="3657" spans="1:12" x14ac:dyDescent="0.2">
      <c r="A3657" s="103"/>
      <c r="B3657" s="104"/>
      <c r="C3657" s="105"/>
      <c r="K3657" s="1"/>
      <c r="L3657" s="2"/>
    </row>
    <row r="3658" spans="1:12" x14ac:dyDescent="0.2">
      <c r="A3658" s="103"/>
      <c r="B3658" s="104"/>
      <c r="C3658" s="105"/>
      <c r="K3658" s="1"/>
      <c r="L3658" s="2"/>
    </row>
    <row r="3659" spans="1:12" x14ac:dyDescent="0.2">
      <c r="A3659" s="103"/>
      <c r="B3659" s="104"/>
      <c r="C3659" s="105"/>
      <c r="K3659" s="1"/>
      <c r="L3659" s="2"/>
    </row>
    <row r="3660" spans="1:12" x14ac:dyDescent="0.2">
      <c r="A3660" s="103"/>
      <c r="B3660" s="104"/>
      <c r="C3660" s="105"/>
      <c r="K3660" s="1"/>
      <c r="L3660" s="2"/>
    </row>
    <row r="3661" spans="1:12" x14ac:dyDescent="0.2">
      <c r="A3661" s="103"/>
      <c r="B3661" s="104"/>
      <c r="C3661" s="105"/>
      <c r="K3661" s="1"/>
      <c r="L3661" s="2"/>
    </row>
    <row r="3662" spans="1:12" x14ac:dyDescent="0.2">
      <c r="A3662" s="103"/>
      <c r="B3662" s="104"/>
      <c r="C3662" s="105"/>
      <c r="K3662" s="1"/>
      <c r="L3662" s="2"/>
    </row>
    <row r="3663" spans="1:12" x14ac:dyDescent="0.2">
      <c r="A3663" s="103"/>
      <c r="B3663" s="104"/>
      <c r="C3663" s="105"/>
      <c r="K3663" s="1"/>
      <c r="L3663" s="2"/>
    </row>
    <row r="3664" spans="1:12" x14ac:dyDescent="0.2">
      <c r="A3664" s="103"/>
      <c r="B3664" s="104"/>
      <c r="C3664" s="105"/>
      <c r="K3664" s="1"/>
      <c r="L3664" s="2"/>
    </row>
    <row r="3665" spans="1:12" x14ac:dyDescent="0.2">
      <c r="A3665" s="103"/>
      <c r="B3665" s="104"/>
      <c r="C3665" s="105"/>
      <c r="K3665" s="1"/>
      <c r="L3665" s="2"/>
    </row>
    <row r="3666" spans="1:12" x14ac:dyDescent="0.2">
      <c r="A3666" s="103"/>
      <c r="B3666" s="104"/>
      <c r="C3666" s="105"/>
      <c r="K3666" s="1"/>
      <c r="L3666" s="2"/>
    </row>
    <row r="3667" spans="1:12" x14ac:dyDescent="0.2">
      <c r="A3667" s="103"/>
      <c r="B3667" s="104"/>
      <c r="C3667" s="105"/>
      <c r="K3667" s="1"/>
      <c r="L3667" s="2"/>
    </row>
    <row r="3668" spans="1:12" x14ac:dyDescent="0.2">
      <c r="A3668" s="103"/>
      <c r="B3668" s="104"/>
      <c r="C3668" s="105"/>
      <c r="K3668" s="1"/>
      <c r="L3668" s="2"/>
    </row>
    <row r="3669" spans="1:12" x14ac:dyDescent="0.2">
      <c r="A3669" s="103"/>
      <c r="B3669" s="104"/>
      <c r="C3669" s="105"/>
      <c r="K3669" s="1"/>
      <c r="L3669" s="2"/>
    </row>
    <row r="3670" spans="1:12" x14ac:dyDescent="0.2">
      <c r="A3670" s="103"/>
      <c r="B3670" s="104"/>
      <c r="C3670" s="105"/>
      <c r="K3670" s="1"/>
      <c r="L3670" s="2"/>
    </row>
    <row r="3671" spans="1:12" x14ac:dyDescent="0.2">
      <c r="A3671" s="103"/>
      <c r="B3671" s="104"/>
      <c r="C3671" s="105"/>
      <c r="K3671" s="1"/>
      <c r="L3671" s="2"/>
    </row>
    <row r="3672" spans="1:12" x14ac:dyDescent="0.2">
      <c r="A3672" s="103"/>
      <c r="B3672" s="104"/>
      <c r="C3672" s="105"/>
      <c r="K3672" s="1"/>
      <c r="L3672" s="2"/>
    </row>
    <row r="3673" spans="1:12" x14ac:dyDescent="0.2">
      <c r="A3673" s="103"/>
      <c r="B3673" s="104"/>
      <c r="C3673" s="105"/>
      <c r="K3673" s="1"/>
      <c r="L3673" s="2"/>
    </row>
    <row r="3674" spans="1:12" x14ac:dyDescent="0.2">
      <c r="A3674" s="103"/>
      <c r="B3674" s="104"/>
      <c r="C3674" s="105"/>
      <c r="K3674" s="1"/>
      <c r="L3674" s="2"/>
    </row>
    <row r="3675" spans="1:12" x14ac:dyDescent="0.2">
      <c r="A3675" s="103"/>
      <c r="B3675" s="104"/>
      <c r="C3675" s="105"/>
      <c r="K3675" s="1"/>
      <c r="L3675" s="2"/>
    </row>
    <row r="3676" spans="1:12" x14ac:dyDescent="0.2">
      <c r="A3676" s="103"/>
      <c r="B3676" s="104"/>
      <c r="C3676" s="105"/>
      <c r="K3676" s="1"/>
      <c r="L3676" s="2"/>
    </row>
    <row r="3677" spans="1:12" x14ac:dyDescent="0.2">
      <c r="A3677" s="103"/>
      <c r="B3677" s="104"/>
      <c r="C3677" s="105"/>
      <c r="K3677" s="1"/>
      <c r="L3677" s="2"/>
    </row>
    <row r="3678" spans="1:12" x14ac:dyDescent="0.2">
      <c r="A3678" s="103"/>
      <c r="B3678" s="104"/>
      <c r="C3678" s="105"/>
      <c r="K3678" s="1"/>
      <c r="L3678" s="2"/>
    </row>
    <row r="3679" spans="1:12" x14ac:dyDescent="0.2">
      <c r="A3679" s="103"/>
      <c r="B3679" s="104"/>
      <c r="C3679" s="105"/>
      <c r="K3679" s="1"/>
      <c r="L3679" s="2"/>
    </row>
    <row r="3680" spans="1:12" x14ac:dyDescent="0.2">
      <c r="A3680" s="103"/>
      <c r="B3680" s="104"/>
      <c r="C3680" s="105"/>
      <c r="K3680" s="1"/>
      <c r="L3680" s="2"/>
    </row>
    <row r="3681" spans="1:12" x14ac:dyDescent="0.2">
      <c r="A3681" s="103"/>
      <c r="B3681" s="104"/>
      <c r="C3681" s="105"/>
      <c r="K3681" s="1"/>
      <c r="L3681" s="2"/>
    </row>
    <row r="3682" spans="1:12" x14ac:dyDescent="0.2">
      <c r="A3682" s="103"/>
      <c r="B3682" s="104"/>
      <c r="C3682" s="105"/>
      <c r="K3682" s="1"/>
      <c r="L3682" s="2"/>
    </row>
    <row r="3683" spans="1:12" x14ac:dyDescent="0.2">
      <c r="A3683" s="103"/>
      <c r="B3683" s="104"/>
      <c r="C3683" s="105"/>
      <c r="K3683" s="1"/>
      <c r="L3683" s="2"/>
    </row>
    <row r="3684" spans="1:12" x14ac:dyDescent="0.2">
      <c r="A3684" s="103"/>
      <c r="B3684" s="104"/>
      <c r="C3684" s="105"/>
      <c r="K3684" s="1"/>
      <c r="L3684" s="2"/>
    </row>
    <row r="3685" spans="1:12" x14ac:dyDescent="0.2">
      <c r="A3685" s="103"/>
      <c r="B3685" s="104"/>
      <c r="C3685" s="105"/>
      <c r="K3685" s="1"/>
      <c r="L3685" s="2"/>
    </row>
    <row r="3686" spans="1:12" x14ac:dyDescent="0.2">
      <c r="A3686" s="103"/>
      <c r="B3686" s="104"/>
      <c r="C3686" s="105"/>
      <c r="K3686" s="1"/>
      <c r="L3686" s="2"/>
    </row>
    <row r="3687" spans="1:12" x14ac:dyDescent="0.2">
      <c r="A3687" s="103"/>
      <c r="B3687" s="104"/>
      <c r="C3687" s="105"/>
      <c r="K3687" s="1"/>
      <c r="L3687" s="2"/>
    </row>
    <row r="3688" spans="1:12" x14ac:dyDescent="0.2">
      <c r="A3688" s="103"/>
      <c r="B3688" s="104"/>
      <c r="C3688" s="105"/>
      <c r="K3688" s="1"/>
      <c r="L3688" s="2"/>
    </row>
    <row r="3689" spans="1:12" x14ac:dyDescent="0.2">
      <c r="A3689" s="103"/>
      <c r="B3689" s="104"/>
      <c r="C3689" s="105"/>
      <c r="K3689" s="1"/>
      <c r="L3689" s="2"/>
    </row>
    <row r="3690" spans="1:12" x14ac:dyDescent="0.2">
      <c r="A3690" s="103"/>
      <c r="B3690" s="104"/>
      <c r="C3690" s="105"/>
      <c r="K3690" s="1"/>
      <c r="L3690" s="2"/>
    </row>
    <row r="3691" spans="1:12" x14ac:dyDescent="0.2">
      <c r="A3691" s="103"/>
      <c r="B3691" s="104"/>
      <c r="C3691" s="105"/>
      <c r="K3691" s="1"/>
      <c r="L3691" s="2"/>
    </row>
    <row r="3692" spans="1:12" x14ac:dyDescent="0.2">
      <c r="A3692" s="103"/>
      <c r="B3692" s="104"/>
      <c r="C3692" s="105"/>
      <c r="K3692" s="1"/>
      <c r="L3692" s="2"/>
    </row>
    <row r="3693" spans="1:12" x14ac:dyDescent="0.2">
      <c r="A3693" s="103"/>
      <c r="B3693" s="104"/>
      <c r="C3693" s="105"/>
      <c r="K3693" s="1"/>
      <c r="L3693" s="2"/>
    </row>
    <row r="3694" spans="1:12" x14ac:dyDescent="0.2">
      <c r="A3694" s="103"/>
      <c r="B3694" s="104"/>
      <c r="C3694" s="105"/>
      <c r="K3694" s="1"/>
      <c r="L3694" s="2"/>
    </row>
    <row r="3695" spans="1:12" x14ac:dyDescent="0.2">
      <c r="A3695" s="103"/>
      <c r="B3695" s="104"/>
      <c r="C3695" s="105"/>
      <c r="K3695" s="1"/>
      <c r="L3695" s="2"/>
    </row>
    <row r="3696" spans="1:12" x14ac:dyDescent="0.2">
      <c r="A3696" s="103"/>
      <c r="B3696" s="104"/>
      <c r="C3696" s="105"/>
      <c r="K3696" s="1"/>
      <c r="L3696" s="2"/>
    </row>
    <row r="3697" spans="1:12" x14ac:dyDescent="0.2">
      <c r="A3697" s="103"/>
      <c r="B3697" s="104"/>
      <c r="C3697" s="105"/>
      <c r="K3697" s="1"/>
      <c r="L3697" s="2"/>
    </row>
    <row r="3698" spans="1:12" x14ac:dyDescent="0.2">
      <c r="A3698" s="103"/>
      <c r="B3698" s="104"/>
      <c r="C3698" s="105"/>
      <c r="K3698" s="1"/>
      <c r="L3698" s="2"/>
    </row>
    <row r="3699" spans="1:12" x14ac:dyDescent="0.2">
      <c r="A3699" s="103"/>
      <c r="B3699" s="104"/>
      <c r="C3699" s="105"/>
      <c r="K3699" s="1"/>
      <c r="L3699" s="2"/>
    </row>
    <row r="3700" spans="1:12" x14ac:dyDescent="0.2">
      <c r="A3700" s="103"/>
      <c r="B3700" s="104"/>
      <c r="C3700" s="105"/>
      <c r="K3700" s="1"/>
      <c r="L3700" s="2"/>
    </row>
    <row r="3701" spans="1:12" x14ac:dyDescent="0.2">
      <c r="A3701" s="103"/>
      <c r="B3701" s="104"/>
      <c r="C3701" s="105"/>
      <c r="K3701" s="1"/>
      <c r="L3701" s="2"/>
    </row>
    <row r="3702" spans="1:12" x14ac:dyDescent="0.2">
      <c r="A3702" s="103"/>
      <c r="B3702" s="104"/>
      <c r="C3702" s="105"/>
      <c r="K3702" s="1"/>
      <c r="L3702" s="2"/>
    </row>
    <row r="3703" spans="1:12" x14ac:dyDescent="0.2">
      <c r="A3703" s="103"/>
      <c r="B3703" s="104"/>
      <c r="C3703" s="105"/>
      <c r="K3703" s="1"/>
      <c r="L3703" s="2"/>
    </row>
    <row r="3704" spans="1:12" x14ac:dyDescent="0.2">
      <c r="A3704" s="103"/>
      <c r="B3704" s="104"/>
      <c r="C3704" s="105"/>
      <c r="K3704" s="1"/>
      <c r="L3704" s="2"/>
    </row>
    <row r="3705" spans="1:12" x14ac:dyDescent="0.2">
      <c r="A3705" s="103"/>
      <c r="B3705" s="104"/>
      <c r="C3705" s="105"/>
      <c r="K3705" s="1"/>
      <c r="L3705" s="2"/>
    </row>
    <row r="3706" spans="1:12" x14ac:dyDescent="0.2">
      <c r="A3706" s="103"/>
      <c r="B3706" s="104"/>
      <c r="C3706" s="105"/>
      <c r="K3706" s="1"/>
      <c r="L3706" s="2"/>
    </row>
    <row r="3707" spans="1:12" x14ac:dyDescent="0.2">
      <c r="A3707" s="103"/>
      <c r="B3707" s="104"/>
      <c r="C3707" s="105"/>
      <c r="K3707" s="1"/>
      <c r="L3707" s="2"/>
    </row>
    <row r="3708" spans="1:12" x14ac:dyDescent="0.2">
      <c r="A3708" s="103"/>
      <c r="B3708" s="104"/>
      <c r="C3708" s="105"/>
      <c r="K3708" s="1"/>
      <c r="L3708" s="2"/>
    </row>
    <row r="3709" spans="1:12" x14ac:dyDescent="0.2">
      <c r="A3709" s="103"/>
      <c r="B3709" s="104"/>
      <c r="C3709" s="105"/>
      <c r="K3709" s="1"/>
      <c r="L3709" s="2"/>
    </row>
    <row r="3710" spans="1:12" x14ac:dyDescent="0.2">
      <c r="A3710" s="103"/>
      <c r="B3710" s="104"/>
      <c r="C3710" s="105"/>
      <c r="K3710" s="1"/>
      <c r="L3710" s="2"/>
    </row>
    <row r="3711" spans="1:12" x14ac:dyDescent="0.2">
      <c r="A3711" s="103"/>
      <c r="B3711" s="104"/>
      <c r="C3711" s="105"/>
      <c r="K3711" s="1"/>
      <c r="L3711" s="2"/>
    </row>
    <row r="3712" spans="1:12" x14ac:dyDescent="0.2">
      <c r="A3712" s="103"/>
      <c r="B3712" s="104"/>
      <c r="C3712" s="105"/>
      <c r="K3712" s="1"/>
      <c r="L3712" s="2"/>
    </row>
    <row r="3713" spans="1:12" x14ac:dyDescent="0.2">
      <c r="A3713" s="103"/>
      <c r="B3713" s="104"/>
      <c r="C3713" s="105"/>
      <c r="K3713" s="1"/>
      <c r="L3713" s="2"/>
    </row>
    <row r="3714" spans="1:12" x14ac:dyDescent="0.2">
      <c r="A3714" s="103"/>
      <c r="B3714" s="104"/>
      <c r="C3714" s="105"/>
      <c r="K3714" s="1"/>
      <c r="L3714" s="2"/>
    </row>
    <row r="3715" spans="1:12" x14ac:dyDescent="0.2">
      <c r="A3715" s="103"/>
      <c r="B3715" s="104"/>
      <c r="C3715" s="105"/>
      <c r="K3715" s="1"/>
      <c r="L3715" s="2"/>
    </row>
    <row r="3716" spans="1:12" x14ac:dyDescent="0.2">
      <c r="A3716" s="103"/>
      <c r="B3716" s="104"/>
      <c r="C3716" s="105"/>
      <c r="K3716" s="1"/>
      <c r="L3716" s="2"/>
    </row>
    <row r="3717" spans="1:12" x14ac:dyDescent="0.2">
      <c r="A3717" s="103"/>
      <c r="B3717" s="104"/>
      <c r="C3717" s="105"/>
      <c r="K3717" s="1"/>
      <c r="L3717" s="2"/>
    </row>
    <row r="3718" spans="1:12" x14ac:dyDescent="0.2">
      <c r="A3718" s="103"/>
      <c r="B3718" s="104"/>
      <c r="C3718" s="105"/>
      <c r="K3718" s="1"/>
      <c r="L3718" s="2"/>
    </row>
    <row r="3719" spans="1:12" x14ac:dyDescent="0.2">
      <c r="A3719" s="103"/>
      <c r="B3719" s="104"/>
      <c r="C3719" s="105"/>
      <c r="K3719" s="1"/>
      <c r="L3719" s="2"/>
    </row>
    <row r="3720" spans="1:12" x14ac:dyDescent="0.2">
      <c r="A3720" s="103"/>
      <c r="B3720" s="104"/>
      <c r="C3720" s="105"/>
      <c r="K3720" s="1"/>
      <c r="L3720" s="2"/>
    </row>
    <row r="3721" spans="1:12" x14ac:dyDescent="0.2">
      <c r="A3721" s="103"/>
      <c r="B3721" s="104"/>
      <c r="C3721" s="105"/>
      <c r="K3721" s="1"/>
      <c r="L3721" s="2"/>
    </row>
    <row r="3722" spans="1:12" x14ac:dyDescent="0.2">
      <c r="A3722" s="103"/>
      <c r="B3722" s="104"/>
      <c r="C3722" s="105"/>
      <c r="K3722" s="1"/>
      <c r="L3722" s="2"/>
    </row>
    <row r="3723" spans="1:12" x14ac:dyDescent="0.2">
      <c r="A3723" s="103"/>
      <c r="B3723" s="104"/>
      <c r="C3723" s="105"/>
      <c r="K3723" s="1"/>
      <c r="L3723" s="2"/>
    </row>
    <row r="3724" spans="1:12" x14ac:dyDescent="0.2">
      <c r="A3724" s="103"/>
      <c r="B3724" s="104"/>
      <c r="C3724" s="105"/>
      <c r="K3724" s="1"/>
      <c r="L3724" s="2"/>
    </row>
    <row r="3725" spans="1:12" x14ac:dyDescent="0.2">
      <c r="A3725" s="103"/>
      <c r="B3725" s="104"/>
      <c r="C3725" s="105"/>
      <c r="K3725" s="1"/>
      <c r="L3725" s="2"/>
    </row>
    <row r="3726" spans="1:12" x14ac:dyDescent="0.2">
      <c r="A3726" s="103"/>
      <c r="B3726" s="104"/>
      <c r="C3726" s="105"/>
      <c r="K3726" s="1"/>
      <c r="L3726" s="2"/>
    </row>
    <row r="3727" spans="1:12" x14ac:dyDescent="0.2">
      <c r="A3727" s="103"/>
      <c r="B3727" s="104"/>
      <c r="C3727" s="105"/>
      <c r="K3727" s="1"/>
      <c r="L3727" s="2"/>
    </row>
    <row r="3728" spans="1:12" x14ac:dyDescent="0.2">
      <c r="A3728" s="103"/>
      <c r="B3728" s="104"/>
      <c r="C3728" s="105"/>
      <c r="K3728" s="1"/>
      <c r="L3728" s="2"/>
    </row>
    <row r="3729" spans="1:12" x14ac:dyDescent="0.2">
      <c r="A3729" s="103"/>
      <c r="B3729" s="104"/>
      <c r="C3729" s="105"/>
      <c r="K3729" s="1"/>
      <c r="L3729" s="2"/>
    </row>
    <row r="3730" spans="1:12" x14ac:dyDescent="0.2">
      <c r="A3730" s="103"/>
      <c r="B3730" s="104"/>
      <c r="C3730" s="105"/>
      <c r="K3730" s="1"/>
      <c r="L3730" s="2"/>
    </row>
    <row r="3731" spans="1:12" x14ac:dyDescent="0.2">
      <c r="A3731" s="103"/>
      <c r="B3731" s="104"/>
      <c r="C3731" s="105"/>
      <c r="K3731" s="1"/>
      <c r="L3731" s="2"/>
    </row>
    <row r="3732" spans="1:12" x14ac:dyDescent="0.2">
      <c r="A3732" s="103"/>
      <c r="B3732" s="104"/>
      <c r="C3732" s="105"/>
      <c r="K3732" s="1"/>
      <c r="L3732" s="2"/>
    </row>
    <row r="3733" spans="1:12" x14ac:dyDescent="0.2">
      <c r="A3733" s="103"/>
      <c r="B3733" s="104"/>
      <c r="C3733" s="105"/>
      <c r="K3733" s="1"/>
      <c r="L3733" s="2"/>
    </row>
    <row r="3734" spans="1:12" x14ac:dyDescent="0.2">
      <c r="A3734" s="103"/>
      <c r="B3734" s="104"/>
      <c r="C3734" s="105"/>
      <c r="K3734" s="1"/>
      <c r="L3734" s="2"/>
    </row>
    <row r="3735" spans="1:12" x14ac:dyDescent="0.2">
      <c r="A3735" s="103"/>
      <c r="B3735" s="104"/>
      <c r="C3735" s="105"/>
      <c r="K3735" s="1"/>
      <c r="L3735" s="2"/>
    </row>
    <row r="3736" spans="1:12" x14ac:dyDescent="0.2">
      <c r="A3736" s="103"/>
      <c r="B3736" s="104"/>
      <c r="C3736" s="105"/>
      <c r="K3736" s="1"/>
      <c r="L3736" s="2"/>
    </row>
    <row r="3737" spans="1:12" x14ac:dyDescent="0.2">
      <c r="A3737" s="103"/>
      <c r="B3737" s="104"/>
      <c r="C3737" s="105"/>
      <c r="K3737" s="1"/>
      <c r="L3737" s="2"/>
    </row>
    <row r="3738" spans="1:12" x14ac:dyDescent="0.2">
      <c r="A3738" s="103"/>
      <c r="B3738" s="104"/>
      <c r="C3738" s="105"/>
      <c r="K3738" s="1"/>
      <c r="L3738" s="2"/>
    </row>
    <row r="3739" spans="1:12" x14ac:dyDescent="0.2">
      <c r="A3739" s="103"/>
      <c r="B3739" s="104"/>
      <c r="C3739" s="105"/>
      <c r="K3739" s="1"/>
      <c r="L3739" s="2"/>
    </row>
    <row r="3740" spans="1:12" x14ac:dyDescent="0.2">
      <c r="A3740" s="103"/>
      <c r="B3740" s="104"/>
      <c r="C3740" s="105"/>
      <c r="K3740" s="1"/>
      <c r="L3740" s="2"/>
    </row>
    <row r="3741" spans="1:12" x14ac:dyDescent="0.2">
      <c r="A3741" s="103"/>
      <c r="B3741" s="104"/>
      <c r="C3741" s="105"/>
      <c r="K3741" s="1"/>
      <c r="L3741" s="2"/>
    </row>
    <row r="3742" spans="1:12" x14ac:dyDescent="0.2">
      <c r="A3742" s="103"/>
      <c r="B3742" s="104"/>
      <c r="C3742" s="105"/>
      <c r="K3742" s="1"/>
      <c r="L3742" s="2"/>
    </row>
    <row r="3743" spans="1:12" x14ac:dyDescent="0.2">
      <c r="A3743" s="103"/>
      <c r="B3743" s="104"/>
      <c r="C3743" s="105"/>
      <c r="K3743" s="1"/>
      <c r="L3743" s="2"/>
    </row>
    <row r="3744" spans="1:12" x14ac:dyDescent="0.2">
      <c r="A3744" s="103"/>
      <c r="B3744" s="104"/>
      <c r="C3744" s="105"/>
      <c r="K3744" s="1"/>
      <c r="L3744" s="2"/>
    </row>
    <row r="3745" spans="1:12" x14ac:dyDescent="0.2">
      <c r="A3745" s="103"/>
      <c r="B3745" s="104"/>
      <c r="C3745" s="105"/>
      <c r="K3745" s="1"/>
      <c r="L3745" s="2"/>
    </row>
    <row r="3746" spans="1:12" x14ac:dyDescent="0.2">
      <c r="A3746" s="103"/>
      <c r="B3746" s="104"/>
      <c r="C3746" s="105"/>
      <c r="K3746" s="1"/>
      <c r="L3746" s="2"/>
    </row>
    <row r="3747" spans="1:12" x14ac:dyDescent="0.2">
      <c r="A3747" s="103"/>
      <c r="B3747" s="104"/>
      <c r="C3747" s="105"/>
      <c r="K3747" s="1"/>
      <c r="L3747" s="2"/>
    </row>
    <row r="3748" spans="1:12" x14ac:dyDescent="0.2">
      <c r="A3748" s="103"/>
      <c r="B3748" s="104"/>
      <c r="C3748" s="105"/>
      <c r="K3748" s="1"/>
      <c r="L3748" s="2"/>
    </row>
    <row r="3749" spans="1:12" x14ac:dyDescent="0.2">
      <c r="A3749" s="103"/>
      <c r="B3749" s="104"/>
      <c r="C3749" s="105"/>
      <c r="K3749" s="1"/>
      <c r="L3749" s="2"/>
    </row>
    <row r="3750" spans="1:12" x14ac:dyDescent="0.2">
      <c r="A3750" s="103"/>
      <c r="B3750" s="104"/>
      <c r="C3750" s="105"/>
      <c r="K3750" s="1"/>
      <c r="L3750" s="2"/>
    </row>
    <row r="3751" spans="1:12" x14ac:dyDescent="0.2">
      <c r="A3751" s="103"/>
      <c r="B3751" s="104"/>
      <c r="C3751" s="105"/>
      <c r="K3751" s="1"/>
      <c r="L3751" s="2"/>
    </row>
    <row r="3752" spans="1:12" x14ac:dyDescent="0.2">
      <c r="A3752" s="103"/>
      <c r="B3752" s="104"/>
      <c r="C3752" s="105"/>
      <c r="K3752" s="1"/>
      <c r="L3752" s="2"/>
    </row>
    <row r="3753" spans="1:12" x14ac:dyDescent="0.2">
      <c r="A3753" s="103"/>
      <c r="B3753" s="104"/>
      <c r="C3753" s="105"/>
      <c r="K3753" s="1"/>
      <c r="L3753" s="2"/>
    </row>
    <row r="3754" spans="1:12" x14ac:dyDescent="0.2">
      <c r="A3754" s="103"/>
      <c r="B3754" s="104"/>
      <c r="C3754" s="105"/>
      <c r="K3754" s="1"/>
      <c r="L3754" s="2"/>
    </row>
    <row r="3755" spans="1:12" x14ac:dyDescent="0.2">
      <c r="A3755" s="103"/>
      <c r="B3755" s="104"/>
      <c r="C3755" s="105"/>
      <c r="K3755" s="1"/>
      <c r="L3755" s="2"/>
    </row>
    <row r="3756" spans="1:12" x14ac:dyDescent="0.2">
      <c r="A3756" s="103"/>
      <c r="B3756" s="104"/>
      <c r="C3756" s="105"/>
      <c r="K3756" s="1"/>
      <c r="L3756" s="2"/>
    </row>
    <row r="3757" spans="1:12" x14ac:dyDescent="0.2">
      <c r="A3757" s="103"/>
      <c r="B3757" s="104"/>
      <c r="C3757" s="105"/>
      <c r="K3757" s="1"/>
      <c r="L3757" s="2"/>
    </row>
    <row r="3758" spans="1:12" x14ac:dyDescent="0.2">
      <c r="A3758" s="103"/>
      <c r="B3758" s="104"/>
      <c r="C3758" s="105"/>
      <c r="K3758" s="1"/>
      <c r="L3758" s="2"/>
    </row>
    <row r="3759" spans="1:12" x14ac:dyDescent="0.2">
      <c r="A3759" s="103"/>
      <c r="B3759" s="104"/>
      <c r="C3759" s="105"/>
      <c r="K3759" s="1"/>
      <c r="L3759" s="2"/>
    </row>
    <row r="3760" spans="1:12" x14ac:dyDescent="0.2">
      <c r="A3760" s="103"/>
      <c r="B3760" s="104"/>
      <c r="C3760" s="105"/>
      <c r="K3760" s="1"/>
      <c r="L3760" s="2"/>
    </row>
    <row r="3761" spans="1:12" x14ac:dyDescent="0.2">
      <c r="A3761" s="103"/>
      <c r="B3761" s="104"/>
      <c r="C3761" s="105"/>
      <c r="K3761" s="1"/>
      <c r="L3761" s="2"/>
    </row>
    <row r="3762" spans="1:12" x14ac:dyDescent="0.2">
      <c r="A3762" s="103"/>
      <c r="B3762" s="104"/>
      <c r="C3762" s="105"/>
      <c r="K3762" s="1"/>
      <c r="L3762" s="2"/>
    </row>
    <row r="3763" spans="1:12" x14ac:dyDescent="0.2">
      <c r="A3763" s="103"/>
      <c r="B3763" s="104"/>
      <c r="C3763" s="105"/>
      <c r="K3763" s="1"/>
      <c r="L3763" s="2"/>
    </row>
    <row r="3764" spans="1:12" x14ac:dyDescent="0.2">
      <c r="A3764" s="103"/>
      <c r="B3764" s="104"/>
      <c r="C3764" s="105"/>
      <c r="K3764" s="1"/>
      <c r="L3764" s="2"/>
    </row>
    <row r="3765" spans="1:12" x14ac:dyDescent="0.2">
      <c r="A3765" s="103"/>
      <c r="B3765" s="104"/>
      <c r="C3765" s="105"/>
      <c r="K3765" s="1"/>
      <c r="L3765" s="2"/>
    </row>
    <row r="3766" spans="1:12" x14ac:dyDescent="0.2">
      <c r="A3766" s="103"/>
      <c r="B3766" s="104"/>
      <c r="C3766" s="105"/>
      <c r="K3766" s="1"/>
      <c r="L3766" s="2"/>
    </row>
    <row r="3767" spans="1:12" x14ac:dyDescent="0.2">
      <c r="A3767" s="103"/>
      <c r="B3767" s="104"/>
      <c r="C3767" s="105"/>
      <c r="K3767" s="1"/>
      <c r="L3767" s="2"/>
    </row>
    <row r="3768" spans="1:12" x14ac:dyDescent="0.2">
      <c r="A3768" s="103"/>
      <c r="B3768" s="104"/>
      <c r="C3768" s="105"/>
      <c r="K3768" s="1"/>
      <c r="L3768" s="2"/>
    </row>
    <row r="3769" spans="1:12" x14ac:dyDescent="0.2">
      <c r="A3769" s="103"/>
      <c r="B3769" s="104"/>
      <c r="C3769" s="105"/>
      <c r="K3769" s="1"/>
      <c r="L3769" s="2"/>
    </row>
    <row r="3770" spans="1:12" x14ac:dyDescent="0.2">
      <c r="A3770" s="103"/>
      <c r="B3770" s="104"/>
      <c r="C3770" s="105"/>
      <c r="K3770" s="1"/>
      <c r="L3770" s="2"/>
    </row>
    <row r="3771" spans="1:12" x14ac:dyDescent="0.2">
      <c r="A3771" s="103"/>
      <c r="B3771" s="104"/>
      <c r="C3771" s="105"/>
      <c r="K3771" s="1"/>
      <c r="L3771" s="2"/>
    </row>
    <row r="3772" spans="1:12" x14ac:dyDescent="0.2">
      <c r="A3772" s="103"/>
      <c r="B3772" s="104"/>
      <c r="C3772" s="105"/>
      <c r="K3772" s="1"/>
      <c r="L3772" s="2"/>
    </row>
    <row r="3773" spans="1:12" x14ac:dyDescent="0.2">
      <c r="A3773" s="103"/>
      <c r="B3773" s="104"/>
      <c r="C3773" s="105"/>
      <c r="K3773" s="1"/>
      <c r="L3773" s="2"/>
    </row>
    <row r="3774" spans="1:12" x14ac:dyDescent="0.2">
      <c r="A3774" s="103"/>
      <c r="B3774" s="104"/>
      <c r="C3774" s="105"/>
      <c r="K3774" s="1"/>
      <c r="L3774" s="2"/>
    </row>
    <row r="3775" spans="1:12" x14ac:dyDescent="0.2">
      <c r="A3775" s="103"/>
      <c r="B3775" s="104"/>
      <c r="C3775" s="105"/>
      <c r="K3775" s="1"/>
      <c r="L3775" s="2"/>
    </row>
    <row r="3776" spans="1:12" x14ac:dyDescent="0.2">
      <c r="A3776" s="103"/>
      <c r="B3776" s="104"/>
      <c r="C3776" s="105"/>
      <c r="K3776" s="1"/>
      <c r="L3776" s="2"/>
    </row>
    <row r="3777" spans="1:12" x14ac:dyDescent="0.2">
      <c r="A3777" s="103"/>
      <c r="B3777" s="104"/>
      <c r="C3777" s="105"/>
      <c r="K3777" s="1"/>
      <c r="L3777" s="2"/>
    </row>
    <row r="3778" spans="1:12" x14ac:dyDescent="0.2">
      <c r="A3778" s="103"/>
      <c r="B3778" s="104"/>
      <c r="C3778" s="105"/>
      <c r="K3778" s="1"/>
      <c r="L3778" s="2"/>
    </row>
    <row r="3779" spans="1:12" x14ac:dyDescent="0.2">
      <c r="A3779" s="103"/>
      <c r="B3779" s="104"/>
      <c r="C3779" s="105"/>
      <c r="K3779" s="1"/>
      <c r="L3779" s="2"/>
    </row>
    <row r="3780" spans="1:12" x14ac:dyDescent="0.2">
      <c r="A3780" s="103"/>
      <c r="B3780" s="104"/>
      <c r="C3780" s="105"/>
      <c r="K3780" s="1"/>
      <c r="L3780" s="2"/>
    </row>
    <row r="3781" spans="1:12" x14ac:dyDescent="0.2">
      <c r="A3781" s="103"/>
      <c r="B3781" s="104"/>
      <c r="C3781" s="105"/>
      <c r="K3781" s="1"/>
      <c r="L3781" s="2"/>
    </row>
    <row r="3782" spans="1:12" x14ac:dyDescent="0.2">
      <c r="A3782" s="103"/>
      <c r="B3782" s="104"/>
      <c r="C3782" s="105"/>
      <c r="K3782" s="1"/>
      <c r="L3782" s="2"/>
    </row>
    <row r="3783" spans="1:12" x14ac:dyDescent="0.2">
      <c r="A3783" s="103"/>
      <c r="B3783" s="104"/>
      <c r="C3783" s="105"/>
      <c r="K3783" s="1"/>
      <c r="L3783" s="2"/>
    </row>
    <row r="3784" spans="1:12" x14ac:dyDescent="0.2">
      <c r="A3784" s="103"/>
      <c r="B3784" s="104"/>
      <c r="C3784" s="105"/>
      <c r="K3784" s="1"/>
      <c r="L3784" s="2"/>
    </row>
    <row r="3785" spans="1:12" x14ac:dyDescent="0.2">
      <c r="A3785" s="103"/>
      <c r="B3785" s="104"/>
      <c r="C3785" s="105"/>
      <c r="K3785" s="1"/>
      <c r="L3785" s="2"/>
    </row>
    <row r="3786" spans="1:12" x14ac:dyDescent="0.2">
      <c r="A3786" s="103"/>
      <c r="B3786" s="104"/>
      <c r="C3786" s="105"/>
      <c r="K3786" s="1"/>
      <c r="L3786" s="2"/>
    </row>
    <row r="3787" spans="1:12" x14ac:dyDescent="0.2">
      <c r="A3787" s="103"/>
      <c r="B3787" s="104"/>
      <c r="C3787" s="105"/>
      <c r="K3787" s="1"/>
      <c r="L3787" s="2"/>
    </row>
    <row r="3788" spans="1:12" x14ac:dyDescent="0.2">
      <c r="A3788" s="103"/>
      <c r="B3788" s="104"/>
      <c r="C3788" s="105"/>
      <c r="K3788" s="1"/>
      <c r="L3788" s="2"/>
    </row>
    <row r="3789" spans="1:12" x14ac:dyDescent="0.2">
      <c r="A3789" s="103"/>
      <c r="B3789" s="104"/>
      <c r="C3789" s="105"/>
      <c r="K3789" s="1"/>
      <c r="L3789" s="2"/>
    </row>
    <row r="3790" spans="1:12" x14ac:dyDescent="0.2">
      <c r="A3790" s="103"/>
      <c r="B3790" s="104"/>
      <c r="C3790" s="105"/>
      <c r="K3790" s="1"/>
      <c r="L3790" s="2"/>
    </row>
    <row r="3791" spans="1:12" x14ac:dyDescent="0.2">
      <c r="A3791" s="103"/>
      <c r="B3791" s="104"/>
      <c r="C3791" s="105"/>
      <c r="K3791" s="1"/>
      <c r="L3791" s="2"/>
    </row>
    <row r="3792" spans="1:12" x14ac:dyDescent="0.2">
      <c r="A3792" s="103"/>
      <c r="B3792" s="104"/>
      <c r="C3792" s="105"/>
      <c r="K3792" s="1"/>
      <c r="L3792" s="2"/>
    </row>
    <row r="3793" spans="1:12" x14ac:dyDescent="0.2">
      <c r="A3793" s="103"/>
      <c r="B3793" s="104"/>
      <c r="C3793" s="105"/>
      <c r="K3793" s="1"/>
      <c r="L3793" s="2"/>
    </row>
    <row r="3794" spans="1:12" x14ac:dyDescent="0.2">
      <c r="A3794" s="103"/>
      <c r="B3794" s="104"/>
      <c r="C3794" s="105"/>
      <c r="K3794" s="1"/>
      <c r="L3794" s="2"/>
    </row>
    <row r="3795" spans="1:12" x14ac:dyDescent="0.2">
      <c r="A3795" s="103"/>
      <c r="B3795" s="104"/>
      <c r="C3795" s="105"/>
      <c r="K3795" s="1"/>
      <c r="L3795" s="2"/>
    </row>
    <row r="3796" spans="1:12" x14ac:dyDescent="0.2">
      <c r="A3796" s="103"/>
      <c r="B3796" s="104"/>
      <c r="C3796" s="105"/>
      <c r="K3796" s="1"/>
      <c r="L3796" s="2"/>
    </row>
    <row r="3797" spans="1:12" x14ac:dyDescent="0.2">
      <c r="A3797" s="103"/>
      <c r="B3797" s="104"/>
      <c r="C3797" s="105"/>
      <c r="K3797" s="1"/>
      <c r="L3797" s="2"/>
    </row>
    <row r="3798" spans="1:12" x14ac:dyDescent="0.2">
      <c r="A3798" s="103"/>
      <c r="B3798" s="104"/>
      <c r="C3798" s="105"/>
      <c r="K3798" s="1"/>
      <c r="L3798" s="2"/>
    </row>
    <row r="3799" spans="1:12" x14ac:dyDescent="0.2">
      <c r="A3799" s="103"/>
      <c r="B3799" s="104"/>
      <c r="C3799" s="105"/>
      <c r="K3799" s="1"/>
      <c r="L3799" s="2"/>
    </row>
    <row r="3800" spans="1:12" x14ac:dyDescent="0.2">
      <c r="A3800" s="103"/>
      <c r="B3800" s="104"/>
      <c r="C3800" s="105"/>
      <c r="K3800" s="1"/>
      <c r="L3800" s="2"/>
    </row>
    <row r="3801" spans="1:12" x14ac:dyDescent="0.2">
      <c r="A3801" s="103"/>
      <c r="B3801" s="104"/>
      <c r="C3801" s="105"/>
      <c r="K3801" s="1"/>
      <c r="L3801" s="2"/>
    </row>
    <row r="3802" spans="1:12" x14ac:dyDescent="0.2">
      <c r="A3802" s="103"/>
      <c r="B3802" s="104"/>
      <c r="C3802" s="105"/>
      <c r="K3802" s="1"/>
      <c r="L3802" s="2"/>
    </row>
    <row r="3803" spans="1:12" x14ac:dyDescent="0.2">
      <c r="A3803" s="103"/>
      <c r="B3803" s="104"/>
      <c r="C3803" s="105"/>
      <c r="K3803" s="1"/>
      <c r="L3803" s="2"/>
    </row>
    <row r="3804" spans="1:12" x14ac:dyDescent="0.2">
      <c r="A3804" s="103"/>
      <c r="B3804" s="104"/>
      <c r="C3804" s="105"/>
      <c r="K3804" s="1"/>
      <c r="L3804" s="2"/>
    </row>
    <row r="3805" spans="1:12" x14ac:dyDescent="0.2">
      <c r="A3805" s="103"/>
      <c r="B3805" s="104"/>
      <c r="C3805" s="105"/>
      <c r="K3805" s="1"/>
      <c r="L3805" s="2"/>
    </row>
    <row r="3806" spans="1:12" x14ac:dyDescent="0.2">
      <c r="A3806" s="103"/>
      <c r="B3806" s="104"/>
      <c r="C3806" s="105"/>
      <c r="K3806" s="1"/>
      <c r="L3806" s="2"/>
    </row>
    <row r="3807" spans="1:12" x14ac:dyDescent="0.2">
      <c r="A3807" s="103"/>
      <c r="B3807" s="104"/>
      <c r="C3807" s="105"/>
      <c r="K3807" s="1"/>
      <c r="L3807" s="2"/>
    </row>
    <row r="3808" spans="1:12" x14ac:dyDescent="0.2">
      <c r="A3808" s="103"/>
      <c r="B3808" s="104"/>
      <c r="C3808" s="105"/>
      <c r="K3808" s="1"/>
      <c r="L3808" s="2"/>
    </row>
    <row r="3809" spans="1:12" x14ac:dyDescent="0.2">
      <c r="A3809" s="103"/>
      <c r="B3809" s="104"/>
      <c r="C3809" s="105"/>
      <c r="K3809" s="1"/>
      <c r="L3809" s="2"/>
    </row>
    <row r="3810" spans="1:12" x14ac:dyDescent="0.2">
      <c r="A3810" s="103"/>
      <c r="B3810" s="104"/>
      <c r="C3810" s="105"/>
      <c r="K3810" s="1"/>
      <c r="L3810" s="2"/>
    </row>
    <row r="3811" spans="1:12" x14ac:dyDescent="0.2">
      <c r="A3811" s="103"/>
      <c r="B3811" s="104"/>
      <c r="C3811" s="105"/>
      <c r="K3811" s="1"/>
      <c r="L3811" s="2"/>
    </row>
    <row r="3812" spans="1:12" x14ac:dyDescent="0.2">
      <c r="A3812" s="103"/>
      <c r="B3812" s="104"/>
      <c r="C3812" s="105"/>
      <c r="K3812" s="1"/>
      <c r="L3812" s="2"/>
    </row>
    <row r="3813" spans="1:12" x14ac:dyDescent="0.2">
      <c r="A3813" s="103"/>
      <c r="B3813" s="104"/>
      <c r="C3813" s="105"/>
      <c r="K3813" s="1"/>
      <c r="L3813" s="2"/>
    </row>
    <row r="3814" spans="1:12" x14ac:dyDescent="0.2">
      <c r="A3814" s="103"/>
      <c r="B3814" s="104"/>
      <c r="C3814" s="105"/>
      <c r="K3814" s="1"/>
      <c r="L3814" s="2"/>
    </row>
    <row r="3815" spans="1:12" x14ac:dyDescent="0.2">
      <c r="A3815" s="103"/>
      <c r="B3815" s="104"/>
      <c r="C3815" s="105"/>
      <c r="K3815" s="1"/>
      <c r="L3815" s="2"/>
    </row>
    <row r="3816" spans="1:12" x14ac:dyDescent="0.2">
      <c r="A3816" s="103"/>
      <c r="B3816" s="104"/>
      <c r="C3816" s="105"/>
      <c r="K3816" s="1"/>
      <c r="L3816" s="2"/>
    </row>
    <row r="3817" spans="1:12" x14ac:dyDescent="0.2">
      <c r="A3817" s="103"/>
      <c r="B3817" s="104"/>
      <c r="C3817" s="105"/>
      <c r="K3817" s="1"/>
      <c r="L3817" s="2"/>
    </row>
    <row r="3818" spans="1:12" x14ac:dyDescent="0.2">
      <c r="A3818" s="103"/>
      <c r="B3818" s="104"/>
      <c r="C3818" s="105"/>
      <c r="K3818" s="1"/>
      <c r="L3818" s="2"/>
    </row>
    <row r="3819" spans="1:12" x14ac:dyDescent="0.2">
      <c r="A3819" s="103"/>
      <c r="B3819" s="104"/>
      <c r="C3819" s="105"/>
      <c r="K3819" s="1"/>
      <c r="L3819" s="2"/>
    </row>
    <row r="3820" spans="1:12" x14ac:dyDescent="0.2">
      <c r="A3820" s="103"/>
      <c r="B3820" s="104"/>
      <c r="C3820" s="105"/>
      <c r="K3820" s="1"/>
      <c r="L3820" s="2"/>
    </row>
    <row r="3821" spans="1:12" x14ac:dyDescent="0.2">
      <c r="A3821" s="103"/>
      <c r="B3821" s="104"/>
      <c r="C3821" s="105"/>
      <c r="K3821" s="1"/>
      <c r="L3821" s="2"/>
    </row>
    <row r="3822" spans="1:12" x14ac:dyDescent="0.2">
      <c r="A3822" s="103"/>
      <c r="B3822" s="104"/>
      <c r="C3822" s="105"/>
      <c r="K3822" s="1"/>
      <c r="L3822" s="2"/>
    </row>
    <row r="3823" spans="1:12" x14ac:dyDescent="0.2">
      <c r="A3823" s="103"/>
      <c r="B3823" s="104"/>
      <c r="C3823" s="105"/>
      <c r="K3823" s="1"/>
      <c r="L3823" s="2"/>
    </row>
    <row r="3824" spans="1:12" x14ac:dyDescent="0.2">
      <c r="A3824" s="103"/>
      <c r="B3824" s="104"/>
      <c r="C3824" s="105"/>
      <c r="K3824" s="1"/>
      <c r="L3824" s="2"/>
    </row>
    <row r="3825" spans="1:12" x14ac:dyDescent="0.2">
      <c r="A3825" s="103"/>
      <c r="B3825" s="104"/>
      <c r="C3825" s="105"/>
      <c r="K3825" s="1"/>
      <c r="L3825" s="2"/>
    </row>
    <row r="3826" spans="1:12" x14ac:dyDescent="0.2">
      <c r="A3826" s="103"/>
      <c r="B3826" s="104"/>
      <c r="C3826" s="105"/>
      <c r="K3826" s="1"/>
      <c r="L3826" s="2"/>
    </row>
    <row r="3827" spans="1:12" x14ac:dyDescent="0.2">
      <c r="A3827" s="103"/>
      <c r="B3827" s="104"/>
      <c r="C3827" s="105"/>
      <c r="K3827" s="1"/>
      <c r="L3827" s="2"/>
    </row>
    <row r="3828" spans="1:12" x14ac:dyDescent="0.2">
      <c r="A3828" s="103"/>
      <c r="B3828" s="104"/>
      <c r="C3828" s="105"/>
      <c r="K3828" s="1"/>
      <c r="L3828" s="2"/>
    </row>
    <row r="3829" spans="1:12" x14ac:dyDescent="0.2">
      <c r="A3829" s="103"/>
      <c r="B3829" s="104"/>
      <c r="C3829" s="105"/>
      <c r="K3829" s="1"/>
      <c r="L3829" s="2"/>
    </row>
    <row r="3830" spans="1:12" x14ac:dyDescent="0.2">
      <c r="A3830" s="103"/>
      <c r="B3830" s="104"/>
      <c r="C3830" s="105"/>
      <c r="K3830" s="1"/>
      <c r="L3830" s="2"/>
    </row>
    <row r="3831" spans="1:12" x14ac:dyDescent="0.2">
      <c r="A3831" s="103"/>
      <c r="B3831" s="104"/>
      <c r="C3831" s="105"/>
      <c r="K3831" s="1"/>
      <c r="L3831" s="2"/>
    </row>
    <row r="3832" spans="1:12" x14ac:dyDescent="0.2">
      <c r="A3832" s="103"/>
      <c r="B3832" s="104"/>
      <c r="C3832" s="105"/>
      <c r="K3832" s="1"/>
      <c r="L3832" s="2"/>
    </row>
    <row r="3833" spans="1:12" x14ac:dyDescent="0.2">
      <c r="A3833" s="103"/>
      <c r="B3833" s="104"/>
      <c r="C3833" s="105"/>
      <c r="K3833" s="1"/>
      <c r="L3833" s="2"/>
    </row>
    <row r="3834" spans="1:12" x14ac:dyDescent="0.2">
      <c r="A3834" s="103"/>
      <c r="B3834" s="104"/>
      <c r="C3834" s="105"/>
      <c r="K3834" s="1"/>
      <c r="L3834" s="2"/>
    </row>
    <row r="3835" spans="1:12" x14ac:dyDescent="0.2">
      <c r="A3835" s="103"/>
      <c r="B3835" s="104"/>
      <c r="C3835" s="105"/>
      <c r="K3835" s="1"/>
      <c r="L3835" s="2"/>
    </row>
    <row r="3836" spans="1:12" x14ac:dyDescent="0.2">
      <c r="A3836" s="103"/>
      <c r="B3836" s="104"/>
      <c r="C3836" s="105"/>
      <c r="K3836" s="1"/>
      <c r="L3836" s="2"/>
    </row>
    <row r="3837" spans="1:12" x14ac:dyDescent="0.2">
      <c r="A3837" s="103"/>
      <c r="B3837" s="104"/>
      <c r="C3837" s="105"/>
      <c r="K3837" s="1"/>
      <c r="L3837" s="2"/>
    </row>
    <row r="3838" spans="1:12" x14ac:dyDescent="0.2">
      <c r="A3838" s="103"/>
      <c r="B3838" s="104"/>
      <c r="C3838" s="105"/>
      <c r="K3838" s="1"/>
      <c r="L3838" s="2"/>
    </row>
    <row r="3839" spans="1:12" x14ac:dyDescent="0.2">
      <c r="A3839" s="103"/>
      <c r="B3839" s="104"/>
      <c r="C3839" s="105"/>
      <c r="K3839" s="1"/>
      <c r="L3839" s="2"/>
    </row>
    <row r="3840" spans="1:12" x14ac:dyDescent="0.2">
      <c r="A3840" s="103"/>
      <c r="B3840" s="104"/>
      <c r="C3840" s="105"/>
      <c r="K3840" s="1"/>
      <c r="L3840" s="2"/>
    </row>
    <row r="3841" spans="1:12" x14ac:dyDescent="0.2">
      <c r="A3841" s="103"/>
      <c r="B3841" s="104"/>
      <c r="C3841" s="105"/>
      <c r="K3841" s="1"/>
      <c r="L3841" s="2"/>
    </row>
    <row r="3842" spans="1:12" x14ac:dyDescent="0.2">
      <c r="A3842" s="103"/>
      <c r="B3842" s="104"/>
      <c r="C3842" s="105"/>
      <c r="K3842" s="1"/>
      <c r="L3842" s="2"/>
    </row>
    <row r="3843" spans="1:12" x14ac:dyDescent="0.2">
      <c r="A3843" s="103"/>
      <c r="B3843" s="104"/>
      <c r="C3843" s="105"/>
      <c r="K3843" s="1"/>
      <c r="L3843" s="2"/>
    </row>
    <row r="3844" spans="1:12" x14ac:dyDescent="0.2">
      <c r="A3844" s="103"/>
      <c r="B3844" s="104"/>
      <c r="C3844" s="105"/>
      <c r="K3844" s="1"/>
      <c r="L3844" s="2"/>
    </row>
    <row r="3845" spans="1:12" x14ac:dyDescent="0.2">
      <c r="A3845" s="103"/>
      <c r="B3845" s="104"/>
      <c r="C3845" s="105"/>
      <c r="K3845" s="1"/>
      <c r="L3845" s="2"/>
    </row>
    <row r="3846" spans="1:12" x14ac:dyDescent="0.2">
      <c r="A3846" s="103"/>
      <c r="B3846" s="104"/>
      <c r="C3846" s="105"/>
      <c r="K3846" s="1"/>
      <c r="L3846" s="2"/>
    </row>
    <row r="3847" spans="1:12" x14ac:dyDescent="0.2">
      <c r="A3847" s="103"/>
      <c r="B3847" s="104"/>
      <c r="C3847" s="105"/>
      <c r="K3847" s="1"/>
      <c r="L3847" s="2"/>
    </row>
    <row r="3848" spans="1:12" x14ac:dyDescent="0.2">
      <c r="A3848" s="103"/>
      <c r="B3848" s="104"/>
      <c r="C3848" s="105"/>
      <c r="K3848" s="1"/>
      <c r="L3848" s="2"/>
    </row>
    <row r="3849" spans="1:12" x14ac:dyDescent="0.2">
      <c r="A3849" s="103"/>
      <c r="B3849" s="104"/>
      <c r="C3849" s="105"/>
      <c r="K3849" s="1"/>
      <c r="L3849" s="2"/>
    </row>
    <row r="3850" spans="1:12" x14ac:dyDescent="0.2">
      <c r="A3850" s="103"/>
      <c r="B3850" s="104"/>
      <c r="C3850" s="105"/>
      <c r="K3850" s="1"/>
      <c r="L3850" s="2"/>
    </row>
    <row r="3851" spans="1:12" x14ac:dyDescent="0.2">
      <c r="A3851" s="103"/>
      <c r="B3851" s="104"/>
      <c r="C3851" s="105"/>
      <c r="K3851" s="1"/>
      <c r="L3851" s="2"/>
    </row>
    <row r="3852" spans="1:12" x14ac:dyDescent="0.2">
      <c r="A3852" s="103"/>
      <c r="B3852" s="104"/>
      <c r="C3852" s="105"/>
      <c r="K3852" s="1"/>
      <c r="L3852" s="2"/>
    </row>
    <row r="3853" spans="1:12" x14ac:dyDescent="0.2">
      <c r="A3853" s="103"/>
      <c r="B3853" s="104"/>
      <c r="C3853" s="105"/>
      <c r="K3853" s="1"/>
      <c r="L3853" s="2"/>
    </row>
    <row r="3854" spans="1:12" x14ac:dyDescent="0.2">
      <c r="A3854" s="103"/>
      <c r="B3854" s="104"/>
      <c r="C3854" s="105"/>
      <c r="K3854" s="1"/>
      <c r="L3854" s="2"/>
    </row>
    <row r="3855" spans="1:12" x14ac:dyDescent="0.2">
      <c r="A3855" s="103"/>
      <c r="B3855" s="104"/>
      <c r="C3855" s="105"/>
      <c r="K3855" s="1"/>
      <c r="L3855" s="2"/>
    </row>
    <row r="3856" spans="1:12" x14ac:dyDescent="0.2">
      <c r="A3856" s="103"/>
      <c r="B3856" s="104"/>
      <c r="C3856" s="105"/>
      <c r="K3856" s="1"/>
      <c r="L3856" s="2"/>
    </row>
    <row r="3857" spans="1:12" x14ac:dyDescent="0.2">
      <c r="A3857" s="103"/>
      <c r="B3857" s="104"/>
      <c r="C3857" s="105"/>
      <c r="K3857" s="1"/>
      <c r="L3857" s="2"/>
    </row>
    <row r="3858" spans="1:12" x14ac:dyDescent="0.2">
      <c r="A3858" s="103"/>
      <c r="B3858" s="104"/>
      <c r="C3858" s="105"/>
      <c r="K3858" s="1"/>
      <c r="L3858" s="2"/>
    </row>
    <row r="3859" spans="1:12" x14ac:dyDescent="0.2">
      <c r="A3859" s="103"/>
      <c r="B3859" s="104"/>
      <c r="C3859" s="105"/>
      <c r="K3859" s="1"/>
      <c r="L3859" s="2"/>
    </row>
    <row r="3860" spans="1:12" x14ac:dyDescent="0.2">
      <c r="A3860" s="103"/>
      <c r="B3860" s="104"/>
      <c r="C3860" s="105"/>
      <c r="K3860" s="1"/>
      <c r="L3860" s="2"/>
    </row>
    <row r="3861" spans="1:12" x14ac:dyDescent="0.2">
      <c r="A3861" s="103"/>
      <c r="B3861" s="104"/>
      <c r="C3861" s="105"/>
      <c r="K3861" s="1"/>
      <c r="L3861" s="2"/>
    </row>
    <row r="3862" spans="1:12" x14ac:dyDescent="0.2">
      <c r="A3862" s="103"/>
      <c r="B3862" s="104"/>
      <c r="C3862" s="105"/>
      <c r="K3862" s="1"/>
      <c r="L3862" s="2"/>
    </row>
    <row r="3863" spans="1:12" x14ac:dyDescent="0.2">
      <c r="A3863" s="103"/>
      <c r="B3863" s="104"/>
      <c r="C3863" s="105"/>
      <c r="K3863" s="1"/>
      <c r="L3863" s="2"/>
    </row>
    <row r="3864" spans="1:12" x14ac:dyDescent="0.2">
      <c r="A3864" s="103"/>
      <c r="B3864" s="104"/>
      <c r="C3864" s="105"/>
      <c r="K3864" s="1"/>
      <c r="L3864" s="2"/>
    </row>
    <row r="3865" spans="1:12" x14ac:dyDescent="0.2">
      <c r="A3865" s="103"/>
      <c r="B3865" s="104"/>
      <c r="C3865" s="105"/>
      <c r="K3865" s="1"/>
      <c r="L3865" s="2"/>
    </row>
    <row r="3866" spans="1:12" x14ac:dyDescent="0.2">
      <c r="A3866" s="103"/>
      <c r="B3866" s="104"/>
      <c r="C3866" s="105"/>
      <c r="K3866" s="1"/>
      <c r="L3866" s="2"/>
    </row>
    <row r="3867" spans="1:12" x14ac:dyDescent="0.2">
      <c r="A3867" s="103"/>
      <c r="B3867" s="104"/>
      <c r="C3867" s="105"/>
      <c r="K3867" s="1"/>
      <c r="L3867" s="2"/>
    </row>
    <row r="3868" spans="1:12" x14ac:dyDescent="0.2">
      <c r="A3868" s="103"/>
      <c r="B3868" s="104"/>
      <c r="C3868" s="105"/>
      <c r="K3868" s="1"/>
      <c r="L3868" s="2"/>
    </row>
    <row r="3869" spans="1:12" x14ac:dyDescent="0.2">
      <c r="A3869" s="103"/>
      <c r="B3869" s="104"/>
      <c r="C3869" s="105"/>
      <c r="K3869" s="1"/>
      <c r="L3869" s="2"/>
    </row>
    <row r="3870" spans="1:12" x14ac:dyDescent="0.2">
      <c r="A3870" s="103"/>
      <c r="B3870" s="104"/>
      <c r="C3870" s="105"/>
      <c r="K3870" s="1"/>
      <c r="L3870" s="2"/>
    </row>
    <row r="3871" spans="1:12" x14ac:dyDescent="0.2">
      <c r="A3871" s="103"/>
      <c r="B3871" s="104"/>
      <c r="C3871" s="105"/>
      <c r="K3871" s="1"/>
      <c r="L3871" s="2"/>
    </row>
    <row r="3872" spans="1:12" x14ac:dyDescent="0.2">
      <c r="A3872" s="103"/>
      <c r="B3872" s="104"/>
      <c r="C3872" s="105"/>
      <c r="K3872" s="1"/>
      <c r="L3872" s="2"/>
    </row>
    <row r="3873" spans="1:12" x14ac:dyDescent="0.2">
      <c r="A3873" s="103"/>
      <c r="B3873" s="104"/>
      <c r="C3873" s="105"/>
      <c r="K3873" s="1"/>
      <c r="L3873" s="2"/>
    </row>
    <row r="3874" spans="1:12" x14ac:dyDescent="0.2">
      <c r="A3874" s="103"/>
      <c r="B3874" s="104"/>
      <c r="C3874" s="105"/>
      <c r="K3874" s="1"/>
      <c r="L3874" s="2"/>
    </row>
    <row r="3875" spans="1:12" x14ac:dyDescent="0.2">
      <c r="A3875" s="103"/>
      <c r="B3875" s="104"/>
      <c r="C3875" s="105"/>
      <c r="K3875" s="1"/>
      <c r="L3875" s="2"/>
    </row>
    <row r="3876" spans="1:12" x14ac:dyDescent="0.2">
      <c r="A3876" s="103"/>
      <c r="B3876" s="104"/>
      <c r="C3876" s="105"/>
      <c r="K3876" s="1"/>
      <c r="L3876" s="2"/>
    </row>
    <row r="3877" spans="1:12" x14ac:dyDescent="0.2">
      <c r="A3877" s="103"/>
      <c r="B3877" s="104"/>
      <c r="C3877" s="105"/>
      <c r="K3877" s="1"/>
      <c r="L3877" s="2"/>
    </row>
    <row r="3878" spans="1:12" x14ac:dyDescent="0.2">
      <c r="A3878" s="103"/>
      <c r="B3878" s="104"/>
      <c r="C3878" s="105"/>
      <c r="K3878" s="1"/>
      <c r="L3878" s="2"/>
    </row>
    <row r="3879" spans="1:12" x14ac:dyDescent="0.2">
      <c r="A3879" s="103"/>
      <c r="B3879" s="104"/>
      <c r="C3879" s="105"/>
      <c r="K3879" s="1"/>
      <c r="L3879" s="2"/>
    </row>
    <row r="3880" spans="1:12" x14ac:dyDescent="0.2">
      <c r="A3880" s="103"/>
      <c r="B3880" s="104"/>
      <c r="C3880" s="105"/>
      <c r="K3880" s="1"/>
      <c r="L3880" s="2"/>
    </row>
    <row r="3881" spans="1:12" x14ac:dyDescent="0.2">
      <c r="A3881" s="103"/>
      <c r="B3881" s="104"/>
      <c r="C3881" s="105"/>
      <c r="K3881" s="1"/>
      <c r="L3881" s="2"/>
    </row>
    <row r="3882" spans="1:12" x14ac:dyDescent="0.2">
      <c r="A3882" s="103"/>
      <c r="B3882" s="104"/>
      <c r="C3882" s="105"/>
      <c r="K3882" s="1"/>
      <c r="L3882" s="2"/>
    </row>
    <row r="3883" spans="1:12" x14ac:dyDescent="0.2">
      <c r="A3883" s="103"/>
      <c r="B3883" s="104"/>
      <c r="C3883" s="105"/>
      <c r="K3883" s="1"/>
      <c r="L3883" s="2"/>
    </row>
    <row r="3884" spans="1:12" x14ac:dyDescent="0.2">
      <c r="A3884" s="103"/>
      <c r="B3884" s="104"/>
      <c r="C3884" s="105"/>
      <c r="K3884" s="1"/>
      <c r="L3884" s="2"/>
    </row>
    <row r="3885" spans="1:12" x14ac:dyDescent="0.2">
      <c r="A3885" s="103"/>
      <c r="B3885" s="104"/>
      <c r="C3885" s="105"/>
      <c r="K3885" s="1"/>
      <c r="L3885" s="2"/>
    </row>
    <row r="3886" spans="1:12" x14ac:dyDescent="0.2">
      <c r="A3886" s="103"/>
      <c r="B3886" s="104"/>
      <c r="C3886" s="105"/>
      <c r="K3886" s="1"/>
      <c r="L3886" s="2"/>
    </row>
    <row r="3887" spans="1:12" x14ac:dyDescent="0.2">
      <c r="A3887" s="103"/>
      <c r="B3887" s="104"/>
      <c r="C3887" s="105"/>
      <c r="K3887" s="1"/>
      <c r="L3887" s="2"/>
    </row>
    <row r="3888" spans="1:12" x14ac:dyDescent="0.2">
      <c r="A3888" s="103"/>
      <c r="B3888" s="104"/>
      <c r="C3888" s="105"/>
      <c r="K3888" s="1"/>
      <c r="L3888" s="2"/>
    </row>
    <row r="3889" spans="1:12" x14ac:dyDescent="0.2">
      <c r="A3889" s="103"/>
      <c r="B3889" s="104"/>
      <c r="C3889" s="105"/>
      <c r="K3889" s="1"/>
      <c r="L3889" s="2"/>
    </row>
    <row r="3890" spans="1:12" x14ac:dyDescent="0.2">
      <c r="A3890" s="103"/>
      <c r="B3890" s="104"/>
      <c r="C3890" s="105"/>
      <c r="K3890" s="1"/>
      <c r="L3890" s="2"/>
    </row>
    <row r="3891" spans="1:12" x14ac:dyDescent="0.2">
      <c r="A3891" s="103"/>
      <c r="B3891" s="104"/>
      <c r="C3891" s="105"/>
      <c r="K3891" s="1"/>
      <c r="L3891" s="2"/>
    </row>
    <row r="3892" spans="1:12" x14ac:dyDescent="0.2">
      <c r="A3892" s="103"/>
      <c r="B3892" s="104"/>
      <c r="C3892" s="105"/>
      <c r="K3892" s="1"/>
      <c r="L3892" s="2"/>
    </row>
    <row r="3893" spans="1:12" x14ac:dyDescent="0.2">
      <c r="A3893" s="103"/>
      <c r="B3893" s="104"/>
      <c r="C3893" s="105"/>
      <c r="K3893" s="1"/>
      <c r="L3893" s="2"/>
    </row>
    <row r="3894" spans="1:12" x14ac:dyDescent="0.2">
      <c r="A3894" s="103"/>
      <c r="B3894" s="104"/>
      <c r="C3894" s="105"/>
      <c r="K3894" s="1"/>
      <c r="L3894" s="2"/>
    </row>
    <row r="3895" spans="1:12" x14ac:dyDescent="0.2">
      <c r="A3895" s="103"/>
      <c r="B3895" s="104"/>
      <c r="C3895" s="105"/>
      <c r="K3895" s="1"/>
      <c r="L3895" s="2"/>
    </row>
    <row r="3896" spans="1:12" x14ac:dyDescent="0.2">
      <c r="A3896" s="103"/>
      <c r="B3896" s="104"/>
      <c r="C3896" s="105"/>
      <c r="K3896" s="1"/>
      <c r="L3896" s="2"/>
    </row>
    <row r="3897" spans="1:12" x14ac:dyDescent="0.2">
      <c r="A3897" s="103"/>
      <c r="B3897" s="104"/>
      <c r="C3897" s="105"/>
      <c r="K3897" s="1"/>
      <c r="L3897" s="2"/>
    </row>
    <row r="3898" spans="1:12" x14ac:dyDescent="0.2">
      <c r="A3898" s="103"/>
      <c r="B3898" s="104"/>
      <c r="C3898" s="105"/>
      <c r="K3898" s="1"/>
      <c r="L3898" s="2"/>
    </row>
    <row r="3899" spans="1:12" x14ac:dyDescent="0.2">
      <c r="A3899" s="103"/>
      <c r="B3899" s="104"/>
      <c r="C3899" s="105"/>
      <c r="K3899" s="1"/>
      <c r="L3899" s="2"/>
    </row>
    <row r="3900" spans="1:12" x14ac:dyDescent="0.2">
      <c r="A3900" s="103"/>
      <c r="B3900" s="104"/>
      <c r="C3900" s="105"/>
      <c r="K3900" s="1"/>
      <c r="L3900" s="2"/>
    </row>
    <row r="3901" spans="1:12" x14ac:dyDescent="0.2">
      <c r="A3901" s="103"/>
      <c r="B3901" s="104"/>
      <c r="C3901" s="105"/>
      <c r="K3901" s="1"/>
      <c r="L3901" s="2"/>
    </row>
    <row r="3902" spans="1:12" x14ac:dyDescent="0.2">
      <c r="A3902" s="103"/>
      <c r="B3902" s="104"/>
      <c r="C3902" s="105"/>
      <c r="K3902" s="1"/>
      <c r="L3902" s="2"/>
    </row>
    <row r="3903" spans="1:12" x14ac:dyDescent="0.2">
      <c r="A3903" s="103"/>
      <c r="B3903" s="104"/>
      <c r="C3903" s="105"/>
      <c r="K3903" s="1"/>
      <c r="L3903" s="2"/>
    </row>
    <row r="3904" spans="1:12" x14ac:dyDescent="0.2">
      <c r="A3904" s="103"/>
      <c r="B3904" s="104"/>
      <c r="C3904" s="105"/>
      <c r="K3904" s="1"/>
      <c r="L3904" s="2"/>
    </row>
    <row r="3905" spans="1:12" x14ac:dyDescent="0.2">
      <c r="A3905" s="103"/>
      <c r="B3905" s="104"/>
      <c r="C3905" s="105"/>
      <c r="K3905" s="1"/>
      <c r="L3905" s="2"/>
    </row>
    <row r="3906" spans="1:12" x14ac:dyDescent="0.2">
      <c r="A3906" s="103"/>
      <c r="B3906" s="104"/>
      <c r="C3906" s="105"/>
      <c r="K3906" s="1"/>
      <c r="L3906" s="2"/>
    </row>
    <row r="3907" spans="1:12" x14ac:dyDescent="0.2">
      <c r="A3907" s="103"/>
      <c r="B3907" s="104"/>
      <c r="C3907" s="105"/>
      <c r="K3907" s="1"/>
      <c r="L3907" s="2"/>
    </row>
    <row r="3908" spans="1:12" x14ac:dyDescent="0.2">
      <c r="A3908" s="103"/>
      <c r="B3908" s="104"/>
      <c r="C3908" s="105"/>
      <c r="K3908" s="1"/>
      <c r="L3908" s="2"/>
    </row>
    <row r="3909" spans="1:12" x14ac:dyDescent="0.2">
      <c r="A3909" s="103"/>
      <c r="B3909" s="104"/>
      <c r="C3909" s="105"/>
      <c r="K3909" s="1"/>
      <c r="L3909" s="2"/>
    </row>
    <row r="3910" spans="1:12" x14ac:dyDescent="0.2">
      <c r="A3910" s="103"/>
      <c r="B3910" s="104"/>
      <c r="C3910" s="105"/>
      <c r="K3910" s="1"/>
      <c r="L3910" s="2"/>
    </row>
    <row r="3911" spans="1:12" x14ac:dyDescent="0.2">
      <c r="A3911" s="103"/>
      <c r="B3911" s="104"/>
      <c r="C3911" s="105"/>
      <c r="K3911" s="1"/>
      <c r="L3911" s="2"/>
    </row>
    <row r="3912" spans="1:12" x14ac:dyDescent="0.2">
      <c r="A3912" s="103"/>
      <c r="B3912" s="104"/>
      <c r="C3912" s="105"/>
      <c r="K3912" s="1"/>
      <c r="L3912" s="2"/>
    </row>
    <row r="3913" spans="1:12" x14ac:dyDescent="0.2">
      <c r="A3913" s="103"/>
      <c r="B3913" s="104"/>
      <c r="C3913" s="105"/>
      <c r="K3913" s="1"/>
      <c r="L3913" s="2"/>
    </row>
    <row r="3914" spans="1:12" x14ac:dyDescent="0.2">
      <c r="A3914" s="103"/>
      <c r="B3914" s="104"/>
      <c r="C3914" s="105"/>
      <c r="K3914" s="1"/>
      <c r="L3914" s="2"/>
    </row>
    <row r="3915" spans="1:12" x14ac:dyDescent="0.2">
      <c r="A3915" s="103"/>
      <c r="B3915" s="104"/>
      <c r="C3915" s="105"/>
      <c r="K3915" s="1"/>
      <c r="L3915" s="2"/>
    </row>
    <row r="3916" spans="1:12" x14ac:dyDescent="0.2">
      <c r="A3916" s="103"/>
      <c r="B3916" s="104"/>
      <c r="C3916" s="105"/>
      <c r="K3916" s="1"/>
      <c r="L3916" s="2"/>
    </row>
    <row r="3917" spans="1:12" x14ac:dyDescent="0.2">
      <c r="A3917" s="103"/>
      <c r="B3917" s="104"/>
      <c r="C3917" s="105"/>
      <c r="K3917" s="1"/>
      <c r="L3917" s="2"/>
    </row>
    <row r="3918" spans="1:12" x14ac:dyDescent="0.2">
      <c r="A3918" s="103"/>
      <c r="B3918" s="104"/>
      <c r="C3918" s="105"/>
      <c r="K3918" s="1"/>
      <c r="L3918" s="2"/>
    </row>
    <row r="3919" spans="1:12" x14ac:dyDescent="0.2">
      <c r="A3919" s="103"/>
      <c r="B3919" s="104"/>
      <c r="C3919" s="105"/>
      <c r="K3919" s="1"/>
      <c r="L3919" s="2"/>
    </row>
    <row r="3920" spans="1:12" x14ac:dyDescent="0.2">
      <c r="A3920" s="103"/>
      <c r="B3920" s="104"/>
      <c r="C3920" s="105"/>
      <c r="K3920" s="1"/>
      <c r="L3920" s="2"/>
    </row>
    <row r="3921" spans="1:12" x14ac:dyDescent="0.2">
      <c r="A3921" s="103"/>
      <c r="B3921" s="104"/>
      <c r="C3921" s="105"/>
      <c r="K3921" s="1"/>
      <c r="L3921" s="2"/>
    </row>
    <row r="3922" spans="1:12" x14ac:dyDescent="0.2">
      <c r="A3922" s="103"/>
      <c r="B3922" s="104"/>
      <c r="C3922" s="105"/>
      <c r="K3922" s="1"/>
      <c r="L3922" s="2"/>
    </row>
    <row r="3923" spans="1:12" x14ac:dyDescent="0.2">
      <c r="A3923" s="103"/>
      <c r="B3923" s="104"/>
      <c r="C3923" s="105"/>
      <c r="K3923" s="1"/>
      <c r="L3923" s="2"/>
    </row>
    <row r="3924" spans="1:12" x14ac:dyDescent="0.2">
      <c r="A3924" s="103"/>
      <c r="B3924" s="104"/>
      <c r="C3924" s="105"/>
      <c r="K3924" s="1"/>
      <c r="L3924" s="2"/>
    </row>
    <row r="3925" spans="1:12" x14ac:dyDescent="0.2">
      <c r="A3925" s="103"/>
      <c r="B3925" s="104"/>
      <c r="C3925" s="105"/>
      <c r="K3925" s="1"/>
      <c r="L3925" s="2"/>
    </row>
    <row r="3926" spans="1:12" x14ac:dyDescent="0.2">
      <c r="A3926" s="103"/>
      <c r="B3926" s="104"/>
      <c r="C3926" s="105"/>
      <c r="K3926" s="1"/>
      <c r="L3926" s="2"/>
    </row>
    <row r="3927" spans="1:12" x14ac:dyDescent="0.2">
      <c r="A3927" s="103"/>
      <c r="B3927" s="104"/>
      <c r="C3927" s="105"/>
      <c r="K3927" s="1"/>
      <c r="L3927" s="2"/>
    </row>
    <row r="3928" spans="1:12" x14ac:dyDescent="0.2">
      <c r="A3928" s="103"/>
      <c r="B3928" s="104"/>
      <c r="C3928" s="105"/>
      <c r="K3928" s="1"/>
      <c r="L3928" s="2"/>
    </row>
    <row r="3929" spans="1:12" x14ac:dyDescent="0.2">
      <c r="A3929" s="103"/>
      <c r="B3929" s="104"/>
      <c r="C3929" s="105"/>
      <c r="K3929" s="1"/>
      <c r="L3929" s="2"/>
    </row>
    <row r="3930" spans="1:12" x14ac:dyDescent="0.2">
      <c r="A3930" s="103"/>
      <c r="B3930" s="104"/>
      <c r="C3930" s="105"/>
      <c r="K3930" s="1"/>
      <c r="L3930" s="2"/>
    </row>
    <row r="3931" spans="1:12" x14ac:dyDescent="0.2">
      <c r="A3931" s="103"/>
      <c r="B3931" s="104"/>
      <c r="C3931" s="105"/>
      <c r="K3931" s="1"/>
      <c r="L3931" s="2"/>
    </row>
    <row r="3932" spans="1:12" x14ac:dyDescent="0.2">
      <c r="A3932" s="103"/>
      <c r="B3932" s="104"/>
      <c r="C3932" s="105"/>
      <c r="K3932" s="1"/>
      <c r="L3932" s="2"/>
    </row>
    <row r="3933" spans="1:12" x14ac:dyDescent="0.2">
      <c r="A3933" s="103"/>
      <c r="B3933" s="104"/>
      <c r="C3933" s="105"/>
      <c r="K3933" s="1"/>
      <c r="L3933" s="2"/>
    </row>
    <row r="3934" spans="1:12" x14ac:dyDescent="0.2">
      <c r="A3934" s="103"/>
      <c r="B3934" s="104"/>
      <c r="C3934" s="105"/>
      <c r="K3934" s="1"/>
      <c r="L3934" s="2"/>
    </row>
    <row r="3935" spans="1:12" x14ac:dyDescent="0.2">
      <c r="A3935" s="103"/>
      <c r="B3935" s="104"/>
      <c r="C3935" s="105"/>
      <c r="K3935" s="1"/>
      <c r="L3935" s="2"/>
    </row>
    <row r="3936" spans="1:12" x14ac:dyDescent="0.2">
      <c r="A3936" s="103"/>
      <c r="B3936" s="104"/>
      <c r="C3936" s="105"/>
      <c r="K3936" s="1"/>
      <c r="L3936" s="2"/>
    </row>
    <row r="3937" spans="1:12" x14ac:dyDescent="0.2">
      <c r="A3937" s="103"/>
      <c r="B3937" s="104"/>
      <c r="C3937" s="105"/>
      <c r="K3937" s="1"/>
      <c r="L3937" s="2"/>
    </row>
    <row r="3938" spans="1:12" x14ac:dyDescent="0.2">
      <c r="A3938" s="103"/>
      <c r="B3938" s="104"/>
      <c r="C3938" s="105"/>
      <c r="K3938" s="1"/>
      <c r="L3938" s="2"/>
    </row>
    <row r="3939" spans="1:12" x14ac:dyDescent="0.2">
      <c r="A3939" s="103"/>
      <c r="B3939" s="104"/>
      <c r="C3939" s="105"/>
      <c r="K3939" s="1"/>
      <c r="L3939" s="2"/>
    </row>
    <row r="3940" spans="1:12" x14ac:dyDescent="0.2">
      <c r="A3940" s="103"/>
      <c r="B3940" s="104"/>
      <c r="C3940" s="105"/>
      <c r="K3940" s="1"/>
      <c r="L3940" s="2"/>
    </row>
    <row r="3941" spans="1:12" x14ac:dyDescent="0.2">
      <c r="A3941" s="103"/>
      <c r="B3941" s="104"/>
      <c r="C3941" s="105"/>
      <c r="K3941" s="1"/>
      <c r="L3941" s="2"/>
    </row>
    <row r="3942" spans="1:12" x14ac:dyDescent="0.2">
      <c r="A3942" s="103"/>
      <c r="B3942" s="104"/>
      <c r="C3942" s="105"/>
      <c r="K3942" s="1"/>
      <c r="L3942" s="2"/>
    </row>
    <row r="3943" spans="1:12" x14ac:dyDescent="0.2">
      <c r="A3943" s="103"/>
      <c r="B3943" s="104"/>
      <c r="C3943" s="105"/>
      <c r="K3943" s="1"/>
      <c r="L3943" s="2"/>
    </row>
    <row r="3944" spans="1:12" x14ac:dyDescent="0.2">
      <c r="A3944" s="103"/>
      <c r="B3944" s="104"/>
      <c r="C3944" s="105"/>
      <c r="K3944" s="1"/>
      <c r="L3944" s="2"/>
    </row>
    <row r="3945" spans="1:12" x14ac:dyDescent="0.2">
      <c r="A3945" s="103"/>
      <c r="B3945" s="104"/>
      <c r="C3945" s="105"/>
      <c r="K3945" s="1"/>
      <c r="L3945" s="2"/>
    </row>
    <row r="3946" spans="1:12" x14ac:dyDescent="0.2">
      <c r="A3946" s="103"/>
      <c r="B3946" s="104"/>
      <c r="C3946" s="105"/>
      <c r="K3946" s="1"/>
      <c r="L3946" s="2"/>
    </row>
    <row r="3947" spans="1:12" x14ac:dyDescent="0.2">
      <c r="A3947" s="103"/>
      <c r="B3947" s="104"/>
      <c r="C3947" s="105"/>
      <c r="K3947" s="1"/>
      <c r="L3947" s="2"/>
    </row>
    <row r="3948" spans="1:12" x14ac:dyDescent="0.2">
      <c r="A3948" s="103"/>
      <c r="B3948" s="104"/>
      <c r="C3948" s="105"/>
      <c r="K3948" s="1"/>
      <c r="L3948" s="2"/>
    </row>
    <row r="3949" spans="1:12" x14ac:dyDescent="0.2">
      <c r="A3949" s="103"/>
      <c r="B3949" s="104"/>
      <c r="C3949" s="105"/>
      <c r="K3949" s="1"/>
      <c r="L3949" s="2"/>
    </row>
    <row r="3950" spans="1:12" x14ac:dyDescent="0.2">
      <c r="A3950" s="103"/>
      <c r="B3950" s="104"/>
      <c r="C3950" s="105"/>
      <c r="K3950" s="1"/>
      <c r="L3950" s="2"/>
    </row>
    <row r="3951" spans="1:12" x14ac:dyDescent="0.2">
      <c r="A3951" s="103"/>
      <c r="B3951" s="104"/>
      <c r="C3951" s="105"/>
      <c r="K3951" s="1"/>
      <c r="L3951" s="2"/>
    </row>
    <row r="3952" spans="1:12" x14ac:dyDescent="0.2">
      <c r="A3952" s="103"/>
      <c r="B3952" s="104"/>
      <c r="C3952" s="105"/>
      <c r="K3952" s="1"/>
      <c r="L3952" s="2"/>
    </row>
    <row r="3953" spans="1:12" x14ac:dyDescent="0.2">
      <c r="A3953" s="103"/>
      <c r="B3953" s="104"/>
      <c r="C3953" s="105"/>
      <c r="K3953" s="1"/>
      <c r="L3953" s="2"/>
    </row>
    <row r="3954" spans="1:12" x14ac:dyDescent="0.2">
      <c r="A3954" s="103"/>
      <c r="B3954" s="104"/>
      <c r="C3954" s="105"/>
      <c r="K3954" s="1"/>
      <c r="L3954" s="2"/>
    </row>
    <row r="3955" spans="1:12" x14ac:dyDescent="0.2">
      <c r="A3955" s="103"/>
      <c r="B3955" s="104"/>
      <c r="C3955" s="105"/>
      <c r="K3955" s="1"/>
      <c r="L3955" s="2"/>
    </row>
    <row r="3956" spans="1:12" x14ac:dyDescent="0.2">
      <c r="A3956" s="103"/>
      <c r="B3956" s="104"/>
      <c r="C3956" s="105"/>
      <c r="K3956" s="1"/>
      <c r="L3956" s="2"/>
    </row>
    <row r="3957" spans="1:12" x14ac:dyDescent="0.2">
      <c r="A3957" s="103"/>
      <c r="B3957" s="104"/>
      <c r="C3957" s="105"/>
      <c r="K3957" s="1"/>
      <c r="L3957" s="2"/>
    </row>
    <row r="3958" spans="1:12" x14ac:dyDescent="0.2">
      <c r="A3958" s="103"/>
      <c r="B3958" s="104"/>
      <c r="C3958" s="105"/>
      <c r="K3958" s="1"/>
      <c r="L3958" s="2"/>
    </row>
    <row r="3959" spans="1:12" x14ac:dyDescent="0.2">
      <c r="A3959" s="103"/>
      <c r="B3959" s="104"/>
      <c r="C3959" s="105"/>
      <c r="K3959" s="1"/>
      <c r="L3959" s="2"/>
    </row>
    <row r="3960" spans="1:12" x14ac:dyDescent="0.2">
      <c r="A3960" s="103"/>
      <c r="B3960" s="104"/>
      <c r="C3960" s="105"/>
      <c r="K3960" s="1"/>
      <c r="L3960" s="2"/>
    </row>
    <row r="3961" spans="1:12" x14ac:dyDescent="0.2">
      <c r="A3961" s="103"/>
      <c r="B3961" s="104"/>
      <c r="C3961" s="105"/>
      <c r="K3961" s="1"/>
      <c r="L3961" s="2"/>
    </row>
    <row r="3962" spans="1:12" x14ac:dyDescent="0.2">
      <c r="A3962" s="103"/>
      <c r="B3962" s="104"/>
      <c r="C3962" s="105"/>
      <c r="K3962" s="1"/>
      <c r="L3962" s="2"/>
    </row>
    <row r="3963" spans="1:12" x14ac:dyDescent="0.2">
      <c r="A3963" s="103"/>
      <c r="B3963" s="104"/>
      <c r="C3963" s="105"/>
      <c r="K3963" s="1"/>
      <c r="L3963" s="2"/>
    </row>
    <row r="3964" spans="1:12" x14ac:dyDescent="0.2">
      <c r="A3964" s="103"/>
      <c r="B3964" s="104"/>
      <c r="C3964" s="105"/>
      <c r="K3964" s="1"/>
      <c r="L3964" s="2"/>
    </row>
    <row r="3965" spans="1:12" x14ac:dyDescent="0.2">
      <c r="A3965" s="103"/>
      <c r="B3965" s="104"/>
      <c r="C3965" s="105"/>
      <c r="K3965" s="1"/>
      <c r="L3965" s="2"/>
    </row>
    <row r="3966" spans="1:12" x14ac:dyDescent="0.2">
      <c r="A3966" s="103"/>
      <c r="B3966" s="104"/>
      <c r="C3966" s="105"/>
      <c r="K3966" s="1"/>
      <c r="L3966" s="2"/>
    </row>
    <row r="3967" spans="1:12" x14ac:dyDescent="0.2">
      <c r="A3967" s="103"/>
      <c r="B3967" s="104"/>
      <c r="C3967" s="105"/>
      <c r="K3967" s="1"/>
      <c r="L3967" s="2"/>
    </row>
    <row r="3968" spans="1:12" x14ac:dyDescent="0.2">
      <c r="A3968" s="103"/>
      <c r="B3968" s="104"/>
      <c r="C3968" s="105"/>
      <c r="K3968" s="1"/>
      <c r="L3968" s="2"/>
    </row>
    <row r="3969" spans="1:12" x14ac:dyDescent="0.2">
      <c r="A3969" s="103"/>
      <c r="B3969" s="104"/>
      <c r="C3969" s="105"/>
      <c r="K3969" s="1"/>
      <c r="L3969" s="2"/>
    </row>
    <row r="3970" spans="1:12" x14ac:dyDescent="0.2">
      <c r="A3970" s="103"/>
      <c r="B3970" s="104"/>
      <c r="C3970" s="105"/>
      <c r="K3970" s="1"/>
      <c r="L3970" s="2"/>
    </row>
    <row r="3971" spans="1:12" x14ac:dyDescent="0.2">
      <c r="A3971" s="103"/>
      <c r="B3971" s="104"/>
      <c r="C3971" s="105"/>
      <c r="K3971" s="1"/>
      <c r="L3971" s="2"/>
    </row>
    <row r="3972" spans="1:12" x14ac:dyDescent="0.2">
      <c r="A3972" s="103"/>
      <c r="B3972" s="104"/>
      <c r="C3972" s="105"/>
      <c r="K3972" s="1"/>
      <c r="L3972" s="2"/>
    </row>
    <row r="3973" spans="1:12" x14ac:dyDescent="0.2">
      <c r="A3973" s="103"/>
      <c r="B3973" s="104"/>
      <c r="C3973" s="105"/>
      <c r="K3973" s="1"/>
      <c r="L3973" s="2"/>
    </row>
    <row r="3974" spans="1:12" x14ac:dyDescent="0.2">
      <c r="A3974" s="103"/>
      <c r="B3974" s="104"/>
      <c r="C3974" s="105"/>
      <c r="K3974" s="1"/>
      <c r="L3974" s="2"/>
    </row>
    <row r="3975" spans="1:12" x14ac:dyDescent="0.2">
      <c r="A3975" s="103"/>
      <c r="B3975" s="104"/>
      <c r="C3975" s="105"/>
      <c r="K3975" s="1"/>
      <c r="L3975" s="2"/>
    </row>
    <row r="3976" spans="1:12" x14ac:dyDescent="0.2">
      <c r="A3976" s="103"/>
      <c r="B3976" s="104"/>
      <c r="C3976" s="105"/>
      <c r="K3976" s="1"/>
      <c r="L3976" s="2"/>
    </row>
    <row r="3977" spans="1:12" x14ac:dyDescent="0.2">
      <c r="A3977" s="103"/>
      <c r="B3977" s="104"/>
      <c r="C3977" s="105"/>
      <c r="K3977" s="1"/>
      <c r="L3977" s="2"/>
    </row>
    <row r="3978" spans="1:12" x14ac:dyDescent="0.2">
      <c r="A3978" s="103"/>
      <c r="B3978" s="104"/>
      <c r="C3978" s="105"/>
      <c r="K3978" s="1"/>
      <c r="L3978" s="2"/>
    </row>
    <row r="3979" spans="1:12" x14ac:dyDescent="0.2">
      <c r="A3979" s="103"/>
      <c r="B3979" s="104"/>
      <c r="C3979" s="105"/>
      <c r="K3979" s="1"/>
      <c r="L3979" s="2"/>
    </row>
    <row r="3980" spans="1:12" x14ac:dyDescent="0.2">
      <c r="A3980" s="103"/>
      <c r="B3980" s="104"/>
      <c r="C3980" s="105"/>
      <c r="K3980" s="1"/>
      <c r="L3980" s="2"/>
    </row>
    <row r="3981" spans="1:12" x14ac:dyDescent="0.2">
      <c r="A3981" s="103"/>
      <c r="B3981" s="104"/>
      <c r="C3981" s="105"/>
      <c r="K3981" s="1"/>
      <c r="L3981" s="2"/>
    </row>
    <row r="3982" spans="1:12" x14ac:dyDescent="0.2">
      <c r="A3982" s="103"/>
      <c r="B3982" s="104"/>
      <c r="C3982" s="105"/>
      <c r="K3982" s="1"/>
      <c r="L3982" s="2"/>
    </row>
    <row r="3983" spans="1:12" x14ac:dyDescent="0.2">
      <c r="A3983" s="103"/>
      <c r="B3983" s="104"/>
      <c r="C3983" s="105"/>
      <c r="K3983" s="1"/>
      <c r="L3983" s="2"/>
    </row>
    <row r="3984" spans="1:12" x14ac:dyDescent="0.2">
      <c r="A3984" s="103"/>
      <c r="B3984" s="104"/>
      <c r="C3984" s="105"/>
      <c r="K3984" s="1"/>
      <c r="L3984" s="2"/>
    </row>
    <row r="3985" spans="1:12" x14ac:dyDescent="0.2">
      <c r="A3985" s="103"/>
      <c r="B3985" s="104"/>
      <c r="C3985" s="105"/>
      <c r="K3985" s="1"/>
      <c r="L3985" s="2"/>
    </row>
    <row r="3986" spans="1:12" x14ac:dyDescent="0.2">
      <c r="A3986" s="103"/>
      <c r="B3986" s="104"/>
      <c r="C3986" s="105"/>
      <c r="K3986" s="1"/>
      <c r="L3986" s="2"/>
    </row>
    <row r="3987" spans="1:12" x14ac:dyDescent="0.2">
      <c r="A3987" s="103"/>
      <c r="B3987" s="104"/>
      <c r="C3987" s="105"/>
      <c r="K3987" s="1"/>
      <c r="L3987" s="2"/>
    </row>
    <row r="3988" spans="1:12" x14ac:dyDescent="0.2">
      <c r="A3988" s="103"/>
      <c r="B3988" s="104"/>
      <c r="C3988" s="105"/>
      <c r="K3988" s="1"/>
      <c r="L3988" s="2"/>
    </row>
    <row r="3989" spans="1:12" x14ac:dyDescent="0.2">
      <c r="A3989" s="103"/>
      <c r="B3989" s="104"/>
      <c r="C3989" s="105"/>
      <c r="K3989" s="1"/>
      <c r="L3989" s="2"/>
    </row>
    <row r="3990" spans="1:12" x14ac:dyDescent="0.2">
      <c r="A3990" s="103"/>
      <c r="B3990" s="104"/>
      <c r="C3990" s="105"/>
      <c r="K3990" s="1"/>
      <c r="L3990" s="2"/>
    </row>
    <row r="3991" spans="1:12" x14ac:dyDescent="0.2">
      <c r="A3991" s="103"/>
      <c r="B3991" s="104"/>
      <c r="C3991" s="105"/>
      <c r="K3991" s="1"/>
      <c r="L3991" s="2"/>
    </row>
    <row r="3992" spans="1:12" x14ac:dyDescent="0.2">
      <c r="A3992" s="103"/>
      <c r="B3992" s="104"/>
      <c r="C3992" s="105"/>
      <c r="K3992" s="1"/>
      <c r="L3992" s="2"/>
    </row>
    <row r="3993" spans="1:12" x14ac:dyDescent="0.2">
      <c r="A3993" s="103"/>
      <c r="B3993" s="104"/>
      <c r="C3993" s="105"/>
      <c r="K3993" s="1"/>
      <c r="L3993" s="2"/>
    </row>
    <row r="3994" spans="1:12" x14ac:dyDescent="0.2">
      <c r="A3994" s="103"/>
      <c r="B3994" s="104"/>
      <c r="C3994" s="105"/>
      <c r="K3994" s="1"/>
      <c r="L3994" s="2"/>
    </row>
    <row r="3995" spans="1:12" x14ac:dyDescent="0.2">
      <c r="A3995" s="103"/>
      <c r="B3995" s="104"/>
      <c r="C3995" s="105"/>
      <c r="K3995" s="1"/>
      <c r="L3995" s="2"/>
    </row>
    <row r="3996" spans="1:12" x14ac:dyDescent="0.2">
      <c r="A3996" s="103"/>
      <c r="B3996" s="104"/>
      <c r="C3996" s="105"/>
      <c r="K3996" s="1"/>
      <c r="L3996" s="2"/>
    </row>
    <row r="3997" spans="1:12" x14ac:dyDescent="0.2">
      <c r="A3997" s="103"/>
      <c r="B3997" s="104"/>
      <c r="C3997" s="105"/>
      <c r="K3997" s="1"/>
      <c r="L3997" s="2"/>
    </row>
    <row r="3998" spans="1:12" x14ac:dyDescent="0.2">
      <c r="A3998" s="103"/>
      <c r="B3998" s="104"/>
      <c r="C3998" s="105"/>
      <c r="K3998" s="1"/>
      <c r="L3998" s="2"/>
    </row>
    <row r="3999" spans="1:12" x14ac:dyDescent="0.2">
      <c r="A3999" s="103"/>
      <c r="B3999" s="104"/>
      <c r="C3999" s="105"/>
      <c r="K3999" s="1"/>
      <c r="L3999" s="2"/>
    </row>
    <row r="4000" spans="1:12" x14ac:dyDescent="0.2">
      <c r="A4000" s="103"/>
      <c r="B4000" s="104"/>
      <c r="C4000" s="105"/>
      <c r="K4000" s="1"/>
      <c r="L4000" s="2"/>
    </row>
    <row r="4001" spans="1:12" x14ac:dyDescent="0.2">
      <c r="A4001" s="103"/>
      <c r="B4001" s="104"/>
      <c r="C4001" s="105"/>
      <c r="K4001" s="1"/>
      <c r="L4001" s="2"/>
    </row>
    <row r="4002" spans="1:12" x14ac:dyDescent="0.2">
      <c r="A4002" s="103"/>
      <c r="B4002" s="104"/>
      <c r="C4002" s="105"/>
      <c r="K4002" s="1"/>
      <c r="L4002" s="2"/>
    </row>
    <row r="4003" spans="1:12" x14ac:dyDescent="0.2">
      <c r="A4003" s="103"/>
      <c r="B4003" s="104"/>
      <c r="C4003" s="105"/>
      <c r="K4003" s="1"/>
      <c r="L4003" s="2"/>
    </row>
    <row r="4004" spans="1:12" x14ac:dyDescent="0.2">
      <c r="A4004" s="103"/>
      <c r="B4004" s="104"/>
      <c r="C4004" s="105"/>
      <c r="K4004" s="1"/>
      <c r="L4004" s="2"/>
    </row>
    <row r="4005" spans="1:12" x14ac:dyDescent="0.2">
      <c r="A4005" s="103"/>
      <c r="B4005" s="104"/>
      <c r="C4005" s="105"/>
      <c r="K4005" s="1"/>
      <c r="L4005" s="2"/>
    </row>
    <row r="4006" spans="1:12" x14ac:dyDescent="0.2">
      <c r="A4006" s="103"/>
      <c r="B4006" s="104"/>
      <c r="C4006" s="105"/>
      <c r="K4006" s="1"/>
      <c r="L4006" s="2"/>
    </row>
    <row r="4007" spans="1:12" x14ac:dyDescent="0.2">
      <c r="A4007" s="103"/>
      <c r="B4007" s="104"/>
      <c r="C4007" s="105"/>
      <c r="K4007" s="1"/>
      <c r="L4007" s="2"/>
    </row>
    <row r="4008" spans="1:12" x14ac:dyDescent="0.2">
      <c r="A4008" s="103"/>
      <c r="B4008" s="104"/>
      <c r="C4008" s="105"/>
      <c r="K4008" s="1"/>
      <c r="L4008" s="2"/>
    </row>
    <row r="4009" spans="1:12" x14ac:dyDescent="0.2">
      <c r="A4009" s="103"/>
      <c r="B4009" s="104"/>
      <c r="C4009" s="105"/>
      <c r="K4009" s="1"/>
      <c r="L4009" s="2"/>
    </row>
    <row r="4010" spans="1:12" x14ac:dyDescent="0.2">
      <c r="A4010" s="103"/>
      <c r="B4010" s="104"/>
      <c r="C4010" s="105"/>
      <c r="K4010" s="1"/>
      <c r="L4010" s="2"/>
    </row>
    <row r="4011" spans="1:12" x14ac:dyDescent="0.2">
      <c r="A4011" s="103"/>
      <c r="B4011" s="104"/>
      <c r="C4011" s="105"/>
      <c r="K4011" s="1"/>
      <c r="L4011" s="2"/>
    </row>
    <row r="4012" spans="1:12" x14ac:dyDescent="0.2">
      <c r="A4012" s="103"/>
      <c r="B4012" s="104"/>
      <c r="C4012" s="105"/>
      <c r="K4012" s="1"/>
      <c r="L4012" s="2"/>
    </row>
    <row r="4013" spans="1:12" x14ac:dyDescent="0.2">
      <c r="A4013" s="103"/>
      <c r="B4013" s="104"/>
      <c r="C4013" s="105"/>
      <c r="K4013" s="1"/>
      <c r="L4013" s="2"/>
    </row>
    <row r="4014" spans="1:12" x14ac:dyDescent="0.2">
      <c r="A4014" s="103"/>
      <c r="B4014" s="104"/>
      <c r="C4014" s="105"/>
      <c r="K4014" s="1"/>
      <c r="L4014" s="2"/>
    </row>
    <row r="4015" spans="1:12" x14ac:dyDescent="0.2">
      <c r="A4015" s="103"/>
      <c r="B4015" s="104"/>
      <c r="C4015" s="105"/>
      <c r="K4015" s="1"/>
      <c r="L4015" s="2"/>
    </row>
    <row r="4016" spans="1:12" x14ac:dyDescent="0.2">
      <c r="A4016" s="103"/>
      <c r="B4016" s="104"/>
      <c r="C4016" s="105"/>
      <c r="K4016" s="1"/>
      <c r="L4016" s="2"/>
    </row>
    <row r="4017" spans="1:12" x14ac:dyDescent="0.2">
      <c r="A4017" s="103"/>
      <c r="B4017" s="104"/>
      <c r="C4017" s="105"/>
      <c r="K4017" s="1"/>
      <c r="L4017" s="2"/>
    </row>
    <row r="4018" spans="1:12" x14ac:dyDescent="0.2">
      <c r="A4018" s="103"/>
      <c r="B4018" s="104"/>
      <c r="C4018" s="105"/>
      <c r="K4018" s="1"/>
      <c r="L4018" s="2"/>
    </row>
    <row r="4019" spans="1:12" x14ac:dyDescent="0.2">
      <c r="A4019" s="103"/>
      <c r="B4019" s="104"/>
      <c r="C4019" s="105"/>
      <c r="K4019" s="1"/>
      <c r="L4019" s="2"/>
    </row>
    <row r="4020" spans="1:12" x14ac:dyDescent="0.2">
      <c r="A4020" s="103"/>
      <c r="B4020" s="104"/>
      <c r="C4020" s="105"/>
      <c r="K4020" s="1"/>
      <c r="L4020" s="2"/>
    </row>
    <row r="4021" spans="1:12" x14ac:dyDescent="0.2">
      <c r="A4021" s="103"/>
      <c r="B4021" s="104"/>
      <c r="C4021" s="105"/>
      <c r="K4021" s="1"/>
      <c r="L4021" s="2"/>
    </row>
    <row r="4022" spans="1:12" x14ac:dyDescent="0.2">
      <c r="A4022" s="103"/>
      <c r="B4022" s="104"/>
      <c r="C4022" s="105"/>
      <c r="K4022" s="1"/>
      <c r="L4022" s="2"/>
    </row>
    <row r="4023" spans="1:12" x14ac:dyDescent="0.2">
      <c r="A4023" s="103"/>
      <c r="B4023" s="104"/>
      <c r="C4023" s="105"/>
      <c r="K4023" s="1"/>
      <c r="L4023" s="2"/>
    </row>
    <row r="4024" spans="1:12" x14ac:dyDescent="0.2">
      <c r="A4024" s="103"/>
      <c r="B4024" s="104"/>
      <c r="C4024" s="105"/>
      <c r="K4024" s="1"/>
      <c r="L4024" s="2"/>
    </row>
    <row r="4025" spans="1:12" x14ac:dyDescent="0.2">
      <c r="A4025" s="103"/>
      <c r="B4025" s="104"/>
      <c r="C4025" s="105"/>
      <c r="K4025" s="1"/>
      <c r="L4025" s="2"/>
    </row>
    <row r="4026" spans="1:12" x14ac:dyDescent="0.2">
      <c r="A4026" s="103"/>
      <c r="B4026" s="104"/>
      <c r="C4026" s="105"/>
      <c r="K4026" s="1"/>
      <c r="L4026" s="2"/>
    </row>
    <row r="4027" spans="1:12" x14ac:dyDescent="0.2">
      <c r="A4027" s="103"/>
      <c r="B4027" s="104"/>
      <c r="C4027" s="105"/>
      <c r="K4027" s="1"/>
      <c r="L4027" s="2"/>
    </row>
    <row r="4028" spans="1:12" x14ac:dyDescent="0.2">
      <c r="A4028" s="103"/>
      <c r="B4028" s="104"/>
      <c r="C4028" s="105"/>
      <c r="K4028" s="1"/>
      <c r="L4028" s="2"/>
    </row>
    <row r="4029" spans="1:12" x14ac:dyDescent="0.2">
      <c r="A4029" s="103"/>
      <c r="B4029" s="104"/>
      <c r="C4029" s="105"/>
      <c r="K4029" s="1"/>
      <c r="L4029" s="2"/>
    </row>
    <row r="4030" spans="1:12" x14ac:dyDescent="0.2">
      <c r="A4030" s="103"/>
      <c r="B4030" s="104"/>
      <c r="C4030" s="105"/>
      <c r="K4030" s="1"/>
      <c r="L4030" s="2"/>
    </row>
    <row r="4031" spans="1:12" x14ac:dyDescent="0.2">
      <c r="A4031" s="103"/>
      <c r="B4031" s="104"/>
      <c r="C4031" s="105"/>
      <c r="K4031" s="1"/>
      <c r="L4031" s="2"/>
    </row>
    <row r="4032" spans="1:12" x14ac:dyDescent="0.2">
      <c r="A4032" s="103"/>
      <c r="B4032" s="104"/>
      <c r="C4032" s="105"/>
      <c r="K4032" s="1"/>
      <c r="L4032" s="2"/>
    </row>
    <row r="4033" spans="1:12" x14ac:dyDescent="0.2">
      <c r="A4033" s="103"/>
      <c r="B4033" s="104"/>
      <c r="C4033" s="105"/>
      <c r="K4033" s="1"/>
      <c r="L4033" s="2"/>
    </row>
    <row r="4034" spans="1:12" x14ac:dyDescent="0.2">
      <c r="A4034" s="103"/>
      <c r="B4034" s="104"/>
      <c r="C4034" s="105"/>
      <c r="K4034" s="1"/>
      <c r="L4034" s="2"/>
    </row>
    <row r="4035" spans="1:12" x14ac:dyDescent="0.2">
      <c r="A4035" s="103"/>
      <c r="B4035" s="104"/>
      <c r="C4035" s="105"/>
      <c r="K4035" s="1"/>
      <c r="L4035" s="2"/>
    </row>
    <row r="4036" spans="1:12" x14ac:dyDescent="0.2">
      <c r="A4036" s="103"/>
      <c r="B4036" s="104"/>
      <c r="C4036" s="105"/>
      <c r="K4036" s="1"/>
      <c r="L4036" s="2"/>
    </row>
    <row r="4037" spans="1:12" x14ac:dyDescent="0.2">
      <c r="A4037" s="103"/>
      <c r="B4037" s="104"/>
      <c r="C4037" s="105"/>
      <c r="K4037" s="1"/>
      <c r="L4037" s="2"/>
    </row>
    <row r="4038" spans="1:12" x14ac:dyDescent="0.2">
      <c r="A4038" s="103"/>
      <c r="B4038" s="104"/>
      <c r="C4038" s="105"/>
      <c r="K4038" s="1"/>
      <c r="L4038" s="2"/>
    </row>
    <row r="4039" spans="1:12" x14ac:dyDescent="0.2">
      <c r="A4039" s="103"/>
      <c r="B4039" s="104"/>
      <c r="C4039" s="105"/>
      <c r="K4039" s="1"/>
      <c r="L4039" s="2"/>
    </row>
    <row r="4040" spans="1:12" x14ac:dyDescent="0.2">
      <c r="A4040" s="103"/>
      <c r="B4040" s="104"/>
      <c r="C4040" s="105"/>
      <c r="K4040" s="1"/>
      <c r="L4040" s="2"/>
    </row>
    <row r="4041" spans="1:12" x14ac:dyDescent="0.2">
      <c r="A4041" s="103"/>
      <c r="B4041" s="104"/>
      <c r="C4041" s="105"/>
      <c r="K4041" s="1"/>
      <c r="L4041" s="2"/>
    </row>
    <row r="4042" spans="1:12" x14ac:dyDescent="0.2">
      <c r="A4042" s="103"/>
      <c r="B4042" s="104"/>
      <c r="C4042" s="105"/>
      <c r="K4042" s="1"/>
      <c r="L4042" s="2"/>
    </row>
    <row r="4043" spans="1:12" x14ac:dyDescent="0.2">
      <c r="A4043" s="103"/>
      <c r="B4043" s="104"/>
      <c r="C4043" s="105"/>
      <c r="K4043" s="1"/>
      <c r="L4043" s="2"/>
    </row>
    <row r="4044" spans="1:12" x14ac:dyDescent="0.2">
      <c r="A4044" s="103"/>
      <c r="B4044" s="104"/>
      <c r="C4044" s="105"/>
      <c r="K4044" s="1"/>
      <c r="L4044" s="2"/>
    </row>
    <row r="4045" spans="1:12" x14ac:dyDescent="0.2">
      <c r="A4045" s="103"/>
      <c r="B4045" s="104"/>
      <c r="C4045" s="105"/>
      <c r="K4045" s="1"/>
      <c r="L4045" s="2"/>
    </row>
    <row r="4046" spans="1:12" x14ac:dyDescent="0.2">
      <c r="A4046" s="103"/>
      <c r="B4046" s="104"/>
      <c r="C4046" s="105"/>
      <c r="K4046" s="1"/>
      <c r="L4046" s="2"/>
    </row>
    <row r="4047" spans="1:12" x14ac:dyDescent="0.2">
      <c r="A4047" s="103"/>
      <c r="B4047" s="104"/>
      <c r="C4047" s="105"/>
      <c r="K4047" s="1"/>
      <c r="L4047" s="2"/>
    </row>
    <row r="4048" spans="1:12" x14ac:dyDescent="0.2">
      <c r="A4048" s="103"/>
      <c r="B4048" s="104"/>
      <c r="C4048" s="105"/>
      <c r="K4048" s="1"/>
      <c r="L4048" s="2"/>
    </row>
    <row r="4049" spans="1:12" x14ac:dyDescent="0.2">
      <c r="A4049" s="103"/>
      <c r="B4049" s="104"/>
      <c r="C4049" s="105"/>
      <c r="K4049" s="1"/>
      <c r="L4049" s="2"/>
    </row>
    <row r="4050" spans="1:12" x14ac:dyDescent="0.2">
      <c r="A4050" s="103"/>
      <c r="B4050" s="104"/>
      <c r="C4050" s="105"/>
      <c r="K4050" s="1"/>
      <c r="L4050" s="2"/>
    </row>
    <row r="4051" spans="1:12" x14ac:dyDescent="0.2">
      <c r="A4051" s="103"/>
      <c r="B4051" s="104"/>
      <c r="C4051" s="105"/>
      <c r="K4051" s="1"/>
      <c r="L4051" s="2"/>
    </row>
    <row r="4052" spans="1:12" x14ac:dyDescent="0.2">
      <c r="A4052" s="103"/>
      <c r="B4052" s="104"/>
      <c r="C4052" s="105"/>
      <c r="K4052" s="1"/>
      <c r="L4052" s="2"/>
    </row>
    <row r="4053" spans="1:12" x14ac:dyDescent="0.2">
      <c r="A4053" s="103"/>
      <c r="B4053" s="104"/>
      <c r="C4053" s="105"/>
      <c r="K4053" s="1"/>
      <c r="L4053" s="2"/>
    </row>
    <row r="4054" spans="1:12" x14ac:dyDescent="0.2">
      <c r="A4054" s="103"/>
      <c r="B4054" s="104"/>
      <c r="C4054" s="105"/>
      <c r="K4054" s="1"/>
      <c r="L4054" s="2"/>
    </row>
    <row r="4055" spans="1:12" x14ac:dyDescent="0.2">
      <c r="A4055" s="103"/>
      <c r="B4055" s="104"/>
      <c r="C4055" s="105"/>
      <c r="K4055" s="1"/>
      <c r="L4055" s="2"/>
    </row>
    <row r="4056" spans="1:12" x14ac:dyDescent="0.2">
      <c r="A4056" s="103"/>
      <c r="B4056" s="104"/>
      <c r="C4056" s="105"/>
      <c r="K4056" s="1"/>
      <c r="L4056" s="2"/>
    </row>
    <row r="4057" spans="1:12" x14ac:dyDescent="0.2">
      <c r="A4057" s="103"/>
      <c r="B4057" s="104"/>
      <c r="C4057" s="105"/>
      <c r="K4057" s="1"/>
      <c r="L4057" s="2"/>
    </row>
    <row r="4058" spans="1:12" x14ac:dyDescent="0.2">
      <c r="A4058" s="103"/>
      <c r="B4058" s="104"/>
      <c r="C4058" s="105"/>
      <c r="K4058" s="1"/>
      <c r="L4058" s="2"/>
    </row>
    <row r="4059" spans="1:12" x14ac:dyDescent="0.2">
      <c r="A4059" s="103"/>
      <c r="B4059" s="104"/>
      <c r="C4059" s="105"/>
      <c r="K4059" s="1"/>
      <c r="L4059" s="2"/>
    </row>
    <row r="4060" spans="1:12" x14ac:dyDescent="0.2">
      <c r="A4060" s="103"/>
      <c r="B4060" s="104"/>
      <c r="C4060" s="105"/>
      <c r="K4060" s="1"/>
      <c r="L4060" s="2"/>
    </row>
    <row r="4061" spans="1:12" x14ac:dyDescent="0.2">
      <c r="A4061" s="103"/>
      <c r="B4061" s="104"/>
      <c r="C4061" s="105"/>
      <c r="K4061" s="1"/>
      <c r="L4061" s="2"/>
    </row>
    <row r="4062" spans="1:12" x14ac:dyDescent="0.2">
      <c r="A4062" s="103"/>
      <c r="B4062" s="104"/>
      <c r="C4062" s="105"/>
      <c r="K4062" s="1"/>
      <c r="L4062" s="2"/>
    </row>
    <row r="4063" spans="1:12" x14ac:dyDescent="0.2">
      <c r="A4063" s="103"/>
      <c r="B4063" s="104"/>
      <c r="C4063" s="105"/>
      <c r="K4063" s="1"/>
      <c r="L4063" s="2"/>
    </row>
    <row r="4064" spans="1:12" x14ac:dyDescent="0.2">
      <c r="A4064" s="103"/>
      <c r="B4064" s="104"/>
      <c r="C4064" s="105"/>
      <c r="K4064" s="1"/>
      <c r="L4064" s="2"/>
    </row>
    <row r="4065" spans="1:12" x14ac:dyDescent="0.2">
      <c r="A4065" s="103"/>
      <c r="B4065" s="104"/>
      <c r="C4065" s="105"/>
      <c r="K4065" s="1"/>
      <c r="L4065" s="2"/>
    </row>
    <row r="4066" spans="1:12" x14ac:dyDescent="0.2">
      <c r="A4066" s="103"/>
      <c r="B4066" s="104"/>
      <c r="C4066" s="105"/>
      <c r="K4066" s="1"/>
      <c r="L4066" s="2"/>
    </row>
    <row r="4067" spans="1:12" x14ac:dyDescent="0.2">
      <c r="A4067" s="103"/>
      <c r="B4067" s="104"/>
      <c r="C4067" s="105"/>
      <c r="K4067" s="1"/>
      <c r="L4067" s="2"/>
    </row>
    <row r="4068" spans="1:12" x14ac:dyDescent="0.2">
      <c r="A4068" s="103"/>
      <c r="B4068" s="104"/>
      <c r="C4068" s="105"/>
      <c r="K4068" s="1"/>
      <c r="L4068" s="2"/>
    </row>
    <row r="4069" spans="1:12" x14ac:dyDescent="0.2">
      <c r="A4069" s="103"/>
      <c r="B4069" s="104"/>
      <c r="C4069" s="105"/>
      <c r="K4069" s="1"/>
      <c r="L4069" s="2"/>
    </row>
    <row r="4070" spans="1:12" x14ac:dyDescent="0.2">
      <c r="A4070" s="103"/>
      <c r="B4070" s="104"/>
      <c r="C4070" s="105"/>
      <c r="K4070" s="1"/>
      <c r="L4070" s="2"/>
    </row>
    <row r="4071" spans="1:12" x14ac:dyDescent="0.2">
      <c r="A4071" s="103"/>
      <c r="B4071" s="104"/>
      <c r="C4071" s="105"/>
      <c r="K4071" s="1"/>
      <c r="L4071" s="2"/>
    </row>
    <row r="4072" spans="1:12" x14ac:dyDescent="0.2">
      <c r="A4072" s="103"/>
      <c r="B4072" s="104"/>
      <c r="C4072" s="105"/>
      <c r="K4072" s="1"/>
      <c r="L4072" s="2"/>
    </row>
    <row r="4073" spans="1:12" x14ac:dyDescent="0.2">
      <c r="A4073" s="103"/>
      <c r="B4073" s="104"/>
      <c r="C4073" s="105"/>
      <c r="K4073" s="1"/>
      <c r="L4073" s="2"/>
    </row>
    <row r="4074" spans="1:12" x14ac:dyDescent="0.2">
      <c r="A4074" s="103"/>
      <c r="B4074" s="104"/>
      <c r="C4074" s="105"/>
      <c r="K4074" s="1"/>
      <c r="L4074" s="2"/>
    </row>
    <row r="4075" spans="1:12" x14ac:dyDescent="0.2">
      <c r="A4075" s="103"/>
      <c r="B4075" s="104"/>
      <c r="C4075" s="105"/>
      <c r="K4075" s="1"/>
      <c r="L4075" s="2"/>
    </row>
    <row r="4076" spans="1:12" x14ac:dyDescent="0.2">
      <c r="A4076" s="103"/>
      <c r="B4076" s="104"/>
      <c r="C4076" s="105"/>
      <c r="K4076" s="1"/>
      <c r="L4076" s="2"/>
    </row>
    <row r="4077" spans="1:12" x14ac:dyDescent="0.2">
      <c r="A4077" s="103"/>
      <c r="B4077" s="104"/>
      <c r="C4077" s="105"/>
      <c r="K4077" s="1"/>
      <c r="L4077" s="2"/>
    </row>
    <row r="4078" spans="1:12" x14ac:dyDescent="0.2">
      <c r="A4078" s="103"/>
      <c r="B4078" s="104"/>
      <c r="C4078" s="105"/>
      <c r="K4078" s="1"/>
      <c r="L4078" s="2"/>
    </row>
    <row r="4079" spans="1:12" x14ac:dyDescent="0.2">
      <c r="A4079" s="103"/>
      <c r="B4079" s="104"/>
      <c r="C4079" s="105"/>
      <c r="K4079" s="1"/>
      <c r="L4079" s="2"/>
    </row>
    <row r="4080" spans="1:12" x14ac:dyDescent="0.2">
      <c r="A4080" s="103"/>
      <c r="B4080" s="104"/>
      <c r="C4080" s="105"/>
      <c r="K4080" s="1"/>
      <c r="L4080" s="2"/>
    </row>
    <row r="4081" spans="1:12" x14ac:dyDescent="0.2">
      <c r="A4081" s="103"/>
      <c r="B4081" s="104"/>
      <c r="C4081" s="105"/>
      <c r="K4081" s="1"/>
      <c r="L4081" s="2"/>
    </row>
    <row r="4082" spans="1:12" x14ac:dyDescent="0.2">
      <c r="A4082" s="103"/>
      <c r="B4082" s="104"/>
      <c r="C4082" s="105"/>
      <c r="K4082" s="1"/>
      <c r="L4082" s="2"/>
    </row>
    <row r="4083" spans="1:12" x14ac:dyDescent="0.2">
      <c r="A4083" s="103"/>
      <c r="B4083" s="104"/>
      <c r="C4083" s="105"/>
      <c r="K4083" s="1"/>
      <c r="L4083" s="2"/>
    </row>
    <row r="4084" spans="1:12" x14ac:dyDescent="0.2">
      <c r="A4084" s="103"/>
      <c r="B4084" s="104"/>
      <c r="C4084" s="105"/>
      <c r="K4084" s="1"/>
      <c r="L4084" s="2"/>
    </row>
    <row r="4085" spans="1:12" x14ac:dyDescent="0.2">
      <c r="A4085" s="103"/>
      <c r="B4085" s="104"/>
      <c r="C4085" s="105"/>
      <c r="K4085" s="1"/>
      <c r="L4085" s="2"/>
    </row>
    <row r="4086" spans="1:12" x14ac:dyDescent="0.2">
      <c r="A4086" s="103"/>
      <c r="B4086" s="104"/>
      <c r="C4086" s="105"/>
      <c r="K4086" s="1"/>
      <c r="L4086" s="2"/>
    </row>
    <row r="4087" spans="1:12" x14ac:dyDescent="0.2">
      <c r="A4087" s="103"/>
      <c r="B4087" s="104"/>
      <c r="C4087" s="105"/>
      <c r="K4087" s="1"/>
      <c r="L4087" s="2"/>
    </row>
    <row r="4088" spans="1:12" x14ac:dyDescent="0.2">
      <c r="A4088" s="103"/>
      <c r="B4088" s="104"/>
      <c r="C4088" s="105"/>
      <c r="K4088" s="1"/>
      <c r="L4088" s="2"/>
    </row>
    <row r="4089" spans="1:12" x14ac:dyDescent="0.2">
      <c r="A4089" s="103"/>
      <c r="B4089" s="104"/>
      <c r="C4089" s="105"/>
      <c r="K4089" s="1"/>
      <c r="L4089" s="2"/>
    </row>
    <row r="4090" spans="1:12" x14ac:dyDescent="0.2">
      <c r="A4090" s="103"/>
      <c r="B4090" s="104"/>
      <c r="C4090" s="105"/>
      <c r="K4090" s="1"/>
      <c r="L4090" s="2"/>
    </row>
    <row r="4091" spans="1:12" x14ac:dyDescent="0.2">
      <c r="A4091" s="103"/>
      <c r="B4091" s="104"/>
      <c r="C4091" s="105"/>
      <c r="K4091" s="1"/>
      <c r="L4091" s="2"/>
    </row>
    <row r="4092" spans="1:12" x14ac:dyDescent="0.2">
      <c r="A4092" s="103"/>
      <c r="B4092" s="104"/>
      <c r="C4092" s="105"/>
      <c r="K4092" s="1"/>
      <c r="L4092" s="2"/>
    </row>
    <row r="4093" spans="1:12" x14ac:dyDescent="0.2">
      <c r="A4093" s="103"/>
      <c r="B4093" s="104"/>
      <c r="C4093" s="105"/>
      <c r="K4093" s="1"/>
      <c r="L4093" s="2"/>
    </row>
    <row r="4094" spans="1:12" x14ac:dyDescent="0.2">
      <c r="A4094" s="103"/>
      <c r="B4094" s="104"/>
      <c r="C4094" s="105"/>
      <c r="K4094" s="1"/>
      <c r="L4094" s="2"/>
    </row>
    <row r="4095" spans="1:12" x14ac:dyDescent="0.2">
      <c r="A4095" s="103"/>
      <c r="B4095" s="104"/>
      <c r="C4095" s="105"/>
      <c r="K4095" s="1"/>
      <c r="L4095" s="2"/>
    </row>
    <row r="4096" spans="1:12" x14ac:dyDescent="0.2">
      <c r="A4096" s="103"/>
      <c r="B4096" s="104"/>
      <c r="C4096" s="105"/>
      <c r="K4096" s="1"/>
      <c r="L4096" s="2"/>
    </row>
    <row r="4097" spans="1:12" x14ac:dyDescent="0.2">
      <c r="A4097" s="103"/>
      <c r="B4097" s="104"/>
      <c r="C4097" s="105"/>
      <c r="K4097" s="1"/>
      <c r="L4097" s="2"/>
    </row>
    <row r="4098" spans="1:12" x14ac:dyDescent="0.2">
      <c r="A4098" s="103"/>
      <c r="B4098" s="104"/>
      <c r="C4098" s="105"/>
      <c r="K4098" s="1"/>
      <c r="L4098" s="2"/>
    </row>
    <row r="4099" spans="1:12" x14ac:dyDescent="0.2">
      <c r="A4099" s="103"/>
      <c r="B4099" s="104"/>
      <c r="C4099" s="105"/>
      <c r="K4099" s="1"/>
      <c r="L4099" s="2"/>
    </row>
    <row r="4100" spans="1:12" x14ac:dyDescent="0.2">
      <c r="A4100" s="103"/>
      <c r="B4100" s="104"/>
      <c r="C4100" s="105"/>
      <c r="K4100" s="1"/>
      <c r="L4100" s="2"/>
    </row>
    <row r="4101" spans="1:12" x14ac:dyDescent="0.2">
      <c r="A4101" s="103"/>
      <c r="B4101" s="104"/>
      <c r="C4101" s="105"/>
      <c r="K4101" s="1"/>
      <c r="L4101" s="2"/>
    </row>
    <row r="4102" spans="1:12" x14ac:dyDescent="0.2">
      <c r="A4102" s="103"/>
      <c r="B4102" s="104"/>
      <c r="C4102" s="105"/>
      <c r="K4102" s="1"/>
      <c r="L4102" s="2"/>
    </row>
    <row r="4103" spans="1:12" x14ac:dyDescent="0.2">
      <c r="A4103" s="103"/>
      <c r="B4103" s="104"/>
      <c r="C4103" s="105"/>
      <c r="K4103" s="1"/>
      <c r="L4103" s="2"/>
    </row>
    <row r="4104" spans="1:12" x14ac:dyDescent="0.2">
      <c r="A4104" s="103"/>
      <c r="B4104" s="104"/>
      <c r="C4104" s="105"/>
      <c r="K4104" s="1"/>
      <c r="L4104" s="2"/>
    </row>
    <row r="4105" spans="1:12" x14ac:dyDescent="0.2">
      <c r="A4105" s="103"/>
      <c r="B4105" s="104"/>
      <c r="C4105" s="105"/>
      <c r="K4105" s="1"/>
      <c r="L4105" s="2"/>
    </row>
    <row r="4106" spans="1:12" x14ac:dyDescent="0.2">
      <c r="A4106" s="103"/>
      <c r="B4106" s="104"/>
      <c r="C4106" s="105"/>
      <c r="K4106" s="1"/>
      <c r="L4106" s="2"/>
    </row>
    <row r="4107" spans="1:12" x14ac:dyDescent="0.2">
      <c r="A4107" s="103"/>
      <c r="B4107" s="104"/>
      <c r="C4107" s="105"/>
      <c r="K4107" s="1"/>
      <c r="L4107" s="2"/>
    </row>
    <row r="4108" spans="1:12" x14ac:dyDescent="0.2">
      <c r="A4108" s="103"/>
      <c r="B4108" s="104"/>
      <c r="C4108" s="105"/>
      <c r="K4108" s="1"/>
      <c r="L4108" s="2"/>
    </row>
    <row r="4109" spans="1:12" x14ac:dyDescent="0.2">
      <c r="A4109" s="103"/>
      <c r="B4109" s="104"/>
      <c r="C4109" s="105"/>
      <c r="K4109" s="1"/>
      <c r="L4109" s="2"/>
    </row>
    <row r="4110" spans="1:12" x14ac:dyDescent="0.2">
      <c r="A4110" s="103"/>
      <c r="B4110" s="104"/>
      <c r="C4110" s="105"/>
      <c r="K4110" s="1"/>
      <c r="L4110" s="2"/>
    </row>
    <row r="4111" spans="1:12" x14ac:dyDescent="0.2">
      <c r="A4111" s="103"/>
      <c r="B4111" s="104"/>
      <c r="C4111" s="105"/>
      <c r="K4111" s="1"/>
      <c r="L4111" s="2"/>
    </row>
    <row r="4112" spans="1:12" x14ac:dyDescent="0.2">
      <c r="A4112" s="103"/>
      <c r="B4112" s="104"/>
      <c r="C4112" s="105"/>
      <c r="K4112" s="1"/>
      <c r="L4112" s="2"/>
    </row>
    <row r="4113" spans="1:12" x14ac:dyDescent="0.2">
      <c r="A4113" s="103"/>
      <c r="B4113" s="104"/>
      <c r="C4113" s="105"/>
      <c r="K4113" s="1"/>
      <c r="L4113" s="2"/>
    </row>
    <row r="4114" spans="1:12" x14ac:dyDescent="0.2">
      <c r="A4114" s="103"/>
      <c r="B4114" s="104"/>
      <c r="C4114" s="105"/>
      <c r="K4114" s="1"/>
      <c r="L4114" s="2"/>
    </row>
    <row r="4115" spans="1:12" x14ac:dyDescent="0.2">
      <c r="A4115" s="103"/>
      <c r="B4115" s="104"/>
      <c r="C4115" s="105"/>
      <c r="K4115" s="1"/>
      <c r="L4115" s="2"/>
    </row>
    <row r="4116" spans="1:12" x14ac:dyDescent="0.2">
      <c r="A4116" s="103"/>
      <c r="B4116" s="104"/>
      <c r="C4116" s="105"/>
      <c r="K4116" s="1"/>
      <c r="L4116" s="2"/>
    </row>
    <row r="4117" spans="1:12" x14ac:dyDescent="0.2">
      <c r="A4117" s="103"/>
      <c r="B4117" s="104"/>
      <c r="C4117" s="105"/>
      <c r="K4117" s="1"/>
      <c r="L4117" s="2"/>
    </row>
    <row r="4118" spans="1:12" x14ac:dyDescent="0.2">
      <c r="A4118" s="103"/>
      <c r="B4118" s="104"/>
      <c r="C4118" s="105"/>
      <c r="K4118" s="1"/>
      <c r="L4118" s="2"/>
    </row>
    <row r="4119" spans="1:12" x14ac:dyDescent="0.2">
      <c r="A4119" s="103"/>
      <c r="B4119" s="104"/>
      <c r="C4119" s="105"/>
      <c r="K4119" s="1"/>
      <c r="L4119" s="2"/>
    </row>
    <row r="4120" spans="1:12" x14ac:dyDescent="0.2">
      <c r="A4120" s="103"/>
      <c r="B4120" s="104"/>
      <c r="C4120" s="105"/>
      <c r="K4120" s="1"/>
      <c r="L4120" s="2"/>
    </row>
    <row r="4121" spans="1:12" x14ac:dyDescent="0.2">
      <c r="A4121" s="103"/>
      <c r="B4121" s="104"/>
      <c r="C4121" s="105"/>
      <c r="K4121" s="1"/>
      <c r="L4121" s="2"/>
    </row>
    <row r="4122" spans="1:12" x14ac:dyDescent="0.2">
      <c r="A4122" s="103"/>
      <c r="B4122" s="104"/>
      <c r="C4122" s="105"/>
      <c r="K4122" s="1"/>
      <c r="L4122" s="2"/>
    </row>
    <row r="4123" spans="1:12" x14ac:dyDescent="0.2">
      <c r="A4123" s="103"/>
      <c r="B4123" s="104"/>
      <c r="C4123" s="105"/>
      <c r="K4123" s="1"/>
      <c r="L4123" s="2"/>
    </row>
    <row r="4124" spans="1:12" x14ac:dyDescent="0.2">
      <c r="A4124" s="103"/>
      <c r="B4124" s="104"/>
      <c r="C4124" s="105"/>
      <c r="K4124" s="1"/>
      <c r="L4124" s="2"/>
    </row>
    <row r="4125" spans="1:12" x14ac:dyDescent="0.2">
      <c r="A4125" s="103"/>
      <c r="B4125" s="104"/>
      <c r="C4125" s="105"/>
      <c r="K4125" s="1"/>
      <c r="L4125" s="2"/>
    </row>
    <row r="4126" spans="1:12" x14ac:dyDescent="0.2">
      <c r="A4126" s="103"/>
      <c r="B4126" s="104"/>
      <c r="C4126" s="105"/>
      <c r="K4126" s="1"/>
      <c r="L4126" s="2"/>
    </row>
    <row r="4127" spans="1:12" x14ac:dyDescent="0.2">
      <c r="A4127" s="103"/>
      <c r="B4127" s="104"/>
      <c r="C4127" s="105"/>
      <c r="K4127" s="1"/>
      <c r="L4127" s="2"/>
    </row>
    <row r="4128" spans="1:12" x14ac:dyDescent="0.2">
      <c r="A4128" s="103"/>
      <c r="B4128" s="104"/>
      <c r="C4128" s="105"/>
      <c r="K4128" s="1"/>
      <c r="L4128" s="2"/>
    </row>
    <row r="4129" spans="1:12" x14ac:dyDescent="0.2">
      <c r="A4129" s="103"/>
      <c r="B4129" s="104"/>
      <c r="C4129" s="105"/>
      <c r="K4129" s="1"/>
      <c r="L4129" s="2"/>
    </row>
    <row r="4130" spans="1:12" x14ac:dyDescent="0.2">
      <c r="A4130" s="103"/>
      <c r="B4130" s="104"/>
      <c r="C4130" s="105"/>
      <c r="K4130" s="1"/>
      <c r="L4130" s="2"/>
    </row>
    <row r="4131" spans="1:12" x14ac:dyDescent="0.2">
      <c r="A4131" s="103"/>
      <c r="B4131" s="104"/>
      <c r="C4131" s="105"/>
      <c r="K4131" s="1"/>
      <c r="L4131" s="2"/>
    </row>
    <row r="4132" spans="1:12" x14ac:dyDescent="0.2">
      <c r="A4132" s="103"/>
      <c r="B4132" s="104"/>
      <c r="C4132" s="105"/>
      <c r="K4132" s="1"/>
      <c r="L4132" s="2"/>
    </row>
    <row r="4133" spans="1:12" x14ac:dyDescent="0.2">
      <c r="A4133" s="103"/>
      <c r="B4133" s="104"/>
      <c r="C4133" s="105"/>
      <c r="K4133" s="1"/>
      <c r="L4133" s="2"/>
    </row>
    <row r="4134" spans="1:12" x14ac:dyDescent="0.2">
      <c r="A4134" s="103"/>
      <c r="B4134" s="104"/>
      <c r="C4134" s="105"/>
      <c r="K4134" s="1"/>
      <c r="L4134" s="2"/>
    </row>
    <row r="4135" spans="1:12" x14ac:dyDescent="0.2">
      <c r="A4135" s="103"/>
      <c r="B4135" s="104"/>
      <c r="C4135" s="105"/>
      <c r="K4135" s="1"/>
      <c r="L4135" s="2"/>
    </row>
    <row r="4136" spans="1:12" x14ac:dyDescent="0.2">
      <c r="A4136" s="103"/>
      <c r="B4136" s="104"/>
      <c r="C4136" s="105"/>
      <c r="K4136" s="1"/>
      <c r="L4136" s="2"/>
    </row>
    <row r="4137" spans="1:12" x14ac:dyDescent="0.2">
      <c r="A4137" s="103"/>
      <c r="B4137" s="104"/>
      <c r="C4137" s="105"/>
      <c r="K4137" s="1"/>
      <c r="L4137" s="2"/>
    </row>
    <row r="4138" spans="1:12" x14ac:dyDescent="0.2">
      <c r="A4138" s="103"/>
      <c r="B4138" s="104"/>
      <c r="C4138" s="105"/>
      <c r="K4138" s="1"/>
      <c r="L4138" s="2"/>
    </row>
    <row r="4139" spans="1:12" x14ac:dyDescent="0.2">
      <c r="A4139" s="103"/>
      <c r="B4139" s="104"/>
      <c r="C4139" s="105"/>
      <c r="K4139" s="1"/>
      <c r="L4139" s="2"/>
    </row>
    <row r="4140" spans="1:12" x14ac:dyDescent="0.2">
      <c r="A4140" s="103"/>
      <c r="B4140" s="104"/>
      <c r="C4140" s="105"/>
      <c r="K4140" s="1"/>
      <c r="L4140" s="2"/>
    </row>
    <row r="4141" spans="1:12" x14ac:dyDescent="0.2">
      <c r="A4141" s="103"/>
      <c r="B4141" s="104"/>
      <c r="C4141" s="105"/>
      <c r="K4141" s="1"/>
      <c r="L4141" s="2"/>
    </row>
    <row r="4142" spans="1:12" x14ac:dyDescent="0.2">
      <c r="A4142" s="103"/>
      <c r="B4142" s="104"/>
      <c r="C4142" s="105"/>
      <c r="K4142" s="1"/>
      <c r="L4142" s="2"/>
    </row>
    <row r="4143" spans="1:12" x14ac:dyDescent="0.2">
      <c r="A4143" s="103"/>
      <c r="B4143" s="104"/>
      <c r="C4143" s="105"/>
      <c r="K4143" s="1"/>
      <c r="L4143" s="2"/>
    </row>
    <row r="4144" spans="1:12" x14ac:dyDescent="0.2">
      <c r="A4144" s="103"/>
      <c r="B4144" s="104"/>
      <c r="C4144" s="105"/>
      <c r="K4144" s="1"/>
      <c r="L4144" s="2"/>
    </row>
    <row r="4145" spans="1:12" x14ac:dyDescent="0.2">
      <c r="A4145" s="103"/>
      <c r="B4145" s="104"/>
      <c r="C4145" s="105"/>
      <c r="K4145" s="1"/>
      <c r="L4145" s="2"/>
    </row>
    <row r="4146" spans="1:12" x14ac:dyDescent="0.2">
      <c r="A4146" s="103"/>
      <c r="B4146" s="104"/>
      <c r="C4146" s="105"/>
      <c r="K4146" s="1"/>
      <c r="L4146" s="2"/>
    </row>
    <row r="4147" spans="1:12" x14ac:dyDescent="0.2">
      <c r="A4147" s="103"/>
      <c r="B4147" s="104"/>
      <c r="C4147" s="105"/>
      <c r="K4147" s="1"/>
      <c r="L4147" s="2"/>
    </row>
    <row r="4148" spans="1:12" x14ac:dyDescent="0.2">
      <c r="A4148" s="103"/>
      <c r="B4148" s="104"/>
      <c r="C4148" s="105"/>
      <c r="K4148" s="1"/>
      <c r="L4148" s="2"/>
    </row>
    <row r="4149" spans="1:12" x14ac:dyDescent="0.2">
      <c r="A4149" s="103"/>
      <c r="B4149" s="104"/>
      <c r="C4149" s="105"/>
      <c r="K4149" s="1"/>
      <c r="L4149" s="2"/>
    </row>
    <row r="4150" spans="1:12" x14ac:dyDescent="0.2">
      <c r="A4150" s="103"/>
      <c r="B4150" s="104"/>
      <c r="C4150" s="105"/>
      <c r="K4150" s="1"/>
      <c r="L4150" s="2"/>
    </row>
    <row r="4151" spans="1:12" x14ac:dyDescent="0.2">
      <c r="A4151" s="103"/>
      <c r="B4151" s="104"/>
      <c r="C4151" s="105"/>
      <c r="K4151" s="1"/>
      <c r="L4151" s="2"/>
    </row>
    <row r="4152" spans="1:12" x14ac:dyDescent="0.2">
      <c r="A4152" s="103"/>
      <c r="B4152" s="104"/>
      <c r="C4152" s="105"/>
      <c r="K4152" s="1"/>
      <c r="L4152" s="2"/>
    </row>
    <row r="4153" spans="1:12" x14ac:dyDescent="0.2">
      <c r="A4153" s="103"/>
      <c r="B4153" s="104"/>
      <c r="C4153" s="105"/>
      <c r="K4153" s="1"/>
      <c r="L4153" s="2"/>
    </row>
    <row r="4154" spans="1:12" x14ac:dyDescent="0.2">
      <c r="A4154" s="103"/>
      <c r="B4154" s="104"/>
      <c r="C4154" s="105"/>
      <c r="K4154" s="1"/>
      <c r="L4154" s="2"/>
    </row>
    <row r="4155" spans="1:12" x14ac:dyDescent="0.2">
      <c r="A4155" s="103"/>
      <c r="B4155" s="104"/>
      <c r="C4155" s="105"/>
      <c r="K4155" s="1"/>
      <c r="L4155" s="2"/>
    </row>
    <row r="4156" spans="1:12" x14ac:dyDescent="0.2">
      <c r="A4156" s="103"/>
      <c r="B4156" s="104"/>
      <c r="C4156" s="105"/>
      <c r="K4156" s="1"/>
      <c r="L4156" s="2"/>
    </row>
    <row r="4157" spans="1:12" x14ac:dyDescent="0.2">
      <c r="A4157" s="103"/>
      <c r="B4157" s="104"/>
      <c r="C4157" s="105"/>
      <c r="K4157" s="1"/>
      <c r="L4157" s="2"/>
    </row>
    <row r="4158" spans="1:12" x14ac:dyDescent="0.2">
      <c r="A4158" s="103"/>
      <c r="B4158" s="104"/>
      <c r="C4158" s="105"/>
      <c r="K4158" s="1"/>
      <c r="L4158" s="2"/>
    </row>
    <row r="4159" spans="1:12" x14ac:dyDescent="0.2">
      <c r="A4159" s="103"/>
      <c r="B4159" s="104"/>
      <c r="C4159" s="105"/>
      <c r="K4159" s="1"/>
      <c r="L4159" s="2"/>
    </row>
    <row r="4160" spans="1:12" x14ac:dyDescent="0.2">
      <c r="A4160" s="103"/>
      <c r="B4160" s="104"/>
      <c r="C4160" s="105"/>
      <c r="K4160" s="1"/>
      <c r="L4160" s="2"/>
    </row>
    <row r="4161" spans="1:12" x14ac:dyDescent="0.2">
      <c r="A4161" s="103"/>
      <c r="B4161" s="104"/>
      <c r="C4161" s="105"/>
      <c r="K4161" s="1"/>
      <c r="L4161" s="2"/>
    </row>
    <row r="4162" spans="1:12" x14ac:dyDescent="0.2">
      <c r="A4162" s="103"/>
      <c r="B4162" s="104"/>
      <c r="C4162" s="105"/>
      <c r="K4162" s="1"/>
      <c r="L4162" s="2"/>
    </row>
    <row r="4163" spans="1:12" x14ac:dyDescent="0.2">
      <c r="A4163" s="103"/>
      <c r="B4163" s="104"/>
      <c r="C4163" s="105"/>
      <c r="K4163" s="1"/>
      <c r="L4163" s="2"/>
    </row>
    <row r="4164" spans="1:12" x14ac:dyDescent="0.2">
      <c r="A4164" s="103"/>
      <c r="B4164" s="104"/>
      <c r="C4164" s="105"/>
      <c r="K4164" s="1"/>
      <c r="L4164" s="2"/>
    </row>
    <row r="4165" spans="1:12" x14ac:dyDescent="0.2">
      <c r="A4165" s="103"/>
      <c r="B4165" s="104"/>
      <c r="C4165" s="105"/>
      <c r="K4165" s="1"/>
      <c r="L4165" s="2"/>
    </row>
    <row r="4166" spans="1:12" x14ac:dyDescent="0.2">
      <c r="A4166" s="103"/>
      <c r="B4166" s="104"/>
      <c r="C4166" s="105"/>
      <c r="K4166" s="1"/>
      <c r="L4166" s="2"/>
    </row>
    <row r="4167" spans="1:12" x14ac:dyDescent="0.2">
      <c r="A4167" s="103"/>
      <c r="B4167" s="104"/>
      <c r="C4167" s="105"/>
      <c r="K4167" s="1"/>
      <c r="L4167" s="2"/>
    </row>
    <row r="4168" spans="1:12" x14ac:dyDescent="0.2">
      <c r="A4168" s="103"/>
      <c r="B4168" s="104"/>
      <c r="C4168" s="105"/>
      <c r="K4168" s="1"/>
      <c r="L4168" s="2"/>
    </row>
    <row r="4169" spans="1:12" x14ac:dyDescent="0.2">
      <c r="A4169" s="103"/>
      <c r="B4169" s="104"/>
      <c r="C4169" s="105"/>
      <c r="K4169" s="1"/>
      <c r="L4169" s="2"/>
    </row>
    <row r="4170" spans="1:12" x14ac:dyDescent="0.2">
      <c r="A4170" s="103"/>
      <c r="B4170" s="104"/>
      <c r="C4170" s="105"/>
      <c r="K4170" s="1"/>
      <c r="L4170" s="2"/>
    </row>
    <row r="4171" spans="1:12" x14ac:dyDescent="0.2">
      <c r="A4171" s="103"/>
      <c r="B4171" s="104"/>
      <c r="C4171" s="105"/>
      <c r="K4171" s="1"/>
      <c r="L4171" s="2"/>
    </row>
    <row r="4172" spans="1:12" x14ac:dyDescent="0.2">
      <c r="A4172" s="103"/>
      <c r="B4172" s="104"/>
      <c r="C4172" s="105"/>
      <c r="K4172" s="1"/>
      <c r="L4172" s="2"/>
    </row>
    <row r="4173" spans="1:12" x14ac:dyDescent="0.2">
      <c r="A4173" s="103"/>
      <c r="B4173" s="104"/>
      <c r="C4173" s="105"/>
      <c r="K4173" s="1"/>
      <c r="L4173" s="2"/>
    </row>
    <row r="4174" spans="1:12" x14ac:dyDescent="0.2">
      <c r="A4174" s="103"/>
      <c r="B4174" s="104"/>
      <c r="C4174" s="105"/>
      <c r="K4174" s="1"/>
      <c r="L4174" s="2"/>
    </row>
    <row r="4175" spans="1:12" x14ac:dyDescent="0.2">
      <c r="A4175" s="103"/>
      <c r="B4175" s="104"/>
      <c r="C4175" s="105"/>
      <c r="K4175" s="1"/>
      <c r="L4175" s="2"/>
    </row>
    <row r="4176" spans="1:12" x14ac:dyDescent="0.2">
      <c r="A4176" s="103"/>
      <c r="B4176" s="104"/>
      <c r="C4176" s="105"/>
      <c r="K4176" s="1"/>
      <c r="L4176" s="2"/>
    </row>
    <row r="4177" spans="1:12" x14ac:dyDescent="0.2">
      <c r="A4177" s="103"/>
      <c r="B4177" s="104"/>
      <c r="C4177" s="105"/>
      <c r="K4177" s="1"/>
      <c r="L4177" s="2"/>
    </row>
    <row r="4178" spans="1:12" x14ac:dyDescent="0.2">
      <c r="A4178" s="103"/>
      <c r="B4178" s="104"/>
      <c r="C4178" s="105"/>
      <c r="K4178" s="1"/>
      <c r="L4178" s="2"/>
    </row>
    <row r="4179" spans="1:12" x14ac:dyDescent="0.2">
      <c r="A4179" s="103"/>
      <c r="B4179" s="104"/>
      <c r="C4179" s="105"/>
      <c r="K4179" s="1"/>
      <c r="L4179" s="2"/>
    </row>
    <row r="4180" spans="1:12" x14ac:dyDescent="0.2">
      <c r="A4180" s="103"/>
      <c r="B4180" s="104"/>
      <c r="C4180" s="105"/>
      <c r="K4180" s="1"/>
      <c r="L4180" s="2"/>
    </row>
    <row r="4181" spans="1:12" x14ac:dyDescent="0.2">
      <c r="A4181" s="103"/>
      <c r="B4181" s="104"/>
      <c r="C4181" s="105"/>
      <c r="K4181" s="1"/>
      <c r="L4181" s="2"/>
    </row>
    <row r="4182" spans="1:12" x14ac:dyDescent="0.2">
      <c r="A4182" s="103"/>
      <c r="B4182" s="104"/>
      <c r="C4182" s="105"/>
      <c r="K4182" s="1"/>
      <c r="L4182" s="2"/>
    </row>
    <row r="4183" spans="1:12" x14ac:dyDescent="0.2">
      <c r="A4183" s="103"/>
      <c r="B4183" s="104"/>
      <c r="C4183" s="105"/>
      <c r="K4183" s="1"/>
      <c r="L4183" s="2"/>
    </row>
    <row r="4184" spans="1:12" x14ac:dyDescent="0.2">
      <c r="A4184" s="103"/>
      <c r="B4184" s="104"/>
      <c r="C4184" s="105"/>
      <c r="K4184" s="1"/>
      <c r="L4184" s="2"/>
    </row>
    <row r="4185" spans="1:12" x14ac:dyDescent="0.2">
      <c r="A4185" s="103"/>
      <c r="B4185" s="104"/>
      <c r="C4185" s="105"/>
      <c r="K4185" s="1"/>
      <c r="L4185" s="2"/>
    </row>
    <row r="4186" spans="1:12" x14ac:dyDescent="0.2">
      <c r="A4186" s="103"/>
      <c r="B4186" s="104"/>
      <c r="C4186" s="105"/>
      <c r="K4186" s="1"/>
      <c r="L4186" s="2"/>
    </row>
    <row r="4187" spans="1:12" x14ac:dyDescent="0.2">
      <c r="A4187" s="103"/>
      <c r="B4187" s="104"/>
      <c r="C4187" s="105"/>
      <c r="K4187" s="1"/>
      <c r="L4187" s="2"/>
    </row>
    <row r="4188" spans="1:12" x14ac:dyDescent="0.2">
      <c r="A4188" s="103"/>
      <c r="B4188" s="104"/>
      <c r="C4188" s="105"/>
      <c r="K4188" s="1"/>
      <c r="L4188" s="2"/>
    </row>
    <row r="4189" spans="1:12" x14ac:dyDescent="0.2">
      <c r="A4189" s="103"/>
      <c r="B4189" s="104"/>
      <c r="C4189" s="105"/>
      <c r="K4189" s="1"/>
      <c r="L4189" s="2"/>
    </row>
    <row r="4190" spans="1:12" x14ac:dyDescent="0.2">
      <c r="A4190" s="103"/>
      <c r="B4190" s="104"/>
      <c r="C4190" s="105"/>
      <c r="K4190" s="1"/>
      <c r="L4190" s="2"/>
    </row>
    <row r="4191" spans="1:12" x14ac:dyDescent="0.2">
      <c r="A4191" s="103"/>
      <c r="B4191" s="104"/>
      <c r="C4191" s="105"/>
      <c r="K4191" s="1"/>
      <c r="L4191" s="2"/>
    </row>
    <row r="4192" spans="1:12" x14ac:dyDescent="0.2">
      <c r="A4192" s="103"/>
      <c r="B4192" s="104"/>
      <c r="C4192" s="105"/>
      <c r="K4192" s="1"/>
      <c r="L4192" s="2"/>
    </row>
    <row r="4193" spans="1:12" x14ac:dyDescent="0.2">
      <c r="A4193" s="103"/>
      <c r="B4193" s="104"/>
      <c r="C4193" s="105"/>
      <c r="K4193" s="1"/>
      <c r="L4193" s="2"/>
    </row>
    <row r="4194" spans="1:12" x14ac:dyDescent="0.2">
      <c r="A4194" s="103"/>
      <c r="B4194" s="104"/>
      <c r="C4194" s="105"/>
      <c r="K4194" s="1"/>
      <c r="L4194" s="2"/>
    </row>
    <row r="4195" spans="1:12" x14ac:dyDescent="0.2">
      <c r="A4195" s="103"/>
      <c r="B4195" s="104"/>
      <c r="C4195" s="105"/>
      <c r="K4195" s="1"/>
      <c r="L4195" s="2"/>
    </row>
    <row r="4196" spans="1:12" x14ac:dyDescent="0.2">
      <c r="A4196" s="103"/>
      <c r="B4196" s="104"/>
      <c r="C4196" s="105"/>
      <c r="K4196" s="1"/>
      <c r="L4196" s="2"/>
    </row>
    <row r="4197" spans="1:12" x14ac:dyDescent="0.2">
      <c r="A4197" s="103"/>
      <c r="B4197" s="104"/>
      <c r="C4197" s="105"/>
      <c r="K4197" s="1"/>
      <c r="L4197" s="2"/>
    </row>
    <row r="4198" spans="1:12" x14ac:dyDescent="0.2">
      <c r="A4198" s="103"/>
      <c r="B4198" s="104"/>
      <c r="C4198" s="105"/>
      <c r="K4198" s="1"/>
      <c r="L4198" s="2"/>
    </row>
    <row r="4199" spans="1:12" x14ac:dyDescent="0.2">
      <c r="A4199" s="103"/>
      <c r="B4199" s="104"/>
      <c r="C4199" s="105"/>
      <c r="K4199" s="1"/>
      <c r="L4199" s="2"/>
    </row>
    <row r="4200" spans="1:12" x14ac:dyDescent="0.2">
      <c r="A4200" s="103"/>
      <c r="B4200" s="104"/>
      <c r="C4200" s="105"/>
      <c r="K4200" s="1"/>
      <c r="L4200" s="2"/>
    </row>
    <row r="4201" spans="1:12" x14ac:dyDescent="0.2">
      <c r="A4201" s="103"/>
      <c r="B4201" s="104"/>
      <c r="C4201" s="105"/>
      <c r="K4201" s="1"/>
      <c r="L4201" s="2"/>
    </row>
    <row r="4202" spans="1:12" x14ac:dyDescent="0.2">
      <c r="A4202" s="103"/>
      <c r="B4202" s="104"/>
      <c r="C4202" s="105"/>
      <c r="K4202" s="1"/>
      <c r="L4202" s="2"/>
    </row>
    <row r="4203" spans="1:12" x14ac:dyDescent="0.2">
      <c r="A4203" s="103"/>
      <c r="B4203" s="104"/>
      <c r="C4203" s="105"/>
      <c r="K4203" s="1"/>
      <c r="L4203" s="2"/>
    </row>
    <row r="4204" spans="1:12" x14ac:dyDescent="0.2">
      <c r="A4204" s="103"/>
      <c r="B4204" s="104"/>
      <c r="C4204" s="105"/>
      <c r="K4204" s="1"/>
      <c r="L4204" s="2"/>
    </row>
    <row r="4205" spans="1:12" x14ac:dyDescent="0.2">
      <c r="A4205" s="103"/>
      <c r="B4205" s="104"/>
      <c r="C4205" s="105"/>
      <c r="K4205" s="1"/>
      <c r="L4205" s="2"/>
    </row>
    <row r="4206" spans="1:12" x14ac:dyDescent="0.2">
      <c r="A4206" s="103"/>
      <c r="B4206" s="104"/>
      <c r="C4206" s="105"/>
      <c r="K4206" s="1"/>
      <c r="L4206" s="2"/>
    </row>
    <row r="4207" spans="1:12" x14ac:dyDescent="0.2">
      <c r="A4207" s="103"/>
      <c r="B4207" s="104"/>
      <c r="C4207" s="105"/>
      <c r="K4207" s="1"/>
      <c r="L4207" s="2"/>
    </row>
    <row r="4208" spans="1:12" x14ac:dyDescent="0.2">
      <c r="A4208" s="103"/>
      <c r="B4208" s="104"/>
      <c r="C4208" s="105"/>
      <c r="K4208" s="1"/>
      <c r="L4208" s="2"/>
    </row>
    <row r="4209" spans="1:12" x14ac:dyDescent="0.2">
      <c r="A4209" s="103"/>
      <c r="B4209" s="104"/>
      <c r="C4209" s="105"/>
      <c r="K4209" s="1"/>
      <c r="L4209" s="2"/>
    </row>
    <row r="4210" spans="1:12" x14ac:dyDescent="0.2">
      <c r="A4210" s="103"/>
      <c r="B4210" s="104"/>
      <c r="C4210" s="105"/>
      <c r="K4210" s="1"/>
      <c r="L4210" s="2"/>
    </row>
    <row r="4211" spans="1:12" x14ac:dyDescent="0.2">
      <c r="A4211" s="103"/>
      <c r="B4211" s="104"/>
      <c r="C4211" s="105"/>
      <c r="K4211" s="1"/>
      <c r="L4211" s="2"/>
    </row>
    <row r="4212" spans="1:12" x14ac:dyDescent="0.2">
      <c r="A4212" s="103"/>
      <c r="B4212" s="104"/>
      <c r="C4212" s="105"/>
      <c r="K4212" s="1"/>
      <c r="L4212" s="2"/>
    </row>
    <row r="4213" spans="1:12" x14ac:dyDescent="0.2">
      <c r="A4213" s="103"/>
      <c r="B4213" s="104"/>
      <c r="C4213" s="105"/>
      <c r="K4213" s="1"/>
      <c r="L4213" s="2"/>
    </row>
    <row r="4214" spans="1:12" x14ac:dyDescent="0.2">
      <c r="A4214" s="103"/>
      <c r="B4214" s="104"/>
      <c r="C4214" s="105"/>
      <c r="K4214" s="1"/>
      <c r="L4214" s="2"/>
    </row>
    <row r="4215" spans="1:12" x14ac:dyDescent="0.2">
      <c r="A4215" s="103"/>
      <c r="B4215" s="104"/>
      <c r="C4215" s="105"/>
      <c r="K4215" s="1"/>
      <c r="L4215" s="2"/>
    </row>
    <row r="4216" spans="1:12" x14ac:dyDescent="0.2">
      <c r="A4216" s="103"/>
      <c r="B4216" s="104"/>
      <c r="C4216" s="105"/>
      <c r="K4216" s="1"/>
      <c r="L4216" s="2"/>
    </row>
    <row r="4217" spans="1:12" x14ac:dyDescent="0.2">
      <c r="A4217" s="103"/>
      <c r="B4217" s="104"/>
      <c r="C4217" s="105"/>
      <c r="K4217" s="1"/>
      <c r="L4217" s="2"/>
    </row>
    <row r="4218" spans="1:12" x14ac:dyDescent="0.2">
      <c r="A4218" s="103"/>
      <c r="B4218" s="104"/>
      <c r="C4218" s="105"/>
      <c r="K4218" s="1"/>
      <c r="L4218" s="2"/>
    </row>
    <row r="4219" spans="1:12" x14ac:dyDescent="0.2">
      <c r="A4219" s="103"/>
      <c r="B4219" s="104"/>
      <c r="C4219" s="105"/>
      <c r="K4219" s="1"/>
      <c r="L4219" s="2"/>
    </row>
    <row r="4220" spans="1:12" x14ac:dyDescent="0.2">
      <c r="A4220" s="103"/>
      <c r="B4220" s="104"/>
      <c r="C4220" s="105"/>
      <c r="K4220" s="1"/>
      <c r="L4220" s="2"/>
    </row>
    <row r="4221" spans="1:12" x14ac:dyDescent="0.2">
      <c r="A4221" s="103"/>
      <c r="B4221" s="104"/>
      <c r="C4221" s="105"/>
      <c r="K4221" s="1"/>
      <c r="L4221" s="2"/>
    </row>
    <row r="4222" spans="1:12" x14ac:dyDescent="0.2">
      <c r="A4222" s="103"/>
      <c r="B4222" s="104"/>
      <c r="C4222" s="105"/>
      <c r="K4222" s="1"/>
      <c r="L4222" s="2"/>
    </row>
    <row r="4223" spans="1:12" x14ac:dyDescent="0.2">
      <c r="A4223" s="103"/>
      <c r="B4223" s="104"/>
      <c r="C4223" s="105"/>
      <c r="K4223" s="1"/>
      <c r="L4223" s="2"/>
    </row>
    <row r="4224" spans="1:12" x14ac:dyDescent="0.2">
      <c r="A4224" s="103"/>
      <c r="B4224" s="104"/>
      <c r="C4224" s="105"/>
      <c r="K4224" s="1"/>
      <c r="L4224" s="2"/>
    </row>
    <row r="4225" spans="1:12" x14ac:dyDescent="0.2">
      <c r="A4225" s="103"/>
      <c r="B4225" s="104"/>
      <c r="C4225" s="105"/>
      <c r="K4225" s="1"/>
      <c r="L4225" s="2"/>
    </row>
    <row r="4226" spans="1:12" x14ac:dyDescent="0.2">
      <c r="A4226" s="103"/>
      <c r="B4226" s="104"/>
      <c r="C4226" s="105"/>
      <c r="K4226" s="1"/>
      <c r="L4226" s="2"/>
    </row>
    <row r="4227" spans="1:12" x14ac:dyDescent="0.2">
      <c r="A4227" s="103"/>
      <c r="B4227" s="104"/>
      <c r="C4227" s="105"/>
      <c r="K4227" s="1"/>
      <c r="L4227" s="2"/>
    </row>
    <row r="4228" spans="1:12" x14ac:dyDescent="0.2">
      <c r="A4228" s="103"/>
      <c r="B4228" s="104"/>
      <c r="C4228" s="105"/>
      <c r="K4228" s="1"/>
      <c r="L4228" s="2"/>
    </row>
    <row r="4229" spans="1:12" x14ac:dyDescent="0.2">
      <c r="A4229" s="103"/>
      <c r="B4229" s="104"/>
      <c r="C4229" s="105"/>
      <c r="K4229" s="1"/>
      <c r="L4229" s="2"/>
    </row>
    <row r="4230" spans="1:12" x14ac:dyDescent="0.2">
      <c r="A4230" s="103"/>
      <c r="B4230" s="104"/>
      <c r="C4230" s="105"/>
      <c r="K4230" s="1"/>
      <c r="L4230" s="2"/>
    </row>
    <row r="4231" spans="1:12" x14ac:dyDescent="0.2">
      <c r="A4231" s="103"/>
      <c r="B4231" s="104"/>
      <c r="C4231" s="105"/>
      <c r="K4231" s="1"/>
      <c r="L4231" s="2"/>
    </row>
    <row r="4232" spans="1:12" x14ac:dyDescent="0.2">
      <c r="A4232" s="103"/>
      <c r="B4232" s="104"/>
      <c r="C4232" s="105"/>
      <c r="K4232" s="1"/>
      <c r="L4232" s="2"/>
    </row>
    <row r="4233" spans="1:12" x14ac:dyDescent="0.2">
      <c r="A4233" s="103"/>
      <c r="B4233" s="104"/>
      <c r="C4233" s="105"/>
      <c r="K4233" s="1"/>
      <c r="L4233" s="2"/>
    </row>
    <row r="4234" spans="1:12" x14ac:dyDescent="0.2">
      <c r="A4234" s="103"/>
      <c r="B4234" s="104"/>
      <c r="C4234" s="105"/>
      <c r="K4234" s="1"/>
      <c r="L4234" s="2"/>
    </row>
    <row r="4235" spans="1:12" x14ac:dyDescent="0.2">
      <c r="A4235" s="103"/>
      <c r="B4235" s="104"/>
      <c r="C4235" s="105"/>
      <c r="K4235" s="1"/>
      <c r="L4235" s="2"/>
    </row>
    <row r="4236" spans="1:12" x14ac:dyDescent="0.2">
      <c r="A4236" s="103"/>
      <c r="B4236" s="104"/>
      <c r="C4236" s="105"/>
      <c r="K4236" s="1"/>
      <c r="L4236" s="2"/>
    </row>
    <row r="4237" spans="1:12" x14ac:dyDescent="0.2">
      <c r="A4237" s="103"/>
      <c r="B4237" s="104"/>
      <c r="C4237" s="105"/>
      <c r="K4237" s="1"/>
      <c r="L4237" s="2"/>
    </row>
    <row r="4238" spans="1:12" x14ac:dyDescent="0.2">
      <c r="A4238" s="103"/>
      <c r="B4238" s="104"/>
      <c r="C4238" s="105"/>
      <c r="K4238" s="1"/>
      <c r="L4238" s="2"/>
    </row>
    <row r="4239" spans="1:12" x14ac:dyDescent="0.2">
      <c r="A4239" s="103"/>
      <c r="B4239" s="104"/>
      <c r="C4239" s="105"/>
      <c r="K4239" s="1"/>
      <c r="L4239" s="2"/>
    </row>
    <row r="4240" spans="1:12" x14ac:dyDescent="0.2">
      <c r="A4240" s="103"/>
      <c r="B4240" s="104"/>
      <c r="C4240" s="105"/>
      <c r="K4240" s="1"/>
      <c r="L4240" s="2"/>
    </row>
    <row r="4241" spans="1:12" x14ac:dyDescent="0.2">
      <c r="A4241" s="103"/>
      <c r="B4241" s="104"/>
      <c r="C4241" s="105"/>
      <c r="K4241" s="1"/>
      <c r="L4241" s="2"/>
    </row>
    <row r="4242" spans="1:12" x14ac:dyDescent="0.2">
      <c r="A4242" s="103"/>
      <c r="B4242" s="104"/>
      <c r="C4242" s="105"/>
      <c r="K4242" s="1"/>
      <c r="L4242" s="2"/>
    </row>
    <row r="4243" spans="1:12" x14ac:dyDescent="0.2">
      <c r="A4243" s="103"/>
      <c r="B4243" s="104"/>
      <c r="C4243" s="105"/>
      <c r="K4243" s="1"/>
      <c r="L4243" s="2"/>
    </row>
    <row r="4244" spans="1:12" x14ac:dyDescent="0.2">
      <c r="A4244" s="103"/>
      <c r="B4244" s="104"/>
      <c r="C4244" s="105"/>
      <c r="K4244" s="1"/>
      <c r="L4244" s="2"/>
    </row>
    <row r="4245" spans="1:12" x14ac:dyDescent="0.2">
      <c r="A4245" s="103"/>
      <c r="B4245" s="104"/>
      <c r="C4245" s="105"/>
      <c r="K4245" s="1"/>
      <c r="L4245" s="2"/>
    </row>
    <row r="4246" spans="1:12" x14ac:dyDescent="0.2">
      <c r="A4246" s="103"/>
      <c r="B4246" s="104"/>
      <c r="C4246" s="105"/>
      <c r="K4246" s="1"/>
      <c r="L4246" s="2"/>
    </row>
    <row r="4247" spans="1:12" x14ac:dyDescent="0.2">
      <c r="A4247" s="103"/>
      <c r="B4247" s="104"/>
      <c r="C4247" s="105"/>
      <c r="K4247" s="1"/>
      <c r="L4247" s="2"/>
    </row>
    <row r="4248" spans="1:12" x14ac:dyDescent="0.2">
      <c r="A4248" s="103"/>
      <c r="B4248" s="104"/>
      <c r="C4248" s="105"/>
      <c r="K4248" s="1"/>
      <c r="L4248" s="2"/>
    </row>
    <row r="4249" spans="1:12" x14ac:dyDescent="0.2">
      <c r="A4249" s="103"/>
      <c r="B4249" s="104"/>
      <c r="C4249" s="105"/>
      <c r="K4249" s="1"/>
      <c r="L4249" s="2"/>
    </row>
    <row r="4250" spans="1:12" x14ac:dyDescent="0.2">
      <c r="A4250" s="103"/>
      <c r="B4250" s="104"/>
      <c r="C4250" s="105"/>
      <c r="K4250" s="1"/>
      <c r="L4250" s="2"/>
    </row>
    <row r="4251" spans="1:12" x14ac:dyDescent="0.2">
      <c r="A4251" s="103"/>
      <c r="B4251" s="104"/>
      <c r="C4251" s="105"/>
      <c r="K4251" s="1"/>
      <c r="L4251" s="2"/>
    </row>
    <row r="4252" spans="1:12" x14ac:dyDescent="0.2">
      <c r="A4252" s="103"/>
      <c r="B4252" s="104"/>
      <c r="C4252" s="105"/>
      <c r="K4252" s="1"/>
      <c r="L4252" s="2"/>
    </row>
    <row r="4253" spans="1:12" x14ac:dyDescent="0.2">
      <c r="A4253" s="103"/>
      <c r="B4253" s="104"/>
      <c r="C4253" s="105"/>
      <c r="K4253" s="1"/>
      <c r="L4253" s="2"/>
    </row>
    <row r="4254" spans="1:12" x14ac:dyDescent="0.2">
      <c r="A4254" s="103"/>
      <c r="B4254" s="104"/>
      <c r="C4254" s="105"/>
      <c r="K4254" s="1"/>
      <c r="L4254" s="2"/>
    </row>
    <row r="4255" spans="1:12" x14ac:dyDescent="0.2">
      <c r="A4255" s="103"/>
      <c r="B4255" s="104"/>
      <c r="C4255" s="105"/>
      <c r="K4255" s="1"/>
      <c r="L4255" s="2"/>
    </row>
    <row r="4256" spans="1:12" x14ac:dyDescent="0.2">
      <c r="A4256" s="103"/>
      <c r="B4256" s="104"/>
      <c r="C4256" s="105"/>
      <c r="K4256" s="1"/>
      <c r="L4256" s="2"/>
    </row>
    <row r="4257" spans="1:12" x14ac:dyDescent="0.2">
      <c r="A4257" s="103"/>
      <c r="B4257" s="104"/>
      <c r="C4257" s="105"/>
      <c r="K4257" s="1"/>
      <c r="L4257" s="2"/>
    </row>
    <row r="4258" spans="1:12" x14ac:dyDescent="0.2">
      <c r="A4258" s="103"/>
      <c r="B4258" s="104"/>
      <c r="C4258" s="105"/>
      <c r="K4258" s="1"/>
      <c r="L4258" s="2"/>
    </row>
    <row r="4259" spans="1:12" x14ac:dyDescent="0.2">
      <c r="A4259" s="103"/>
      <c r="B4259" s="104"/>
      <c r="C4259" s="105"/>
      <c r="K4259" s="1"/>
      <c r="L4259" s="2"/>
    </row>
    <row r="4260" spans="1:12" x14ac:dyDescent="0.2">
      <c r="A4260" s="103"/>
      <c r="B4260" s="104"/>
      <c r="C4260" s="105"/>
      <c r="K4260" s="1"/>
      <c r="L4260" s="2"/>
    </row>
    <row r="4261" spans="1:12" x14ac:dyDescent="0.2">
      <c r="A4261" s="103"/>
      <c r="B4261" s="104"/>
      <c r="C4261" s="105"/>
      <c r="K4261" s="1"/>
      <c r="L4261" s="2"/>
    </row>
    <row r="4262" spans="1:12" x14ac:dyDescent="0.2">
      <c r="A4262" s="103"/>
      <c r="B4262" s="104"/>
      <c r="C4262" s="105"/>
      <c r="K4262" s="1"/>
      <c r="L4262" s="2"/>
    </row>
    <row r="4263" spans="1:12" x14ac:dyDescent="0.2">
      <c r="A4263" s="103"/>
      <c r="B4263" s="104"/>
      <c r="C4263" s="105"/>
      <c r="K4263" s="1"/>
      <c r="L4263" s="2"/>
    </row>
    <row r="4264" spans="1:12" x14ac:dyDescent="0.2">
      <c r="A4264" s="103"/>
      <c r="B4264" s="104"/>
      <c r="C4264" s="105"/>
      <c r="K4264" s="1"/>
      <c r="L4264" s="2"/>
    </row>
    <row r="4265" spans="1:12" x14ac:dyDescent="0.2">
      <c r="A4265" s="103"/>
      <c r="B4265" s="104"/>
      <c r="C4265" s="105"/>
      <c r="K4265" s="1"/>
      <c r="L4265" s="2"/>
    </row>
    <row r="4266" spans="1:12" x14ac:dyDescent="0.2">
      <c r="A4266" s="103"/>
      <c r="B4266" s="104"/>
      <c r="C4266" s="105"/>
      <c r="K4266" s="1"/>
      <c r="L4266" s="2"/>
    </row>
    <row r="4267" spans="1:12" x14ac:dyDescent="0.2">
      <c r="A4267" s="103"/>
      <c r="B4267" s="104"/>
      <c r="C4267" s="105"/>
      <c r="K4267" s="1"/>
      <c r="L4267" s="2"/>
    </row>
    <row r="4268" spans="1:12" x14ac:dyDescent="0.2">
      <c r="A4268" s="103"/>
      <c r="B4268" s="104"/>
      <c r="C4268" s="105"/>
      <c r="K4268" s="1"/>
      <c r="L4268" s="2"/>
    </row>
    <row r="4269" spans="1:12" x14ac:dyDescent="0.2">
      <c r="A4269" s="103"/>
      <c r="B4269" s="104"/>
      <c r="C4269" s="105"/>
      <c r="K4269" s="1"/>
      <c r="L4269" s="2"/>
    </row>
    <row r="4270" spans="1:12" x14ac:dyDescent="0.2">
      <c r="A4270" s="103"/>
      <c r="B4270" s="104"/>
      <c r="C4270" s="105"/>
      <c r="K4270" s="1"/>
      <c r="L4270" s="2"/>
    </row>
    <row r="4271" spans="1:12" x14ac:dyDescent="0.2">
      <c r="A4271" s="103"/>
      <c r="B4271" s="104"/>
      <c r="C4271" s="105"/>
      <c r="K4271" s="1"/>
      <c r="L4271" s="2"/>
    </row>
    <row r="4272" spans="1:12" x14ac:dyDescent="0.2">
      <c r="A4272" s="103"/>
      <c r="B4272" s="104"/>
      <c r="C4272" s="105"/>
      <c r="K4272" s="1"/>
      <c r="L4272" s="2"/>
    </row>
    <row r="4273" spans="1:12" x14ac:dyDescent="0.2">
      <c r="A4273" s="103"/>
      <c r="B4273" s="104"/>
      <c r="C4273" s="105"/>
      <c r="K4273" s="1"/>
      <c r="L4273" s="2"/>
    </row>
    <row r="4274" spans="1:12" x14ac:dyDescent="0.2">
      <c r="A4274" s="103"/>
      <c r="B4274" s="104"/>
      <c r="C4274" s="105"/>
      <c r="K4274" s="1"/>
      <c r="L4274" s="2"/>
    </row>
    <row r="4275" spans="1:12" x14ac:dyDescent="0.2">
      <c r="A4275" s="103"/>
      <c r="B4275" s="104"/>
      <c r="C4275" s="105"/>
      <c r="K4275" s="1"/>
      <c r="L4275" s="2"/>
    </row>
    <row r="4276" spans="1:12" x14ac:dyDescent="0.2">
      <c r="A4276" s="103"/>
      <c r="B4276" s="104"/>
      <c r="C4276" s="105"/>
      <c r="K4276" s="1"/>
      <c r="L4276" s="2"/>
    </row>
    <row r="4277" spans="1:12" x14ac:dyDescent="0.2">
      <c r="A4277" s="103"/>
      <c r="B4277" s="104"/>
      <c r="C4277" s="105"/>
      <c r="K4277" s="1"/>
      <c r="L4277" s="2"/>
    </row>
    <row r="4278" spans="1:12" x14ac:dyDescent="0.2">
      <c r="A4278" s="103"/>
      <c r="B4278" s="104"/>
      <c r="C4278" s="105"/>
      <c r="K4278" s="1"/>
      <c r="L4278" s="2"/>
    </row>
    <row r="4279" spans="1:12" x14ac:dyDescent="0.2">
      <c r="A4279" s="103"/>
      <c r="B4279" s="104"/>
      <c r="C4279" s="105"/>
      <c r="K4279" s="1"/>
      <c r="L4279" s="2"/>
    </row>
    <row r="4280" spans="1:12" x14ac:dyDescent="0.2">
      <c r="A4280" s="103"/>
      <c r="B4280" s="104"/>
      <c r="C4280" s="105"/>
      <c r="K4280" s="1"/>
      <c r="L4280" s="2"/>
    </row>
    <row r="4281" spans="1:12" x14ac:dyDescent="0.2">
      <c r="A4281" s="103"/>
      <c r="B4281" s="104"/>
      <c r="C4281" s="105"/>
      <c r="K4281" s="1"/>
      <c r="L4281" s="2"/>
    </row>
    <row r="4282" spans="1:12" x14ac:dyDescent="0.2">
      <c r="A4282" s="103"/>
      <c r="B4282" s="104"/>
      <c r="C4282" s="105"/>
      <c r="K4282" s="1"/>
      <c r="L4282" s="2"/>
    </row>
    <row r="4283" spans="1:12" x14ac:dyDescent="0.2">
      <c r="A4283" s="103"/>
      <c r="B4283" s="104"/>
      <c r="C4283" s="105"/>
      <c r="K4283" s="1"/>
      <c r="L4283" s="2"/>
    </row>
    <row r="4284" spans="1:12" x14ac:dyDescent="0.2">
      <c r="A4284" s="103"/>
      <c r="B4284" s="104"/>
      <c r="C4284" s="105"/>
      <c r="K4284" s="1"/>
      <c r="L4284" s="2"/>
    </row>
    <row r="4285" spans="1:12" x14ac:dyDescent="0.2">
      <c r="A4285" s="103"/>
      <c r="B4285" s="104"/>
      <c r="C4285" s="105"/>
      <c r="K4285" s="1"/>
      <c r="L4285" s="2"/>
    </row>
    <row r="4286" spans="1:12" x14ac:dyDescent="0.2">
      <c r="A4286" s="103"/>
      <c r="B4286" s="104"/>
      <c r="C4286" s="105"/>
      <c r="K4286" s="1"/>
      <c r="L4286" s="2"/>
    </row>
    <row r="4287" spans="1:12" x14ac:dyDescent="0.2">
      <c r="A4287" s="103"/>
      <c r="B4287" s="104"/>
      <c r="C4287" s="105"/>
      <c r="K4287" s="1"/>
      <c r="L4287" s="2"/>
    </row>
    <row r="4288" spans="1:12" x14ac:dyDescent="0.2">
      <c r="A4288" s="103"/>
      <c r="B4288" s="104"/>
      <c r="C4288" s="105"/>
      <c r="K4288" s="1"/>
      <c r="L4288" s="2"/>
    </row>
    <row r="4289" spans="1:12" x14ac:dyDescent="0.2">
      <c r="A4289" s="103"/>
      <c r="B4289" s="104"/>
      <c r="C4289" s="105"/>
      <c r="K4289" s="1"/>
      <c r="L4289" s="2"/>
    </row>
    <row r="4290" spans="1:12" x14ac:dyDescent="0.2">
      <c r="A4290" s="103"/>
      <c r="B4290" s="104"/>
      <c r="C4290" s="105"/>
      <c r="K4290" s="1"/>
      <c r="L4290" s="2"/>
    </row>
    <row r="4291" spans="1:12" x14ac:dyDescent="0.2">
      <c r="A4291" s="103"/>
      <c r="B4291" s="104"/>
      <c r="C4291" s="105"/>
      <c r="K4291" s="1"/>
      <c r="L4291" s="2"/>
    </row>
    <row r="4292" spans="1:12" x14ac:dyDescent="0.2">
      <c r="A4292" s="103"/>
      <c r="B4292" s="104"/>
      <c r="C4292" s="105"/>
      <c r="K4292" s="1"/>
      <c r="L4292" s="2"/>
    </row>
    <row r="4293" spans="1:12" x14ac:dyDescent="0.2">
      <c r="A4293" s="103"/>
      <c r="B4293" s="104"/>
      <c r="C4293" s="105"/>
      <c r="K4293" s="1"/>
      <c r="L4293" s="2"/>
    </row>
    <row r="4294" spans="1:12" x14ac:dyDescent="0.2">
      <c r="A4294" s="103"/>
      <c r="B4294" s="104"/>
      <c r="C4294" s="105"/>
      <c r="K4294" s="1"/>
      <c r="L4294" s="2"/>
    </row>
    <row r="4295" spans="1:12" x14ac:dyDescent="0.2">
      <c r="A4295" s="103"/>
      <c r="B4295" s="104"/>
      <c r="C4295" s="105"/>
      <c r="K4295" s="1"/>
      <c r="L4295" s="2"/>
    </row>
    <row r="4296" spans="1:12" x14ac:dyDescent="0.2">
      <c r="A4296" s="103"/>
      <c r="B4296" s="104"/>
      <c r="C4296" s="105"/>
      <c r="K4296" s="1"/>
      <c r="L4296" s="2"/>
    </row>
    <row r="4297" spans="1:12" x14ac:dyDescent="0.2">
      <c r="A4297" s="103"/>
      <c r="B4297" s="104"/>
      <c r="C4297" s="105"/>
      <c r="K4297" s="1"/>
      <c r="L4297" s="2"/>
    </row>
    <row r="4298" spans="1:12" x14ac:dyDescent="0.2">
      <c r="A4298" s="103"/>
      <c r="B4298" s="104"/>
      <c r="C4298" s="105"/>
      <c r="K4298" s="1"/>
      <c r="L4298" s="2"/>
    </row>
    <row r="4299" spans="1:12" x14ac:dyDescent="0.2">
      <c r="A4299" s="103"/>
      <c r="B4299" s="104"/>
      <c r="C4299" s="105"/>
      <c r="K4299" s="1"/>
      <c r="L4299" s="2"/>
    </row>
    <row r="4300" spans="1:12" x14ac:dyDescent="0.2">
      <c r="A4300" s="103"/>
      <c r="B4300" s="104"/>
      <c r="C4300" s="105"/>
      <c r="K4300" s="1"/>
      <c r="L4300" s="2"/>
    </row>
    <row r="4301" spans="1:12" x14ac:dyDescent="0.2">
      <c r="A4301" s="103"/>
      <c r="B4301" s="104"/>
      <c r="C4301" s="105"/>
      <c r="K4301" s="1"/>
      <c r="L4301" s="2"/>
    </row>
    <row r="4302" spans="1:12" x14ac:dyDescent="0.2">
      <c r="A4302" s="103"/>
      <c r="B4302" s="104"/>
      <c r="C4302" s="105"/>
      <c r="K4302" s="1"/>
      <c r="L4302" s="2"/>
    </row>
    <row r="4303" spans="1:12" x14ac:dyDescent="0.2">
      <c r="A4303" s="103"/>
      <c r="B4303" s="104"/>
      <c r="C4303" s="105"/>
      <c r="K4303" s="1"/>
      <c r="L4303" s="2"/>
    </row>
    <row r="4304" spans="1:12" x14ac:dyDescent="0.2">
      <c r="A4304" s="103"/>
      <c r="B4304" s="104"/>
      <c r="C4304" s="105"/>
      <c r="K4304" s="1"/>
      <c r="L4304" s="2"/>
    </row>
    <row r="4305" spans="1:12" x14ac:dyDescent="0.2">
      <c r="A4305" s="103"/>
      <c r="B4305" s="104"/>
      <c r="C4305" s="105"/>
      <c r="K4305" s="1"/>
      <c r="L4305" s="2"/>
    </row>
    <row r="4306" spans="1:12" x14ac:dyDescent="0.2">
      <c r="A4306" s="103"/>
      <c r="B4306" s="104"/>
      <c r="C4306" s="105"/>
      <c r="K4306" s="1"/>
      <c r="L4306" s="2"/>
    </row>
    <row r="4307" spans="1:12" x14ac:dyDescent="0.2">
      <c r="A4307" s="103"/>
      <c r="B4307" s="104"/>
      <c r="C4307" s="105"/>
      <c r="K4307" s="1"/>
      <c r="L4307" s="2"/>
    </row>
    <row r="4308" spans="1:12" x14ac:dyDescent="0.2">
      <c r="A4308" s="103"/>
      <c r="B4308" s="104"/>
      <c r="C4308" s="105"/>
      <c r="K4308" s="1"/>
      <c r="L4308" s="2"/>
    </row>
    <row r="4309" spans="1:12" x14ac:dyDescent="0.2">
      <c r="A4309" s="103"/>
      <c r="B4309" s="104"/>
      <c r="C4309" s="105"/>
      <c r="K4309" s="1"/>
      <c r="L4309" s="2"/>
    </row>
    <row r="4310" spans="1:12" x14ac:dyDescent="0.2">
      <c r="A4310" s="103"/>
      <c r="B4310" s="104"/>
      <c r="C4310" s="105"/>
      <c r="K4310" s="1"/>
      <c r="L4310" s="2"/>
    </row>
    <row r="4311" spans="1:12" x14ac:dyDescent="0.2">
      <c r="A4311" s="103"/>
      <c r="B4311" s="104"/>
      <c r="C4311" s="105"/>
      <c r="K4311" s="1"/>
      <c r="L4311" s="2"/>
    </row>
    <row r="4312" spans="1:12" x14ac:dyDescent="0.2">
      <c r="A4312" s="103"/>
      <c r="B4312" s="104"/>
      <c r="C4312" s="105"/>
      <c r="K4312" s="1"/>
      <c r="L4312" s="2"/>
    </row>
    <row r="4313" spans="1:12" x14ac:dyDescent="0.2">
      <c r="A4313" s="103"/>
      <c r="B4313" s="104"/>
      <c r="C4313" s="105"/>
      <c r="K4313" s="1"/>
      <c r="L4313" s="2"/>
    </row>
    <row r="4314" spans="1:12" x14ac:dyDescent="0.2">
      <c r="A4314" s="103"/>
      <c r="B4314" s="104"/>
      <c r="C4314" s="105"/>
      <c r="K4314" s="1"/>
      <c r="L4314" s="2"/>
    </row>
    <row r="4315" spans="1:12" x14ac:dyDescent="0.2">
      <c r="A4315" s="103"/>
      <c r="B4315" s="104"/>
      <c r="C4315" s="105"/>
      <c r="K4315" s="1"/>
      <c r="L4315" s="2"/>
    </row>
    <row r="4316" spans="1:12" x14ac:dyDescent="0.2">
      <c r="A4316" s="103"/>
      <c r="B4316" s="104"/>
      <c r="C4316" s="105"/>
      <c r="K4316" s="1"/>
      <c r="L4316" s="2"/>
    </row>
    <row r="4317" spans="1:12" x14ac:dyDescent="0.2">
      <c r="A4317" s="103"/>
      <c r="B4317" s="104"/>
      <c r="C4317" s="105"/>
      <c r="K4317" s="1"/>
      <c r="L4317" s="2"/>
    </row>
    <row r="4318" spans="1:12" x14ac:dyDescent="0.2">
      <c r="A4318" s="103"/>
      <c r="B4318" s="104"/>
      <c r="C4318" s="105"/>
      <c r="K4318" s="1"/>
      <c r="L4318" s="2"/>
    </row>
    <row r="4319" spans="1:12" x14ac:dyDescent="0.2">
      <c r="A4319" s="103"/>
      <c r="B4319" s="104"/>
      <c r="C4319" s="105"/>
      <c r="K4319" s="1"/>
      <c r="L4319" s="2"/>
    </row>
    <row r="4320" spans="1:12" x14ac:dyDescent="0.2">
      <c r="A4320" s="103"/>
      <c r="B4320" s="104"/>
      <c r="C4320" s="105"/>
      <c r="K4320" s="1"/>
      <c r="L4320" s="2"/>
    </row>
    <row r="4321" spans="1:12" x14ac:dyDescent="0.2">
      <c r="A4321" s="103"/>
      <c r="B4321" s="104"/>
      <c r="C4321" s="105"/>
      <c r="K4321" s="1"/>
      <c r="L4321" s="2"/>
    </row>
    <row r="4322" spans="1:12" x14ac:dyDescent="0.2">
      <c r="A4322" s="103"/>
      <c r="B4322" s="104"/>
      <c r="C4322" s="105"/>
      <c r="K4322" s="1"/>
      <c r="L4322" s="2"/>
    </row>
    <row r="4323" spans="1:12" x14ac:dyDescent="0.2">
      <c r="A4323" s="103"/>
      <c r="B4323" s="104"/>
      <c r="C4323" s="105"/>
      <c r="K4323" s="1"/>
      <c r="L4323" s="2"/>
    </row>
    <row r="4324" spans="1:12" x14ac:dyDescent="0.2">
      <c r="A4324" s="103"/>
      <c r="B4324" s="104"/>
      <c r="C4324" s="105"/>
      <c r="K4324" s="1"/>
      <c r="L4324" s="2"/>
    </row>
    <row r="4325" spans="1:12" x14ac:dyDescent="0.2">
      <c r="A4325" s="103"/>
      <c r="B4325" s="104"/>
      <c r="C4325" s="105"/>
      <c r="K4325" s="1"/>
      <c r="L4325" s="2"/>
    </row>
    <row r="4326" spans="1:12" x14ac:dyDescent="0.2">
      <c r="A4326" s="103"/>
      <c r="B4326" s="104"/>
      <c r="C4326" s="105"/>
      <c r="K4326" s="1"/>
      <c r="L4326" s="2"/>
    </row>
    <row r="4327" spans="1:12" x14ac:dyDescent="0.2">
      <c r="A4327" s="103"/>
      <c r="B4327" s="104"/>
      <c r="C4327" s="105"/>
      <c r="K4327" s="1"/>
      <c r="L4327" s="2"/>
    </row>
    <row r="4328" spans="1:12" x14ac:dyDescent="0.2">
      <c r="A4328" s="103"/>
      <c r="B4328" s="104"/>
      <c r="C4328" s="105"/>
      <c r="K4328" s="1"/>
      <c r="L4328" s="2"/>
    </row>
    <row r="4329" spans="1:12" x14ac:dyDescent="0.2">
      <c r="A4329" s="103"/>
      <c r="B4329" s="104"/>
      <c r="C4329" s="105"/>
      <c r="K4329" s="1"/>
      <c r="L4329" s="2"/>
    </row>
    <row r="4330" spans="1:12" x14ac:dyDescent="0.2">
      <c r="A4330" s="103"/>
      <c r="B4330" s="104"/>
      <c r="C4330" s="105"/>
      <c r="K4330" s="1"/>
      <c r="L4330" s="2"/>
    </row>
    <row r="4331" spans="1:12" x14ac:dyDescent="0.2">
      <c r="A4331" s="103"/>
      <c r="B4331" s="104"/>
      <c r="C4331" s="105"/>
      <c r="K4331" s="1"/>
      <c r="L4331" s="2"/>
    </row>
    <row r="4332" spans="1:12" x14ac:dyDescent="0.2">
      <c r="A4332" s="103"/>
      <c r="B4332" s="104"/>
      <c r="C4332" s="105"/>
      <c r="K4332" s="1"/>
      <c r="L4332" s="2"/>
    </row>
    <row r="4333" spans="1:12" x14ac:dyDescent="0.2">
      <c r="A4333" s="103"/>
      <c r="B4333" s="104"/>
      <c r="C4333" s="105"/>
      <c r="K4333" s="1"/>
      <c r="L4333" s="2"/>
    </row>
    <row r="4334" spans="1:12" x14ac:dyDescent="0.2">
      <c r="A4334" s="103"/>
      <c r="B4334" s="104"/>
      <c r="C4334" s="105"/>
      <c r="K4334" s="1"/>
      <c r="L4334" s="2"/>
    </row>
    <row r="4335" spans="1:12" x14ac:dyDescent="0.2">
      <c r="A4335" s="103"/>
      <c r="B4335" s="104"/>
      <c r="C4335" s="105"/>
      <c r="K4335" s="1"/>
      <c r="L4335" s="2"/>
    </row>
    <row r="4336" spans="1:12" x14ac:dyDescent="0.2">
      <c r="A4336" s="103"/>
      <c r="B4336" s="104"/>
      <c r="C4336" s="105"/>
      <c r="K4336" s="1"/>
      <c r="L4336" s="2"/>
    </row>
    <row r="4337" spans="1:12" x14ac:dyDescent="0.2">
      <c r="A4337" s="103"/>
      <c r="B4337" s="104"/>
      <c r="C4337" s="105"/>
      <c r="K4337" s="1"/>
      <c r="L4337" s="2"/>
    </row>
    <row r="4338" spans="1:12" x14ac:dyDescent="0.2">
      <c r="A4338" s="103"/>
      <c r="B4338" s="104"/>
      <c r="C4338" s="105"/>
      <c r="K4338" s="1"/>
      <c r="L4338" s="2"/>
    </row>
    <row r="4339" spans="1:12" x14ac:dyDescent="0.2">
      <c r="A4339" s="103"/>
      <c r="B4339" s="104"/>
      <c r="C4339" s="105"/>
      <c r="K4339" s="1"/>
      <c r="L4339" s="2"/>
    </row>
    <row r="4340" spans="1:12" x14ac:dyDescent="0.2">
      <c r="A4340" s="103"/>
      <c r="B4340" s="104"/>
      <c r="C4340" s="105"/>
      <c r="K4340" s="1"/>
      <c r="L4340" s="2"/>
    </row>
    <row r="4341" spans="1:12" x14ac:dyDescent="0.2">
      <c r="A4341" s="103"/>
      <c r="B4341" s="104"/>
      <c r="C4341" s="105"/>
      <c r="K4341" s="1"/>
      <c r="L4341" s="2"/>
    </row>
    <row r="4342" spans="1:12" x14ac:dyDescent="0.2">
      <c r="A4342" s="103"/>
      <c r="B4342" s="104"/>
      <c r="C4342" s="105"/>
      <c r="K4342" s="1"/>
      <c r="L4342" s="2"/>
    </row>
    <row r="4343" spans="1:12" x14ac:dyDescent="0.2">
      <c r="A4343" s="103"/>
      <c r="B4343" s="104"/>
      <c r="C4343" s="105"/>
      <c r="K4343" s="1"/>
      <c r="L4343" s="2"/>
    </row>
    <row r="4344" spans="1:12" x14ac:dyDescent="0.2">
      <c r="A4344" s="103"/>
      <c r="B4344" s="104"/>
      <c r="C4344" s="105"/>
      <c r="K4344" s="1"/>
      <c r="L4344" s="2"/>
    </row>
    <row r="4345" spans="1:12" x14ac:dyDescent="0.2">
      <c r="A4345" s="103"/>
      <c r="B4345" s="104"/>
      <c r="C4345" s="105"/>
      <c r="K4345" s="1"/>
      <c r="L4345" s="2"/>
    </row>
    <row r="4346" spans="1:12" x14ac:dyDescent="0.2">
      <c r="A4346" s="103"/>
      <c r="B4346" s="104"/>
      <c r="C4346" s="105"/>
      <c r="K4346" s="1"/>
      <c r="L4346" s="2"/>
    </row>
    <row r="4347" spans="1:12" x14ac:dyDescent="0.2">
      <c r="A4347" s="103"/>
      <c r="B4347" s="104"/>
      <c r="C4347" s="105"/>
      <c r="K4347" s="1"/>
      <c r="L4347" s="2"/>
    </row>
    <row r="4348" spans="1:12" x14ac:dyDescent="0.2">
      <c r="A4348" s="103"/>
      <c r="B4348" s="104"/>
      <c r="C4348" s="105"/>
      <c r="K4348" s="1"/>
      <c r="L4348" s="2"/>
    </row>
    <row r="4349" spans="1:12" x14ac:dyDescent="0.2">
      <c r="A4349" s="103"/>
      <c r="B4349" s="104"/>
      <c r="C4349" s="105"/>
      <c r="K4349" s="1"/>
      <c r="L4349" s="2"/>
    </row>
    <row r="4350" spans="1:12" x14ac:dyDescent="0.2">
      <c r="A4350" s="103"/>
      <c r="B4350" s="104"/>
      <c r="C4350" s="105"/>
      <c r="K4350" s="1"/>
      <c r="L4350" s="2"/>
    </row>
    <row r="4351" spans="1:12" x14ac:dyDescent="0.2">
      <c r="A4351" s="103"/>
      <c r="B4351" s="104"/>
      <c r="C4351" s="105"/>
      <c r="K4351" s="1"/>
      <c r="L4351" s="2"/>
    </row>
    <row r="4352" spans="1:12" x14ac:dyDescent="0.2">
      <c r="A4352" s="103"/>
      <c r="B4352" s="104"/>
      <c r="C4352" s="105"/>
      <c r="K4352" s="1"/>
      <c r="L4352" s="2"/>
    </row>
    <row r="4353" spans="1:12" x14ac:dyDescent="0.2">
      <c r="A4353" s="103"/>
      <c r="B4353" s="104"/>
      <c r="C4353" s="105"/>
      <c r="K4353" s="1"/>
      <c r="L4353" s="2"/>
    </row>
    <row r="4354" spans="1:12" x14ac:dyDescent="0.2">
      <c r="A4354" s="103"/>
      <c r="B4354" s="104"/>
      <c r="C4354" s="105"/>
      <c r="K4354" s="1"/>
      <c r="L4354" s="2"/>
    </row>
    <row r="4355" spans="1:12" x14ac:dyDescent="0.2">
      <c r="A4355" s="103"/>
      <c r="B4355" s="104"/>
      <c r="C4355" s="105"/>
      <c r="K4355" s="1"/>
      <c r="L4355" s="2"/>
    </row>
    <row r="4356" spans="1:12" x14ac:dyDescent="0.2">
      <c r="A4356" s="103"/>
      <c r="B4356" s="104"/>
      <c r="C4356" s="105"/>
      <c r="K4356" s="1"/>
      <c r="L4356" s="2"/>
    </row>
    <row r="4357" spans="1:12" x14ac:dyDescent="0.2">
      <c r="A4357" s="103"/>
      <c r="B4357" s="104"/>
      <c r="C4357" s="105"/>
      <c r="K4357" s="1"/>
      <c r="L4357" s="2"/>
    </row>
    <row r="4358" spans="1:12" x14ac:dyDescent="0.2">
      <c r="A4358" s="103"/>
      <c r="B4358" s="104"/>
      <c r="C4358" s="105"/>
      <c r="K4358" s="1"/>
      <c r="L4358" s="2"/>
    </row>
    <row r="4359" spans="1:12" x14ac:dyDescent="0.2">
      <c r="A4359" s="103"/>
      <c r="B4359" s="104"/>
      <c r="C4359" s="105"/>
      <c r="K4359" s="1"/>
      <c r="L4359" s="2"/>
    </row>
    <row r="4360" spans="1:12" x14ac:dyDescent="0.2">
      <c r="A4360" s="103"/>
      <c r="B4360" s="104"/>
      <c r="C4360" s="105"/>
      <c r="K4360" s="1"/>
      <c r="L4360" s="2"/>
    </row>
    <row r="4361" spans="1:12" x14ac:dyDescent="0.2">
      <c r="A4361" s="103"/>
      <c r="B4361" s="104"/>
      <c r="C4361" s="105"/>
      <c r="K4361" s="1"/>
      <c r="L4361" s="2"/>
    </row>
    <row r="4362" spans="1:12" x14ac:dyDescent="0.2">
      <c r="A4362" s="103"/>
      <c r="B4362" s="104"/>
      <c r="C4362" s="105"/>
      <c r="K4362" s="1"/>
      <c r="L4362" s="2"/>
    </row>
    <row r="4363" spans="1:12" x14ac:dyDescent="0.2">
      <c r="A4363" s="103"/>
      <c r="B4363" s="104"/>
      <c r="C4363" s="105"/>
      <c r="K4363" s="1"/>
      <c r="L4363" s="2"/>
    </row>
    <row r="4364" spans="1:12" x14ac:dyDescent="0.2">
      <c r="A4364" s="103"/>
      <c r="B4364" s="104"/>
      <c r="C4364" s="105"/>
      <c r="K4364" s="1"/>
      <c r="L4364" s="2"/>
    </row>
    <row r="4365" spans="1:12" x14ac:dyDescent="0.2">
      <c r="A4365" s="103"/>
      <c r="B4365" s="104"/>
      <c r="C4365" s="105"/>
      <c r="K4365" s="1"/>
      <c r="L4365" s="2"/>
    </row>
    <row r="4366" spans="1:12" x14ac:dyDescent="0.2">
      <c r="A4366" s="103"/>
      <c r="B4366" s="104"/>
      <c r="C4366" s="105"/>
      <c r="K4366" s="1"/>
      <c r="L4366" s="2"/>
    </row>
    <row r="4367" spans="1:12" x14ac:dyDescent="0.2">
      <c r="A4367" s="103"/>
      <c r="B4367" s="104"/>
      <c r="C4367" s="105"/>
      <c r="K4367" s="1"/>
      <c r="L4367" s="2"/>
    </row>
    <row r="4368" spans="1:12" x14ac:dyDescent="0.2">
      <c r="A4368" s="103"/>
      <c r="B4368" s="104"/>
      <c r="C4368" s="105"/>
      <c r="K4368" s="1"/>
      <c r="L4368" s="2"/>
    </row>
    <row r="4369" spans="1:12" x14ac:dyDescent="0.2">
      <c r="A4369" s="103"/>
      <c r="B4369" s="104"/>
      <c r="C4369" s="105"/>
      <c r="K4369" s="1"/>
      <c r="L4369" s="2"/>
    </row>
    <row r="4370" spans="1:12" x14ac:dyDescent="0.2">
      <c r="A4370" s="103"/>
      <c r="B4370" s="104"/>
      <c r="C4370" s="105"/>
      <c r="K4370" s="1"/>
      <c r="L4370" s="2"/>
    </row>
    <row r="4371" spans="1:12" x14ac:dyDescent="0.2">
      <c r="A4371" s="103"/>
      <c r="B4371" s="104"/>
      <c r="C4371" s="105"/>
      <c r="K4371" s="1"/>
      <c r="L4371" s="2"/>
    </row>
    <row r="4372" spans="1:12" x14ac:dyDescent="0.2">
      <c r="A4372" s="103"/>
      <c r="B4372" s="104"/>
      <c r="C4372" s="105"/>
      <c r="K4372" s="1"/>
      <c r="L4372" s="2"/>
    </row>
    <row r="4373" spans="1:12" x14ac:dyDescent="0.2">
      <c r="A4373" s="103"/>
      <c r="B4373" s="104"/>
      <c r="C4373" s="105"/>
      <c r="K4373" s="1"/>
      <c r="L4373" s="2"/>
    </row>
    <row r="4374" spans="1:12" x14ac:dyDescent="0.2">
      <c r="A4374" s="103"/>
      <c r="B4374" s="104"/>
      <c r="C4374" s="105"/>
      <c r="K4374" s="1"/>
      <c r="L4374" s="2"/>
    </row>
    <row r="4375" spans="1:12" x14ac:dyDescent="0.2">
      <c r="A4375" s="103"/>
      <c r="B4375" s="104"/>
      <c r="C4375" s="105"/>
      <c r="K4375" s="1"/>
      <c r="L4375" s="2"/>
    </row>
    <row r="4376" spans="1:12" x14ac:dyDescent="0.2">
      <c r="A4376" s="103"/>
      <c r="B4376" s="104"/>
      <c r="C4376" s="105"/>
      <c r="K4376" s="1"/>
      <c r="L4376" s="2"/>
    </row>
    <row r="4377" spans="1:12" x14ac:dyDescent="0.2">
      <c r="A4377" s="103"/>
      <c r="B4377" s="104"/>
      <c r="C4377" s="105"/>
      <c r="K4377" s="1"/>
      <c r="L4377" s="2"/>
    </row>
    <row r="4378" spans="1:12" x14ac:dyDescent="0.2">
      <c r="A4378" s="103"/>
      <c r="B4378" s="104"/>
      <c r="C4378" s="105"/>
      <c r="K4378" s="1"/>
      <c r="L4378" s="2"/>
    </row>
    <row r="4379" spans="1:12" x14ac:dyDescent="0.2">
      <c r="A4379" s="103"/>
      <c r="B4379" s="104"/>
      <c r="C4379" s="105"/>
      <c r="K4379" s="1"/>
      <c r="L4379" s="2"/>
    </row>
    <row r="4380" spans="1:12" x14ac:dyDescent="0.2">
      <c r="A4380" s="103"/>
      <c r="B4380" s="104"/>
      <c r="C4380" s="105"/>
      <c r="K4380" s="1"/>
      <c r="L4380" s="2"/>
    </row>
    <row r="4381" spans="1:12" x14ac:dyDescent="0.2">
      <c r="A4381" s="103"/>
      <c r="B4381" s="104"/>
      <c r="C4381" s="105"/>
      <c r="K4381" s="1"/>
      <c r="L4381" s="2"/>
    </row>
    <row r="4382" spans="1:12" x14ac:dyDescent="0.2">
      <c r="A4382" s="103"/>
      <c r="B4382" s="104"/>
      <c r="C4382" s="105"/>
      <c r="K4382" s="1"/>
      <c r="L4382" s="2"/>
    </row>
    <row r="4383" spans="1:12" x14ac:dyDescent="0.2">
      <c r="A4383" s="103"/>
      <c r="B4383" s="104"/>
      <c r="C4383" s="105"/>
      <c r="K4383" s="1"/>
      <c r="L4383" s="2"/>
    </row>
    <row r="4384" spans="1:12" x14ac:dyDescent="0.2">
      <c r="A4384" s="103"/>
      <c r="B4384" s="104"/>
      <c r="C4384" s="105"/>
      <c r="K4384" s="1"/>
      <c r="L4384" s="2"/>
    </row>
    <row r="4385" spans="1:12" x14ac:dyDescent="0.2">
      <c r="A4385" s="103"/>
      <c r="B4385" s="104"/>
      <c r="C4385" s="105"/>
      <c r="K4385" s="1"/>
      <c r="L4385" s="2"/>
    </row>
    <row r="4386" spans="1:12" x14ac:dyDescent="0.2">
      <c r="A4386" s="103"/>
      <c r="B4386" s="104"/>
      <c r="C4386" s="105"/>
      <c r="K4386" s="1"/>
      <c r="L4386" s="2"/>
    </row>
    <row r="4387" spans="1:12" x14ac:dyDescent="0.2">
      <c r="A4387" s="103"/>
      <c r="B4387" s="104"/>
      <c r="C4387" s="105"/>
      <c r="K4387" s="1"/>
      <c r="L4387" s="2"/>
    </row>
    <row r="4388" spans="1:12" x14ac:dyDescent="0.2">
      <c r="A4388" s="103"/>
      <c r="B4388" s="104"/>
      <c r="C4388" s="105"/>
      <c r="K4388" s="1"/>
      <c r="L4388" s="2"/>
    </row>
    <row r="4389" spans="1:12" x14ac:dyDescent="0.2">
      <c r="A4389" s="103"/>
      <c r="B4389" s="104"/>
      <c r="C4389" s="105"/>
      <c r="K4389" s="1"/>
      <c r="L4389" s="2"/>
    </row>
    <row r="4390" spans="1:12" x14ac:dyDescent="0.2">
      <c r="A4390" s="103"/>
      <c r="B4390" s="104"/>
      <c r="C4390" s="105"/>
      <c r="K4390" s="1"/>
      <c r="L4390" s="2"/>
    </row>
    <row r="4391" spans="1:12" x14ac:dyDescent="0.2">
      <c r="A4391" s="103"/>
      <c r="B4391" s="104"/>
      <c r="C4391" s="105"/>
      <c r="K4391" s="1"/>
      <c r="L4391" s="2"/>
    </row>
    <row r="4392" spans="1:12" x14ac:dyDescent="0.2">
      <c r="A4392" s="103"/>
      <c r="B4392" s="104"/>
      <c r="C4392" s="105"/>
      <c r="K4392" s="1"/>
      <c r="L4392" s="2"/>
    </row>
    <row r="4393" spans="1:12" x14ac:dyDescent="0.2">
      <c r="A4393" s="103"/>
      <c r="B4393" s="104"/>
      <c r="C4393" s="105"/>
      <c r="K4393" s="1"/>
      <c r="L4393" s="2"/>
    </row>
    <row r="4394" spans="1:12" x14ac:dyDescent="0.2">
      <c r="A4394" s="103"/>
      <c r="B4394" s="104"/>
      <c r="C4394" s="105"/>
      <c r="K4394" s="1"/>
      <c r="L4394" s="2"/>
    </row>
    <row r="4395" spans="1:12" x14ac:dyDescent="0.2">
      <c r="A4395" s="103"/>
      <c r="B4395" s="104"/>
      <c r="C4395" s="105"/>
      <c r="K4395" s="1"/>
      <c r="L4395" s="2"/>
    </row>
    <row r="4396" spans="1:12" x14ac:dyDescent="0.2">
      <c r="A4396" s="103"/>
      <c r="B4396" s="104"/>
      <c r="C4396" s="105"/>
      <c r="K4396" s="1"/>
      <c r="L4396" s="2"/>
    </row>
    <row r="4397" spans="1:12" x14ac:dyDescent="0.2">
      <c r="A4397" s="103"/>
      <c r="B4397" s="104"/>
      <c r="C4397" s="105"/>
      <c r="K4397" s="1"/>
      <c r="L4397" s="2"/>
    </row>
    <row r="4398" spans="1:12" x14ac:dyDescent="0.2">
      <c r="A4398" s="103"/>
      <c r="B4398" s="104"/>
      <c r="C4398" s="105"/>
      <c r="K4398" s="1"/>
      <c r="L4398" s="2"/>
    </row>
    <row r="4399" spans="1:12" x14ac:dyDescent="0.2">
      <c r="A4399" s="103"/>
      <c r="B4399" s="104"/>
      <c r="C4399" s="105"/>
      <c r="K4399" s="1"/>
      <c r="L4399" s="2"/>
    </row>
    <row r="4400" spans="1:12" x14ac:dyDescent="0.2">
      <c r="A4400" s="103"/>
      <c r="B4400" s="104"/>
      <c r="C4400" s="105"/>
      <c r="K4400" s="1"/>
      <c r="L4400" s="2"/>
    </row>
    <row r="4401" spans="1:12" x14ac:dyDescent="0.2">
      <c r="A4401" s="103"/>
      <c r="B4401" s="104"/>
      <c r="C4401" s="105"/>
      <c r="K4401" s="1"/>
      <c r="L4401" s="2"/>
    </row>
    <row r="4402" spans="1:12" x14ac:dyDescent="0.2">
      <c r="A4402" s="103"/>
      <c r="B4402" s="104"/>
      <c r="C4402" s="105"/>
      <c r="K4402" s="1"/>
      <c r="L4402" s="2"/>
    </row>
    <row r="4403" spans="1:12" x14ac:dyDescent="0.2">
      <c r="A4403" s="103"/>
      <c r="B4403" s="104"/>
      <c r="C4403" s="105"/>
      <c r="K4403" s="1"/>
      <c r="L4403" s="2"/>
    </row>
    <row r="4404" spans="1:12" x14ac:dyDescent="0.2">
      <c r="A4404" s="103"/>
      <c r="B4404" s="104"/>
      <c r="C4404" s="105"/>
      <c r="K4404" s="1"/>
      <c r="L4404" s="2"/>
    </row>
    <row r="4405" spans="1:12" x14ac:dyDescent="0.2">
      <c r="A4405" s="103"/>
      <c r="B4405" s="104"/>
      <c r="C4405" s="105"/>
      <c r="K4405" s="1"/>
      <c r="L4405" s="2"/>
    </row>
    <row r="4406" spans="1:12" x14ac:dyDescent="0.2">
      <c r="A4406" s="103"/>
      <c r="B4406" s="104"/>
      <c r="C4406" s="105"/>
      <c r="K4406" s="1"/>
      <c r="L4406" s="2"/>
    </row>
    <row r="4407" spans="1:12" x14ac:dyDescent="0.2">
      <c r="A4407" s="103"/>
      <c r="B4407" s="104"/>
      <c r="C4407" s="105"/>
      <c r="K4407" s="1"/>
      <c r="L4407" s="2"/>
    </row>
    <row r="4408" spans="1:12" x14ac:dyDescent="0.2">
      <c r="A4408" s="103"/>
      <c r="B4408" s="104"/>
      <c r="C4408" s="105"/>
      <c r="K4408" s="1"/>
      <c r="L4408" s="2"/>
    </row>
    <row r="4409" spans="1:12" x14ac:dyDescent="0.2">
      <c r="A4409" s="103"/>
      <c r="B4409" s="104"/>
      <c r="C4409" s="105"/>
      <c r="K4409" s="1"/>
      <c r="L4409" s="2"/>
    </row>
    <row r="4410" spans="1:12" x14ac:dyDescent="0.2">
      <c r="A4410" s="103"/>
      <c r="B4410" s="104"/>
      <c r="C4410" s="105"/>
      <c r="K4410" s="1"/>
      <c r="L4410" s="2"/>
    </row>
    <row r="4411" spans="1:12" x14ac:dyDescent="0.2">
      <c r="A4411" s="103"/>
      <c r="B4411" s="104"/>
      <c r="C4411" s="105"/>
      <c r="K4411" s="1"/>
      <c r="L4411" s="2"/>
    </row>
    <row r="4412" spans="1:12" x14ac:dyDescent="0.2">
      <c r="A4412" s="103"/>
      <c r="B4412" s="104"/>
      <c r="C4412" s="105"/>
      <c r="K4412" s="1"/>
      <c r="L4412" s="2"/>
    </row>
    <row r="4413" spans="1:12" x14ac:dyDescent="0.2">
      <c r="A4413" s="103"/>
      <c r="B4413" s="104"/>
      <c r="C4413" s="105"/>
      <c r="K4413" s="1"/>
      <c r="L4413" s="2"/>
    </row>
    <row r="4414" spans="1:12" x14ac:dyDescent="0.2">
      <c r="A4414" s="103"/>
      <c r="B4414" s="104"/>
      <c r="C4414" s="105"/>
      <c r="K4414" s="1"/>
      <c r="L4414" s="2"/>
    </row>
    <row r="4415" spans="1:12" x14ac:dyDescent="0.2">
      <c r="A4415" s="103"/>
      <c r="B4415" s="104"/>
      <c r="C4415" s="105"/>
      <c r="K4415" s="1"/>
      <c r="L4415" s="2"/>
    </row>
    <row r="4416" spans="1:12" x14ac:dyDescent="0.2">
      <c r="A4416" s="103"/>
      <c r="B4416" s="104"/>
      <c r="C4416" s="105"/>
      <c r="K4416" s="1"/>
      <c r="L4416" s="2"/>
    </row>
    <row r="4417" spans="1:12" x14ac:dyDescent="0.2">
      <c r="A4417" s="103"/>
      <c r="B4417" s="104"/>
      <c r="C4417" s="105"/>
      <c r="K4417" s="1"/>
      <c r="L4417" s="2"/>
    </row>
    <row r="4418" spans="1:12" x14ac:dyDescent="0.2">
      <c r="A4418" s="103"/>
      <c r="B4418" s="104"/>
      <c r="C4418" s="105"/>
      <c r="K4418" s="1"/>
      <c r="L4418" s="2"/>
    </row>
    <row r="4419" spans="1:12" x14ac:dyDescent="0.2">
      <c r="A4419" s="103"/>
      <c r="B4419" s="104"/>
      <c r="C4419" s="105"/>
      <c r="K4419" s="1"/>
      <c r="L4419" s="2"/>
    </row>
    <row r="4420" spans="1:12" x14ac:dyDescent="0.2">
      <c r="A4420" s="103"/>
      <c r="B4420" s="104"/>
      <c r="C4420" s="105"/>
      <c r="K4420" s="1"/>
      <c r="L4420" s="2"/>
    </row>
    <row r="4421" spans="1:12" x14ac:dyDescent="0.2">
      <c r="A4421" s="103"/>
      <c r="B4421" s="104"/>
      <c r="C4421" s="105"/>
      <c r="K4421" s="1"/>
      <c r="L4421" s="2"/>
    </row>
    <row r="4422" spans="1:12" x14ac:dyDescent="0.2">
      <c r="A4422" s="103"/>
      <c r="B4422" s="104"/>
      <c r="C4422" s="105"/>
      <c r="K4422" s="1"/>
      <c r="L4422" s="2"/>
    </row>
    <row r="4423" spans="1:12" x14ac:dyDescent="0.2">
      <c r="A4423" s="103"/>
      <c r="B4423" s="104"/>
      <c r="C4423" s="105"/>
      <c r="K4423" s="1"/>
      <c r="L4423" s="2"/>
    </row>
    <row r="4424" spans="1:12" x14ac:dyDescent="0.2">
      <c r="A4424" s="103"/>
      <c r="B4424" s="104"/>
      <c r="C4424" s="105"/>
      <c r="K4424" s="1"/>
      <c r="L4424" s="2"/>
    </row>
    <row r="4425" spans="1:12" x14ac:dyDescent="0.2">
      <c r="A4425" s="103"/>
      <c r="B4425" s="104"/>
      <c r="C4425" s="105"/>
      <c r="K4425" s="1"/>
      <c r="L4425" s="2"/>
    </row>
    <row r="4426" spans="1:12" x14ac:dyDescent="0.2">
      <c r="A4426" s="103"/>
      <c r="B4426" s="104"/>
      <c r="C4426" s="105"/>
      <c r="K4426" s="1"/>
      <c r="L4426" s="2"/>
    </row>
    <row r="4427" spans="1:12" x14ac:dyDescent="0.2">
      <c r="A4427" s="103"/>
      <c r="B4427" s="104"/>
      <c r="C4427" s="105"/>
      <c r="K4427" s="1"/>
      <c r="L4427" s="2"/>
    </row>
    <row r="4428" spans="1:12" x14ac:dyDescent="0.2">
      <c r="A4428" s="103"/>
      <c r="B4428" s="104"/>
      <c r="C4428" s="105"/>
      <c r="K4428" s="1"/>
      <c r="L4428" s="2"/>
    </row>
    <row r="4429" spans="1:12" x14ac:dyDescent="0.2">
      <c r="A4429" s="103"/>
      <c r="B4429" s="104"/>
      <c r="C4429" s="105"/>
      <c r="K4429" s="1"/>
      <c r="L4429" s="2"/>
    </row>
    <row r="4430" spans="1:12" x14ac:dyDescent="0.2">
      <c r="A4430" s="103"/>
      <c r="B4430" s="104"/>
      <c r="C4430" s="105"/>
      <c r="K4430" s="1"/>
      <c r="L4430" s="2"/>
    </row>
    <row r="4431" spans="1:12" x14ac:dyDescent="0.2">
      <c r="A4431" s="103"/>
      <c r="B4431" s="104"/>
      <c r="C4431" s="105"/>
      <c r="K4431" s="1"/>
      <c r="L4431" s="2"/>
    </row>
    <row r="4432" spans="1:12" x14ac:dyDescent="0.2">
      <c r="A4432" s="103"/>
      <c r="B4432" s="104"/>
      <c r="C4432" s="105"/>
      <c r="K4432" s="1"/>
      <c r="L4432" s="2"/>
    </row>
    <row r="4433" spans="1:12" x14ac:dyDescent="0.2">
      <c r="A4433" s="103"/>
      <c r="B4433" s="104"/>
      <c r="C4433" s="105"/>
      <c r="K4433" s="1"/>
      <c r="L4433" s="2"/>
    </row>
    <row r="4434" spans="1:12" x14ac:dyDescent="0.2">
      <c r="A4434" s="103"/>
      <c r="B4434" s="104"/>
      <c r="C4434" s="105"/>
      <c r="K4434" s="1"/>
      <c r="L4434" s="2"/>
    </row>
    <row r="4435" spans="1:12" x14ac:dyDescent="0.2">
      <c r="A4435" s="103"/>
      <c r="B4435" s="104"/>
      <c r="C4435" s="105"/>
      <c r="K4435" s="1"/>
      <c r="L4435" s="2"/>
    </row>
    <row r="4436" spans="1:12" x14ac:dyDescent="0.2">
      <c r="A4436" s="103"/>
      <c r="B4436" s="104"/>
      <c r="C4436" s="105"/>
      <c r="K4436" s="1"/>
      <c r="L4436" s="2"/>
    </row>
    <row r="4437" spans="1:12" x14ac:dyDescent="0.2">
      <c r="A4437" s="103"/>
      <c r="B4437" s="104"/>
      <c r="C4437" s="105"/>
      <c r="K4437" s="1"/>
      <c r="L4437" s="2"/>
    </row>
    <row r="4438" spans="1:12" x14ac:dyDescent="0.2">
      <c r="A4438" s="103"/>
      <c r="B4438" s="104"/>
      <c r="C4438" s="105"/>
      <c r="K4438" s="1"/>
      <c r="L4438" s="2"/>
    </row>
    <row r="4439" spans="1:12" x14ac:dyDescent="0.2">
      <c r="A4439" s="103"/>
      <c r="B4439" s="104"/>
      <c r="C4439" s="105"/>
      <c r="K4439" s="1"/>
      <c r="L4439" s="2"/>
    </row>
    <row r="4440" spans="1:12" x14ac:dyDescent="0.2">
      <c r="A4440" s="103"/>
      <c r="B4440" s="104"/>
      <c r="C4440" s="105"/>
      <c r="K4440" s="1"/>
      <c r="L4440" s="2"/>
    </row>
    <row r="4441" spans="1:12" x14ac:dyDescent="0.2">
      <c r="A4441" s="103"/>
      <c r="B4441" s="104"/>
      <c r="C4441" s="105"/>
      <c r="K4441" s="1"/>
      <c r="L4441" s="2"/>
    </row>
    <row r="4442" spans="1:12" x14ac:dyDescent="0.2">
      <c r="A4442" s="103"/>
      <c r="B4442" s="104"/>
      <c r="C4442" s="105"/>
      <c r="K4442" s="1"/>
      <c r="L4442" s="2"/>
    </row>
    <row r="4443" spans="1:12" x14ac:dyDescent="0.2">
      <c r="A4443" s="103"/>
      <c r="B4443" s="104"/>
      <c r="C4443" s="105"/>
      <c r="K4443" s="1"/>
      <c r="L4443" s="2"/>
    </row>
    <row r="4444" spans="1:12" x14ac:dyDescent="0.2">
      <c r="A4444" s="103"/>
      <c r="B4444" s="104"/>
      <c r="C4444" s="105"/>
      <c r="K4444" s="1"/>
      <c r="L4444" s="2"/>
    </row>
    <row r="4445" spans="1:12" x14ac:dyDescent="0.2">
      <c r="A4445" s="103"/>
      <c r="B4445" s="104"/>
      <c r="C4445" s="105"/>
      <c r="K4445" s="1"/>
      <c r="L4445" s="2"/>
    </row>
    <row r="4446" spans="1:12" x14ac:dyDescent="0.2">
      <c r="A4446" s="103"/>
      <c r="B4446" s="104"/>
      <c r="C4446" s="105"/>
      <c r="K4446" s="1"/>
      <c r="L4446" s="2"/>
    </row>
    <row r="4447" spans="1:12" x14ac:dyDescent="0.2">
      <c r="A4447" s="103"/>
      <c r="B4447" s="104"/>
      <c r="C4447" s="105"/>
      <c r="K4447" s="1"/>
      <c r="L4447" s="2"/>
    </row>
    <row r="4448" spans="1:12" x14ac:dyDescent="0.2">
      <c r="A4448" s="103"/>
      <c r="B4448" s="104"/>
      <c r="C4448" s="105"/>
      <c r="K4448" s="1"/>
      <c r="L4448" s="2"/>
    </row>
    <row r="4449" spans="1:12" x14ac:dyDescent="0.2">
      <c r="A4449" s="103"/>
      <c r="B4449" s="104"/>
      <c r="C4449" s="105"/>
      <c r="K4449" s="1"/>
      <c r="L4449" s="2"/>
    </row>
    <row r="4450" spans="1:12" x14ac:dyDescent="0.2">
      <c r="A4450" s="103"/>
      <c r="B4450" s="104"/>
      <c r="C4450" s="105"/>
      <c r="K4450" s="1"/>
      <c r="L4450" s="2"/>
    </row>
    <row r="4451" spans="1:12" x14ac:dyDescent="0.2">
      <c r="A4451" s="103"/>
      <c r="B4451" s="104"/>
      <c r="C4451" s="105"/>
      <c r="K4451" s="1"/>
      <c r="L4451" s="2"/>
    </row>
    <row r="4452" spans="1:12" x14ac:dyDescent="0.2">
      <c r="A4452" s="103"/>
      <c r="B4452" s="104"/>
      <c r="C4452" s="105"/>
      <c r="K4452" s="1"/>
      <c r="L4452" s="2"/>
    </row>
    <row r="4453" spans="1:12" x14ac:dyDescent="0.2">
      <c r="A4453" s="103"/>
      <c r="B4453" s="104"/>
      <c r="C4453" s="105"/>
      <c r="K4453" s="1"/>
      <c r="L4453" s="2"/>
    </row>
    <row r="4454" spans="1:12" x14ac:dyDescent="0.2">
      <c r="A4454" s="103"/>
      <c r="B4454" s="104"/>
      <c r="C4454" s="105"/>
      <c r="K4454" s="1"/>
      <c r="L4454" s="2"/>
    </row>
    <row r="4455" spans="1:12" x14ac:dyDescent="0.2">
      <c r="A4455" s="103"/>
      <c r="B4455" s="104"/>
      <c r="C4455" s="105"/>
      <c r="K4455" s="1"/>
      <c r="L4455" s="2"/>
    </row>
    <row r="4456" spans="1:12" x14ac:dyDescent="0.2">
      <c r="A4456" s="103"/>
      <c r="B4456" s="104"/>
      <c r="C4456" s="105"/>
      <c r="K4456" s="1"/>
      <c r="L4456" s="2"/>
    </row>
    <row r="4457" spans="1:12" x14ac:dyDescent="0.2">
      <c r="A4457" s="103"/>
      <c r="B4457" s="104"/>
      <c r="C4457" s="105"/>
      <c r="K4457" s="1"/>
      <c r="L4457" s="2"/>
    </row>
    <row r="4458" spans="1:12" x14ac:dyDescent="0.2">
      <c r="A4458" s="103"/>
      <c r="B4458" s="104"/>
      <c r="C4458" s="105"/>
      <c r="K4458" s="1"/>
      <c r="L4458" s="2"/>
    </row>
    <row r="4459" spans="1:12" x14ac:dyDescent="0.2">
      <c r="A4459" s="103"/>
      <c r="B4459" s="104"/>
      <c r="C4459" s="105"/>
      <c r="K4459" s="1"/>
      <c r="L4459" s="2"/>
    </row>
    <row r="4460" spans="1:12" x14ac:dyDescent="0.2">
      <c r="A4460" s="103"/>
      <c r="B4460" s="104"/>
      <c r="C4460" s="105"/>
      <c r="K4460" s="1"/>
      <c r="L4460" s="2"/>
    </row>
    <row r="4461" spans="1:12" x14ac:dyDescent="0.2">
      <c r="A4461" s="103"/>
      <c r="B4461" s="104"/>
      <c r="C4461" s="105"/>
      <c r="K4461" s="1"/>
      <c r="L4461" s="2"/>
    </row>
    <row r="4462" spans="1:12" x14ac:dyDescent="0.2">
      <c r="A4462" s="103"/>
      <c r="B4462" s="104"/>
      <c r="C4462" s="105"/>
      <c r="K4462" s="1"/>
      <c r="L4462" s="2"/>
    </row>
    <row r="4463" spans="1:12" x14ac:dyDescent="0.2">
      <c r="A4463" s="103"/>
      <c r="B4463" s="104"/>
      <c r="C4463" s="105"/>
      <c r="K4463" s="1"/>
      <c r="L4463" s="2"/>
    </row>
    <row r="4464" spans="1:12" x14ac:dyDescent="0.2">
      <c r="A4464" s="103"/>
      <c r="B4464" s="104"/>
      <c r="C4464" s="105"/>
      <c r="K4464" s="1"/>
      <c r="L4464" s="2"/>
    </row>
    <row r="4465" spans="1:12" x14ac:dyDescent="0.2">
      <c r="A4465" s="103"/>
      <c r="B4465" s="104"/>
      <c r="C4465" s="105"/>
      <c r="K4465" s="1"/>
      <c r="L4465" s="2"/>
    </row>
    <row r="4466" spans="1:12" x14ac:dyDescent="0.2">
      <c r="A4466" s="103"/>
      <c r="B4466" s="104"/>
      <c r="C4466" s="105"/>
      <c r="K4466" s="1"/>
      <c r="L4466" s="2"/>
    </row>
    <row r="4467" spans="1:12" x14ac:dyDescent="0.2">
      <c r="A4467" s="103"/>
      <c r="B4467" s="104"/>
      <c r="C4467" s="105"/>
      <c r="K4467" s="1"/>
      <c r="L4467" s="2"/>
    </row>
    <row r="4468" spans="1:12" x14ac:dyDescent="0.2">
      <c r="A4468" s="103"/>
      <c r="B4468" s="104"/>
      <c r="C4468" s="105"/>
      <c r="K4468" s="1"/>
      <c r="L4468" s="2"/>
    </row>
    <row r="4469" spans="1:12" x14ac:dyDescent="0.2">
      <c r="A4469" s="103"/>
      <c r="B4469" s="104"/>
      <c r="C4469" s="105"/>
      <c r="K4469" s="1"/>
      <c r="L4469" s="2"/>
    </row>
    <row r="4470" spans="1:12" x14ac:dyDescent="0.2">
      <c r="A4470" s="103"/>
      <c r="B4470" s="104"/>
      <c r="C4470" s="105"/>
      <c r="K4470" s="1"/>
      <c r="L4470" s="2"/>
    </row>
    <row r="4471" spans="1:12" x14ac:dyDescent="0.2">
      <c r="A4471" s="103"/>
      <c r="B4471" s="104"/>
      <c r="C4471" s="105"/>
      <c r="K4471" s="1"/>
      <c r="L4471" s="2"/>
    </row>
    <row r="4472" spans="1:12" x14ac:dyDescent="0.2">
      <c r="A4472" s="103"/>
      <c r="B4472" s="104"/>
      <c r="C4472" s="105"/>
      <c r="K4472" s="1"/>
      <c r="L4472" s="2"/>
    </row>
    <row r="4473" spans="1:12" x14ac:dyDescent="0.2">
      <c r="A4473" s="103"/>
      <c r="B4473" s="104"/>
      <c r="C4473" s="105"/>
      <c r="K4473" s="1"/>
      <c r="L4473" s="2"/>
    </row>
    <row r="4474" spans="1:12" x14ac:dyDescent="0.2">
      <c r="A4474" s="103"/>
      <c r="B4474" s="104"/>
      <c r="C4474" s="105"/>
      <c r="K4474" s="1"/>
      <c r="L4474" s="2"/>
    </row>
    <row r="4475" spans="1:12" x14ac:dyDescent="0.2">
      <c r="A4475" s="103"/>
      <c r="B4475" s="104"/>
      <c r="C4475" s="105"/>
      <c r="K4475" s="1"/>
      <c r="L4475" s="2"/>
    </row>
    <row r="4476" spans="1:12" x14ac:dyDescent="0.2">
      <c r="A4476" s="103"/>
      <c r="B4476" s="104"/>
      <c r="C4476" s="105"/>
      <c r="K4476" s="1"/>
      <c r="L4476" s="2"/>
    </row>
    <row r="4477" spans="1:12" x14ac:dyDescent="0.2">
      <c r="A4477" s="103"/>
      <c r="B4477" s="104"/>
      <c r="C4477" s="105"/>
      <c r="K4477" s="1"/>
      <c r="L4477" s="2"/>
    </row>
    <row r="4478" spans="1:12" x14ac:dyDescent="0.2">
      <c r="A4478" s="103"/>
      <c r="B4478" s="104"/>
      <c r="C4478" s="105"/>
      <c r="K4478" s="1"/>
      <c r="L4478" s="2"/>
    </row>
    <row r="4479" spans="1:12" x14ac:dyDescent="0.2">
      <c r="A4479" s="103"/>
      <c r="B4479" s="104"/>
      <c r="C4479" s="105"/>
      <c r="K4479" s="1"/>
      <c r="L4479" s="2"/>
    </row>
    <row r="4480" spans="1:12" x14ac:dyDescent="0.2">
      <c r="A4480" s="103"/>
      <c r="B4480" s="104"/>
      <c r="C4480" s="105"/>
      <c r="K4480" s="1"/>
      <c r="L4480" s="2"/>
    </row>
    <row r="4481" spans="1:12" x14ac:dyDescent="0.2">
      <c r="A4481" s="103"/>
      <c r="B4481" s="104"/>
      <c r="C4481" s="105"/>
      <c r="K4481" s="1"/>
      <c r="L4481" s="2"/>
    </row>
    <row r="4482" spans="1:12" x14ac:dyDescent="0.2">
      <c r="A4482" s="103"/>
      <c r="B4482" s="104"/>
      <c r="C4482" s="105"/>
      <c r="K4482" s="1"/>
      <c r="L4482" s="2"/>
    </row>
    <row r="4483" spans="1:12" x14ac:dyDescent="0.2">
      <c r="A4483" s="103"/>
      <c r="B4483" s="104"/>
      <c r="C4483" s="105"/>
      <c r="K4483" s="1"/>
      <c r="L4483" s="2"/>
    </row>
    <row r="4484" spans="1:12" x14ac:dyDescent="0.2">
      <c r="A4484" s="103"/>
      <c r="B4484" s="104"/>
      <c r="C4484" s="105"/>
      <c r="K4484" s="1"/>
      <c r="L4484" s="2"/>
    </row>
    <row r="4485" spans="1:12" x14ac:dyDescent="0.2">
      <c r="A4485" s="103"/>
      <c r="B4485" s="104"/>
      <c r="C4485" s="105"/>
      <c r="K4485" s="1"/>
      <c r="L4485" s="2"/>
    </row>
    <row r="4486" spans="1:12" x14ac:dyDescent="0.2">
      <c r="A4486" s="103"/>
      <c r="B4486" s="104"/>
      <c r="C4486" s="105"/>
      <c r="K4486" s="1"/>
      <c r="L4486" s="2"/>
    </row>
    <row r="4487" spans="1:12" x14ac:dyDescent="0.2">
      <c r="A4487" s="103"/>
      <c r="B4487" s="104"/>
      <c r="C4487" s="105"/>
      <c r="K4487" s="1"/>
      <c r="L4487" s="2"/>
    </row>
    <row r="4488" spans="1:12" x14ac:dyDescent="0.2">
      <c r="A4488" s="103"/>
      <c r="B4488" s="104"/>
      <c r="C4488" s="105"/>
      <c r="K4488" s="1"/>
      <c r="L4488" s="2"/>
    </row>
    <row r="4489" spans="1:12" x14ac:dyDescent="0.2">
      <c r="A4489" s="103"/>
      <c r="B4489" s="104"/>
      <c r="C4489" s="105"/>
      <c r="K4489" s="1"/>
      <c r="L4489" s="2"/>
    </row>
    <row r="4490" spans="1:12" x14ac:dyDescent="0.2">
      <c r="A4490" s="103"/>
      <c r="B4490" s="104"/>
      <c r="C4490" s="105"/>
      <c r="K4490" s="1"/>
      <c r="L4490" s="2"/>
    </row>
    <row r="4491" spans="1:12" x14ac:dyDescent="0.2">
      <c r="A4491" s="103"/>
      <c r="B4491" s="104"/>
      <c r="C4491" s="105"/>
      <c r="K4491" s="1"/>
      <c r="L4491" s="2"/>
    </row>
    <row r="4492" spans="1:12" x14ac:dyDescent="0.2">
      <c r="A4492" s="103"/>
      <c r="B4492" s="104"/>
      <c r="C4492" s="105"/>
      <c r="K4492" s="1"/>
      <c r="L4492" s="2"/>
    </row>
    <row r="4493" spans="1:12" x14ac:dyDescent="0.2">
      <c r="A4493" s="103"/>
      <c r="B4493" s="104"/>
      <c r="C4493" s="105"/>
      <c r="K4493" s="1"/>
      <c r="L4493" s="2"/>
    </row>
    <row r="4494" spans="1:12" x14ac:dyDescent="0.2">
      <c r="A4494" s="103"/>
      <c r="B4494" s="104"/>
      <c r="C4494" s="105"/>
      <c r="K4494" s="1"/>
      <c r="L4494" s="2"/>
    </row>
    <row r="4495" spans="1:12" x14ac:dyDescent="0.2">
      <c r="A4495" s="103"/>
      <c r="B4495" s="104"/>
      <c r="C4495" s="105"/>
      <c r="K4495" s="1"/>
      <c r="L4495" s="2"/>
    </row>
    <row r="4496" spans="1:12" x14ac:dyDescent="0.2">
      <c r="A4496" s="103"/>
      <c r="B4496" s="104"/>
      <c r="C4496" s="105"/>
      <c r="K4496" s="1"/>
      <c r="L4496" s="2"/>
    </row>
    <row r="4497" spans="1:12" x14ac:dyDescent="0.2">
      <c r="A4497" s="103"/>
      <c r="B4497" s="104"/>
      <c r="C4497" s="105"/>
      <c r="K4497" s="1"/>
      <c r="L4497" s="2"/>
    </row>
    <row r="4498" spans="1:12" x14ac:dyDescent="0.2">
      <c r="A4498" s="103"/>
      <c r="B4498" s="104"/>
      <c r="C4498" s="105"/>
      <c r="K4498" s="1"/>
      <c r="L4498" s="2"/>
    </row>
    <row r="4499" spans="1:12" x14ac:dyDescent="0.2">
      <c r="A4499" s="103"/>
      <c r="B4499" s="104"/>
      <c r="C4499" s="105"/>
      <c r="K4499" s="1"/>
      <c r="L4499" s="2"/>
    </row>
    <row r="4500" spans="1:12" x14ac:dyDescent="0.2">
      <c r="A4500" s="103"/>
      <c r="B4500" s="104"/>
      <c r="C4500" s="105"/>
      <c r="K4500" s="1"/>
      <c r="L4500" s="2"/>
    </row>
    <row r="4501" spans="1:12" x14ac:dyDescent="0.2">
      <c r="A4501" s="103"/>
      <c r="B4501" s="104"/>
      <c r="C4501" s="105"/>
      <c r="K4501" s="1"/>
      <c r="L4501" s="2"/>
    </row>
    <row r="4502" spans="1:12" x14ac:dyDescent="0.2">
      <c r="A4502" s="103"/>
      <c r="B4502" s="104"/>
      <c r="C4502" s="105"/>
      <c r="K4502" s="1"/>
      <c r="L4502" s="2"/>
    </row>
    <row r="4503" spans="1:12" x14ac:dyDescent="0.2">
      <c r="A4503" s="103"/>
      <c r="B4503" s="104"/>
      <c r="C4503" s="105"/>
      <c r="K4503" s="1"/>
      <c r="L4503" s="2"/>
    </row>
    <row r="4504" spans="1:12" x14ac:dyDescent="0.2">
      <c r="A4504" s="103"/>
      <c r="B4504" s="104"/>
      <c r="C4504" s="105"/>
      <c r="K4504" s="1"/>
      <c r="L4504" s="2"/>
    </row>
    <row r="4505" spans="1:12" x14ac:dyDescent="0.2">
      <c r="A4505" s="103"/>
      <c r="B4505" s="104"/>
      <c r="C4505" s="105"/>
      <c r="K4505" s="1"/>
      <c r="L4505" s="2"/>
    </row>
    <row r="4506" spans="1:12" x14ac:dyDescent="0.2">
      <c r="A4506" s="103"/>
      <c r="B4506" s="104"/>
      <c r="C4506" s="105"/>
      <c r="K4506" s="1"/>
      <c r="L4506" s="2"/>
    </row>
    <row r="4507" spans="1:12" x14ac:dyDescent="0.2">
      <c r="A4507" s="103"/>
      <c r="B4507" s="104"/>
      <c r="C4507" s="105"/>
      <c r="K4507" s="1"/>
      <c r="L4507" s="2"/>
    </row>
    <row r="4508" spans="1:12" x14ac:dyDescent="0.2">
      <c r="A4508" s="103"/>
      <c r="B4508" s="104"/>
      <c r="C4508" s="105"/>
      <c r="K4508" s="1"/>
      <c r="L4508" s="2"/>
    </row>
    <row r="4509" spans="1:12" x14ac:dyDescent="0.2">
      <c r="A4509" s="103"/>
      <c r="B4509" s="104"/>
      <c r="C4509" s="105"/>
      <c r="K4509" s="1"/>
      <c r="L4509" s="2"/>
    </row>
    <row r="4510" spans="1:12" x14ac:dyDescent="0.2">
      <c r="A4510" s="103"/>
      <c r="B4510" s="104"/>
      <c r="C4510" s="105"/>
      <c r="K4510" s="1"/>
      <c r="L4510" s="2"/>
    </row>
    <row r="4511" spans="1:12" x14ac:dyDescent="0.2">
      <c r="A4511" s="103"/>
      <c r="B4511" s="104"/>
      <c r="C4511" s="105"/>
      <c r="K4511" s="1"/>
      <c r="L4511" s="2"/>
    </row>
    <row r="4512" spans="1:12" x14ac:dyDescent="0.2">
      <c r="A4512" s="103"/>
      <c r="B4512" s="104"/>
      <c r="C4512" s="105"/>
      <c r="K4512" s="1"/>
      <c r="L4512" s="2"/>
    </row>
    <row r="4513" spans="1:12" x14ac:dyDescent="0.2">
      <c r="A4513" s="103"/>
      <c r="B4513" s="104"/>
      <c r="C4513" s="105"/>
      <c r="K4513" s="1"/>
      <c r="L4513" s="2"/>
    </row>
    <row r="4514" spans="1:12" x14ac:dyDescent="0.2">
      <c r="A4514" s="103"/>
      <c r="B4514" s="104"/>
      <c r="C4514" s="105"/>
      <c r="K4514" s="1"/>
      <c r="L4514" s="2"/>
    </row>
    <row r="4515" spans="1:12" x14ac:dyDescent="0.2">
      <c r="A4515" s="103"/>
      <c r="B4515" s="104"/>
      <c r="C4515" s="105"/>
      <c r="K4515" s="1"/>
      <c r="L4515" s="2"/>
    </row>
    <row r="4516" spans="1:12" x14ac:dyDescent="0.2">
      <c r="A4516" s="103"/>
      <c r="B4516" s="104"/>
      <c r="C4516" s="105"/>
      <c r="K4516" s="1"/>
      <c r="L4516" s="2"/>
    </row>
    <row r="4517" spans="1:12" x14ac:dyDescent="0.2">
      <c r="A4517" s="103"/>
      <c r="B4517" s="104"/>
      <c r="C4517" s="105"/>
      <c r="K4517" s="1"/>
      <c r="L4517" s="2"/>
    </row>
    <row r="4518" spans="1:12" x14ac:dyDescent="0.2">
      <c r="A4518" s="103"/>
      <c r="B4518" s="104"/>
      <c r="C4518" s="105"/>
      <c r="K4518" s="1"/>
      <c r="L4518" s="2"/>
    </row>
    <row r="4519" spans="1:12" x14ac:dyDescent="0.2">
      <c r="A4519" s="103"/>
      <c r="B4519" s="104"/>
      <c r="C4519" s="105"/>
      <c r="K4519" s="1"/>
      <c r="L4519" s="2"/>
    </row>
    <row r="4520" spans="1:12" x14ac:dyDescent="0.2">
      <c r="A4520" s="103"/>
      <c r="B4520" s="104"/>
      <c r="C4520" s="105"/>
      <c r="K4520" s="1"/>
      <c r="L4520" s="2"/>
    </row>
    <row r="4521" spans="1:12" x14ac:dyDescent="0.2">
      <c r="A4521" s="103"/>
      <c r="B4521" s="104"/>
      <c r="C4521" s="105"/>
      <c r="K4521" s="1"/>
      <c r="L4521" s="2"/>
    </row>
    <row r="4522" spans="1:12" x14ac:dyDescent="0.2">
      <c r="A4522" s="103"/>
      <c r="B4522" s="104"/>
      <c r="C4522" s="105"/>
      <c r="K4522" s="1"/>
      <c r="L4522" s="2"/>
    </row>
    <row r="4523" spans="1:12" x14ac:dyDescent="0.2">
      <c r="A4523" s="103"/>
      <c r="B4523" s="104"/>
      <c r="C4523" s="105"/>
      <c r="K4523" s="1"/>
      <c r="L4523" s="2"/>
    </row>
    <row r="4524" spans="1:12" x14ac:dyDescent="0.2">
      <c r="A4524" s="103"/>
      <c r="B4524" s="104"/>
      <c r="C4524" s="105"/>
      <c r="K4524" s="1"/>
      <c r="L4524" s="2"/>
    </row>
    <row r="4525" spans="1:12" x14ac:dyDescent="0.2">
      <c r="A4525" s="103"/>
      <c r="B4525" s="104"/>
      <c r="C4525" s="105"/>
      <c r="K4525" s="1"/>
      <c r="L4525" s="2"/>
    </row>
    <row r="4526" spans="1:12" x14ac:dyDescent="0.2">
      <c r="A4526" s="103"/>
      <c r="B4526" s="104"/>
      <c r="C4526" s="105"/>
      <c r="K4526" s="1"/>
      <c r="L4526" s="2"/>
    </row>
    <row r="4527" spans="1:12" x14ac:dyDescent="0.2">
      <c r="A4527" s="103"/>
      <c r="B4527" s="104"/>
      <c r="C4527" s="105"/>
      <c r="K4527" s="1"/>
      <c r="L4527" s="2"/>
    </row>
    <row r="4528" spans="1:12" x14ac:dyDescent="0.2">
      <c r="A4528" s="103"/>
      <c r="B4528" s="104"/>
      <c r="C4528" s="105"/>
      <c r="K4528" s="1"/>
      <c r="L4528" s="2"/>
    </row>
    <row r="4529" spans="1:12" x14ac:dyDescent="0.2">
      <c r="A4529" s="103"/>
      <c r="B4529" s="104"/>
      <c r="C4529" s="105"/>
      <c r="K4529" s="1"/>
      <c r="L4529" s="2"/>
    </row>
    <row r="4530" spans="1:12" x14ac:dyDescent="0.2">
      <c r="A4530" s="103"/>
      <c r="B4530" s="104"/>
      <c r="C4530" s="105"/>
      <c r="K4530" s="1"/>
      <c r="L4530" s="2"/>
    </row>
    <row r="4531" spans="1:12" x14ac:dyDescent="0.2">
      <c r="A4531" s="103"/>
      <c r="B4531" s="104"/>
      <c r="C4531" s="105"/>
      <c r="K4531" s="1"/>
      <c r="L4531" s="2"/>
    </row>
    <row r="4532" spans="1:12" x14ac:dyDescent="0.2">
      <c r="A4532" s="103"/>
      <c r="B4532" s="104"/>
      <c r="C4532" s="105"/>
      <c r="K4532" s="1"/>
      <c r="L4532" s="2"/>
    </row>
    <row r="4533" spans="1:12" x14ac:dyDescent="0.2">
      <c r="A4533" s="103"/>
      <c r="B4533" s="104"/>
      <c r="C4533" s="105"/>
      <c r="K4533" s="1"/>
      <c r="L4533" s="2"/>
    </row>
    <row r="4534" spans="1:12" x14ac:dyDescent="0.2">
      <c r="A4534" s="103"/>
      <c r="B4534" s="104"/>
      <c r="C4534" s="105"/>
      <c r="K4534" s="1"/>
      <c r="L4534" s="2"/>
    </row>
    <row r="4535" spans="1:12" x14ac:dyDescent="0.2">
      <c r="A4535" s="103"/>
      <c r="B4535" s="104"/>
      <c r="C4535" s="105"/>
      <c r="K4535" s="1"/>
      <c r="L4535" s="2"/>
    </row>
    <row r="4536" spans="1:12" x14ac:dyDescent="0.2">
      <c r="A4536" s="103"/>
      <c r="B4536" s="104"/>
      <c r="C4536" s="105"/>
      <c r="K4536" s="1"/>
      <c r="L4536" s="2"/>
    </row>
    <row r="4537" spans="1:12" x14ac:dyDescent="0.2">
      <c r="A4537" s="103"/>
      <c r="B4537" s="104"/>
      <c r="C4537" s="105"/>
      <c r="K4537" s="1"/>
      <c r="L4537" s="2"/>
    </row>
    <row r="4538" spans="1:12" x14ac:dyDescent="0.2">
      <c r="A4538" s="103"/>
      <c r="B4538" s="104"/>
      <c r="C4538" s="105"/>
      <c r="K4538" s="1"/>
      <c r="L4538" s="2"/>
    </row>
    <row r="4539" spans="1:12" x14ac:dyDescent="0.2">
      <c r="A4539" s="103"/>
      <c r="B4539" s="104"/>
      <c r="C4539" s="105"/>
      <c r="K4539" s="1"/>
      <c r="L4539" s="2"/>
    </row>
    <row r="4540" spans="1:12" x14ac:dyDescent="0.2">
      <c r="A4540" s="103"/>
      <c r="B4540" s="104"/>
      <c r="C4540" s="105"/>
      <c r="K4540" s="1"/>
      <c r="L4540" s="2"/>
    </row>
    <row r="4541" spans="1:12" x14ac:dyDescent="0.2">
      <c r="A4541" s="103"/>
      <c r="B4541" s="104"/>
      <c r="C4541" s="105"/>
      <c r="K4541" s="1"/>
      <c r="L4541" s="2"/>
    </row>
    <row r="4542" spans="1:12" x14ac:dyDescent="0.2">
      <c r="A4542" s="103"/>
      <c r="B4542" s="104"/>
      <c r="C4542" s="105"/>
      <c r="K4542" s="1"/>
      <c r="L4542" s="2"/>
    </row>
    <row r="4543" spans="1:12" x14ac:dyDescent="0.2">
      <c r="A4543" s="103"/>
      <c r="B4543" s="104"/>
      <c r="C4543" s="105"/>
      <c r="K4543" s="1"/>
      <c r="L4543" s="2"/>
    </row>
    <row r="4544" spans="1:12" x14ac:dyDescent="0.2">
      <c r="A4544" s="103"/>
      <c r="B4544" s="104"/>
      <c r="C4544" s="105"/>
      <c r="K4544" s="1"/>
      <c r="L4544" s="2"/>
    </row>
    <row r="4545" spans="1:12" x14ac:dyDescent="0.2">
      <c r="A4545" s="103"/>
      <c r="B4545" s="104"/>
      <c r="C4545" s="105"/>
      <c r="K4545" s="1"/>
      <c r="L4545" s="2"/>
    </row>
    <row r="4546" spans="1:12" x14ac:dyDescent="0.2">
      <c r="A4546" s="103"/>
      <c r="B4546" s="104"/>
      <c r="C4546" s="105"/>
      <c r="K4546" s="1"/>
      <c r="L4546" s="2"/>
    </row>
    <row r="4547" spans="1:12" x14ac:dyDescent="0.2">
      <c r="A4547" s="103"/>
      <c r="B4547" s="104"/>
      <c r="C4547" s="105"/>
      <c r="K4547" s="1"/>
      <c r="L4547" s="2"/>
    </row>
    <row r="4548" spans="1:12" x14ac:dyDescent="0.2">
      <c r="A4548" s="103"/>
      <c r="B4548" s="104"/>
      <c r="C4548" s="105"/>
      <c r="K4548" s="1"/>
      <c r="L4548" s="2"/>
    </row>
    <row r="4549" spans="1:12" x14ac:dyDescent="0.2">
      <c r="A4549" s="103"/>
      <c r="B4549" s="104"/>
      <c r="C4549" s="105"/>
      <c r="K4549" s="1"/>
      <c r="L4549" s="2"/>
    </row>
    <row r="4550" spans="1:12" x14ac:dyDescent="0.2">
      <c r="A4550" s="103"/>
      <c r="B4550" s="104"/>
      <c r="C4550" s="105"/>
      <c r="K4550" s="1"/>
      <c r="L4550" s="2"/>
    </row>
    <row r="4551" spans="1:12" x14ac:dyDescent="0.2">
      <c r="A4551" s="103"/>
      <c r="B4551" s="104"/>
      <c r="C4551" s="105"/>
      <c r="K4551" s="1"/>
      <c r="L4551" s="2"/>
    </row>
    <row r="4552" spans="1:12" x14ac:dyDescent="0.2">
      <c r="A4552" s="103"/>
      <c r="B4552" s="104"/>
      <c r="C4552" s="105"/>
      <c r="K4552" s="1"/>
      <c r="L4552" s="2"/>
    </row>
    <row r="4553" spans="1:12" x14ac:dyDescent="0.2">
      <c r="A4553" s="103"/>
      <c r="B4553" s="104"/>
      <c r="C4553" s="105"/>
      <c r="K4553" s="1"/>
      <c r="L4553" s="2"/>
    </row>
    <row r="4554" spans="1:12" x14ac:dyDescent="0.2">
      <c r="A4554" s="103"/>
      <c r="B4554" s="104"/>
      <c r="C4554" s="105"/>
      <c r="K4554" s="1"/>
      <c r="L4554" s="2"/>
    </row>
    <row r="4555" spans="1:12" x14ac:dyDescent="0.2">
      <c r="A4555" s="103"/>
      <c r="B4555" s="104"/>
      <c r="C4555" s="105"/>
      <c r="K4555" s="1"/>
      <c r="L4555" s="2"/>
    </row>
    <row r="4556" spans="1:12" x14ac:dyDescent="0.2">
      <c r="A4556" s="103"/>
      <c r="B4556" s="104"/>
      <c r="C4556" s="105"/>
      <c r="K4556" s="1"/>
      <c r="L4556" s="2"/>
    </row>
    <row r="4557" spans="1:12" x14ac:dyDescent="0.2">
      <c r="A4557" s="103"/>
      <c r="B4557" s="104"/>
      <c r="C4557" s="105"/>
      <c r="K4557" s="1"/>
      <c r="L4557" s="2"/>
    </row>
    <row r="4558" spans="1:12" x14ac:dyDescent="0.2">
      <c r="A4558" s="103"/>
      <c r="B4558" s="104"/>
      <c r="C4558" s="105"/>
      <c r="K4558" s="1"/>
      <c r="L4558" s="2"/>
    </row>
    <row r="4559" spans="1:12" x14ac:dyDescent="0.2">
      <c r="A4559" s="103"/>
      <c r="B4559" s="104"/>
      <c r="C4559" s="105"/>
      <c r="K4559" s="1"/>
      <c r="L4559" s="2"/>
    </row>
    <row r="4560" spans="1:12" x14ac:dyDescent="0.2">
      <c r="A4560" s="103"/>
      <c r="B4560" s="104"/>
      <c r="C4560" s="105"/>
      <c r="K4560" s="1"/>
      <c r="L4560" s="2"/>
    </row>
    <row r="4561" spans="1:12" x14ac:dyDescent="0.2">
      <c r="A4561" s="103"/>
      <c r="B4561" s="104"/>
      <c r="C4561" s="105"/>
      <c r="K4561" s="1"/>
      <c r="L4561" s="2"/>
    </row>
    <row r="4562" spans="1:12" x14ac:dyDescent="0.2">
      <c r="A4562" s="103"/>
      <c r="B4562" s="104"/>
      <c r="C4562" s="105"/>
      <c r="K4562" s="1"/>
      <c r="L4562" s="2"/>
    </row>
    <row r="4563" spans="1:12" x14ac:dyDescent="0.2">
      <c r="A4563" s="103"/>
      <c r="B4563" s="104"/>
      <c r="C4563" s="105"/>
      <c r="K4563" s="1"/>
      <c r="L4563" s="2"/>
    </row>
    <row r="4564" spans="1:12" x14ac:dyDescent="0.2">
      <c r="A4564" s="103"/>
      <c r="B4564" s="104"/>
      <c r="C4564" s="105"/>
      <c r="K4564" s="1"/>
      <c r="L4564" s="2"/>
    </row>
    <row r="4565" spans="1:12" x14ac:dyDescent="0.2">
      <c r="A4565" s="103"/>
      <c r="B4565" s="104"/>
      <c r="C4565" s="105"/>
      <c r="K4565" s="1"/>
      <c r="L4565" s="2"/>
    </row>
    <row r="4566" spans="1:12" x14ac:dyDescent="0.2">
      <c r="A4566" s="103"/>
      <c r="B4566" s="104"/>
      <c r="C4566" s="105"/>
      <c r="K4566" s="1"/>
      <c r="L4566" s="2"/>
    </row>
    <row r="4567" spans="1:12" x14ac:dyDescent="0.2">
      <c r="A4567" s="103"/>
      <c r="B4567" s="104"/>
      <c r="C4567" s="105"/>
      <c r="K4567" s="1"/>
      <c r="L4567" s="2"/>
    </row>
    <row r="4568" spans="1:12" x14ac:dyDescent="0.2">
      <c r="A4568" s="103"/>
      <c r="B4568" s="104"/>
      <c r="C4568" s="105"/>
      <c r="K4568" s="1"/>
      <c r="L4568" s="2"/>
    </row>
    <row r="4569" spans="1:12" x14ac:dyDescent="0.2">
      <c r="A4569" s="103"/>
      <c r="B4569" s="104"/>
      <c r="C4569" s="105"/>
      <c r="K4569" s="1"/>
      <c r="L4569" s="2"/>
    </row>
    <row r="4570" spans="1:12" x14ac:dyDescent="0.2">
      <c r="A4570" s="103"/>
      <c r="B4570" s="104"/>
      <c r="C4570" s="105"/>
      <c r="K4570" s="1"/>
      <c r="L4570" s="2"/>
    </row>
    <row r="4571" spans="1:12" x14ac:dyDescent="0.2">
      <c r="A4571" s="103"/>
      <c r="B4571" s="104"/>
      <c r="C4571" s="105"/>
      <c r="K4571" s="1"/>
      <c r="L4571" s="2"/>
    </row>
    <row r="4572" spans="1:12" x14ac:dyDescent="0.2">
      <c r="A4572" s="103"/>
      <c r="B4572" s="104"/>
      <c r="C4572" s="105"/>
      <c r="K4572" s="1"/>
      <c r="L4572" s="2"/>
    </row>
    <row r="4573" spans="1:12" x14ac:dyDescent="0.2">
      <c r="A4573" s="103"/>
      <c r="B4573" s="104"/>
      <c r="C4573" s="105"/>
      <c r="K4573" s="1"/>
      <c r="L4573" s="2"/>
    </row>
    <row r="4574" spans="1:12" x14ac:dyDescent="0.2">
      <c r="A4574" s="103"/>
      <c r="B4574" s="104"/>
      <c r="C4574" s="105"/>
      <c r="K4574" s="1"/>
      <c r="L4574" s="2"/>
    </row>
    <row r="4575" spans="1:12" x14ac:dyDescent="0.2">
      <c r="A4575" s="103"/>
      <c r="B4575" s="104"/>
      <c r="C4575" s="105"/>
      <c r="K4575" s="1"/>
      <c r="L4575" s="2"/>
    </row>
    <row r="4576" spans="1:12" x14ac:dyDescent="0.2">
      <c r="A4576" s="103"/>
      <c r="B4576" s="104"/>
      <c r="C4576" s="105"/>
      <c r="K4576" s="1"/>
      <c r="L4576" s="2"/>
    </row>
    <row r="4577" spans="1:12" x14ac:dyDescent="0.2">
      <c r="A4577" s="103"/>
      <c r="B4577" s="104"/>
      <c r="C4577" s="105"/>
      <c r="K4577" s="1"/>
      <c r="L4577" s="2"/>
    </row>
    <row r="4578" spans="1:12" x14ac:dyDescent="0.2">
      <c r="A4578" s="103"/>
      <c r="B4578" s="104"/>
      <c r="C4578" s="105"/>
      <c r="K4578" s="1"/>
      <c r="L4578" s="2"/>
    </row>
    <row r="4579" spans="1:12" x14ac:dyDescent="0.2">
      <c r="A4579" s="103"/>
      <c r="B4579" s="104"/>
      <c r="C4579" s="105"/>
      <c r="K4579" s="1"/>
      <c r="L4579" s="2"/>
    </row>
    <row r="4580" spans="1:12" x14ac:dyDescent="0.2">
      <c r="A4580" s="103"/>
      <c r="B4580" s="104"/>
      <c r="C4580" s="105"/>
      <c r="K4580" s="1"/>
      <c r="L4580" s="2"/>
    </row>
    <row r="4581" spans="1:12" x14ac:dyDescent="0.2">
      <c r="A4581" s="103"/>
      <c r="B4581" s="104"/>
      <c r="C4581" s="105"/>
      <c r="K4581" s="1"/>
      <c r="L4581" s="2"/>
    </row>
    <row r="4582" spans="1:12" x14ac:dyDescent="0.2">
      <c r="A4582" s="103"/>
      <c r="B4582" s="104"/>
      <c r="C4582" s="105"/>
      <c r="K4582" s="1"/>
      <c r="L4582" s="2"/>
    </row>
    <row r="4583" spans="1:12" x14ac:dyDescent="0.2">
      <c r="A4583" s="103"/>
      <c r="B4583" s="104"/>
      <c r="C4583" s="105"/>
      <c r="K4583" s="1"/>
      <c r="L4583" s="2"/>
    </row>
    <row r="4584" spans="1:12" x14ac:dyDescent="0.2">
      <c r="A4584" s="103"/>
      <c r="B4584" s="104"/>
      <c r="C4584" s="105"/>
      <c r="K4584" s="1"/>
      <c r="L4584" s="2"/>
    </row>
    <row r="4585" spans="1:12" x14ac:dyDescent="0.2">
      <c r="A4585" s="103"/>
      <c r="B4585" s="104"/>
      <c r="C4585" s="105"/>
      <c r="K4585" s="1"/>
      <c r="L4585" s="2"/>
    </row>
    <row r="4586" spans="1:12" x14ac:dyDescent="0.2">
      <c r="A4586" s="103"/>
      <c r="B4586" s="104"/>
      <c r="C4586" s="105"/>
      <c r="K4586" s="1"/>
      <c r="L4586" s="2"/>
    </row>
    <row r="4587" spans="1:12" x14ac:dyDescent="0.2">
      <c r="A4587" s="103"/>
      <c r="B4587" s="104"/>
      <c r="C4587" s="105"/>
      <c r="K4587" s="1"/>
      <c r="L4587" s="2"/>
    </row>
    <row r="4588" spans="1:12" x14ac:dyDescent="0.2">
      <c r="A4588" s="103"/>
      <c r="B4588" s="104"/>
      <c r="C4588" s="105"/>
      <c r="K4588" s="1"/>
      <c r="L4588" s="2"/>
    </row>
    <row r="4589" spans="1:12" x14ac:dyDescent="0.2">
      <c r="A4589" s="103"/>
      <c r="B4589" s="104"/>
      <c r="C4589" s="105"/>
      <c r="K4589" s="1"/>
      <c r="L4589" s="2"/>
    </row>
    <row r="4590" spans="1:12" x14ac:dyDescent="0.2">
      <c r="A4590" s="103"/>
      <c r="B4590" s="104"/>
      <c r="C4590" s="105"/>
      <c r="K4590" s="1"/>
      <c r="L4590" s="2"/>
    </row>
    <row r="4591" spans="1:12" x14ac:dyDescent="0.2">
      <c r="A4591" s="103"/>
      <c r="B4591" s="104"/>
      <c r="C4591" s="105"/>
      <c r="K4591" s="1"/>
      <c r="L4591" s="2"/>
    </row>
    <row r="4592" spans="1:12" x14ac:dyDescent="0.2">
      <c r="A4592" s="103"/>
      <c r="B4592" s="104"/>
      <c r="C4592" s="105"/>
      <c r="K4592" s="1"/>
      <c r="L4592" s="2"/>
    </row>
    <row r="4593" spans="1:12" x14ac:dyDescent="0.2">
      <c r="A4593" s="103"/>
      <c r="B4593" s="104"/>
      <c r="C4593" s="105"/>
      <c r="K4593" s="1"/>
      <c r="L4593" s="2"/>
    </row>
    <row r="4594" spans="1:12" x14ac:dyDescent="0.2">
      <c r="A4594" s="103"/>
      <c r="B4594" s="104"/>
      <c r="C4594" s="105"/>
      <c r="K4594" s="1"/>
      <c r="L4594" s="2"/>
    </row>
    <row r="4595" spans="1:12" x14ac:dyDescent="0.2">
      <c r="A4595" s="103"/>
      <c r="B4595" s="104"/>
      <c r="C4595" s="105"/>
      <c r="K4595" s="1"/>
      <c r="L4595" s="2"/>
    </row>
    <row r="4596" spans="1:12" x14ac:dyDescent="0.2">
      <c r="A4596" s="103"/>
      <c r="B4596" s="104"/>
      <c r="C4596" s="105"/>
      <c r="K4596" s="1"/>
      <c r="L4596" s="2"/>
    </row>
    <row r="4597" spans="1:12" x14ac:dyDescent="0.2">
      <c r="A4597" s="103"/>
      <c r="B4597" s="104"/>
      <c r="C4597" s="105"/>
      <c r="K4597" s="1"/>
      <c r="L4597" s="2"/>
    </row>
    <row r="4598" spans="1:12" x14ac:dyDescent="0.2">
      <c r="A4598" s="103"/>
      <c r="B4598" s="104"/>
      <c r="C4598" s="105"/>
      <c r="K4598" s="1"/>
      <c r="L4598" s="2"/>
    </row>
    <row r="4599" spans="1:12" x14ac:dyDescent="0.2">
      <c r="A4599" s="103"/>
      <c r="B4599" s="104"/>
      <c r="C4599" s="105"/>
      <c r="K4599" s="1"/>
      <c r="L4599" s="2"/>
    </row>
    <row r="4600" spans="1:12" x14ac:dyDescent="0.2">
      <c r="A4600" s="103"/>
      <c r="B4600" s="104"/>
      <c r="C4600" s="105"/>
      <c r="K4600" s="1"/>
      <c r="L4600" s="2"/>
    </row>
    <row r="4601" spans="1:12" x14ac:dyDescent="0.2">
      <c r="A4601" s="103"/>
      <c r="B4601" s="104"/>
      <c r="C4601" s="105"/>
      <c r="K4601" s="1"/>
      <c r="L4601" s="2"/>
    </row>
    <row r="4602" spans="1:12" x14ac:dyDescent="0.2">
      <c r="A4602" s="103"/>
      <c r="B4602" s="104"/>
      <c r="C4602" s="105"/>
      <c r="K4602" s="1"/>
      <c r="L4602" s="2"/>
    </row>
    <row r="4603" spans="1:12" x14ac:dyDescent="0.2">
      <c r="A4603" s="103"/>
      <c r="B4603" s="104"/>
      <c r="C4603" s="105"/>
      <c r="K4603" s="1"/>
      <c r="L4603" s="2"/>
    </row>
    <row r="4604" spans="1:12" x14ac:dyDescent="0.2">
      <c r="A4604" s="103"/>
      <c r="B4604" s="104"/>
      <c r="C4604" s="105"/>
      <c r="K4604" s="1"/>
      <c r="L4604" s="2"/>
    </row>
    <row r="4605" spans="1:12" x14ac:dyDescent="0.2">
      <c r="A4605" s="103"/>
      <c r="B4605" s="104"/>
      <c r="C4605" s="105"/>
      <c r="K4605" s="1"/>
      <c r="L4605" s="2"/>
    </row>
    <row r="4606" spans="1:12" x14ac:dyDescent="0.2">
      <c r="A4606" s="103"/>
      <c r="B4606" s="104"/>
      <c r="C4606" s="105"/>
      <c r="K4606" s="1"/>
      <c r="L4606" s="2"/>
    </row>
    <row r="4607" spans="1:12" x14ac:dyDescent="0.2">
      <c r="A4607" s="103"/>
      <c r="B4607" s="104"/>
      <c r="C4607" s="105"/>
      <c r="K4607" s="1"/>
      <c r="L4607" s="2"/>
    </row>
    <row r="4608" spans="1:12" x14ac:dyDescent="0.2">
      <c r="A4608" s="103"/>
      <c r="B4608" s="104"/>
      <c r="C4608" s="105"/>
      <c r="K4608" s="1"/>
      <c r="L4608" s="2"/>
    </row>
    <row r="4609" spans="1:12" x14ac:dyDescent="0.2">
      <c r="A4609" s="103"/>
      <c r="B4609" s="104"/>
      <c r="C4609" s="105"/>
      <c r="K4609" s="1"/>
      <c r="L4609" s="2"/>
    </row>
    <row r="4610" spans="1:12" x14ac:dyDescent="0.2">
      <c r="A4610" s="103"/>
      <c r="B4610" s="104"/>
      <c r="C4610" s="105"/>
      <c r="K4610" s="1"/>
      <c r="L4610" s="2"/>
    </row>
    <row r="4611" spans="1:12" x14ac:dyDescent="0.2">
      <c r="A4611" s="103"/>
      <c r="B4611" s="104"/>
      <c r="C4611" s="105"/>
      <c r="K4611" s="1"/>
      <c r="L4611" s="2"/>
    </row>
    <row r="4612" spans="1:12" x14ac:dyDescent="0.2">
      <c r="A4612" s="103"/>
      <c r="B4612" s="104"/>
      <c r="C4612" s="105"/>
      <c r="K4612" s="1"/>
      <c r="L4612" s="2"/>
    </row>
    <row r="4613" spans="1:12" x14ac:dyDescent="0.2">
      <c r="A4613" s="103"/>
      <c r="B4613" s="104"/>
      <c r="C4613" s="105"/>
      <c r="K4613" s="1"/>
      <c r="L4613" s="2"/>
    </row>
    <row r="4614" spans="1:12" x14ac:dyDescent="0.2">
      <c r="A4614" s="103"/>
      <c r="B4614" s="104"/>
      <c r="C4614" s="105"/>
      <c r="K4614" s="1"/>
      <c r="L4614" s="2"/>
    </row>
    <row r="4615" spans="1:12" x14ac:dyDescent="0.2">
      <c r="A4615" s="103"/>
      <c r="B4615" s="104"/>
      <c r="C4615" s="105"/>
      <c r="K4615" s="1"/>
      <c r="L4615" s="2"/>
    </row>
    <row r="4616" spans="1:12" x14ac:dyDescent="0.2">
      <c r="A4616" s="103"/>
      <c r="B4616" s="104"/>
      <c r="C4616" s="105"/>
      <c r="K4616" s="1"/>
      <c r="L4616" s="2"/>
    </row>
    <row r="4617" spans="1:12" x14ac:dyDescent="0.2">
      <c r="A4617" s="103"/>
      <c r="B4617" s="104"/>
      <c r="C4617" s="105"/>
      <c r="K4617" s="1"/>
      <c r="L4617" s="2"/>
    </row>
    <row r="4618" spans="1:12" x14ac:dyDescent="0.2">
      <c r="A4618" s="103"/>
      <c r="B4618" s="104"/>
      <c r="C4618" s="105"/>
      <c r="K4618" s="1"/>
      <c r="L4618" s="2"/>
    </row>
    <row r="4619" spans="1:12" x14ac:dyDescent="0.2">
      <c r="A4619" s="103"/>
      <c r="B4619" s="104"/>
      <c r="C4619" s="105"/>
      <c r="K4619" s="1"/>
      <c r="L4619" s="2"/>
    </row>
    <row r="4620" spans="1:12" x14ac:dyDescent="0.2">
      <c r="A4620" s="103"/>
      <c r="B4620" s="104"/>
      <c r="C4620" s="105"/>
      <c r="K4620" s="1"/>
      <c r="L4620" s="2"/>
    </row>
    <row r="4621" spans="1:12" x14ac:dyDescent="0.2">
      <c r="A4621" s="103"/>
      <c r="B4621" s="104"/>
      <c r="C4621" s="105"/>
      <c r="K4621" s="1"/>
      <c r="L4621" s="2"/>
    </row>
    <row r="4622" spans="1:12" x14ac:dyDescent="0.2">
      <c r="A4622" s="103"/>
      <c r="B4622" s="104"/>
      <c r="C4622" s="105"/>
      <c r="K4622" s="1"/>
      <c r="L4622" s="2"/>
    </row>
    <row r="4623" spans="1:12" x14ac:dyDescent="0.2">
      <c r="A4623" s="103"/>
      <c r="B4623" s="104"/>
      <c r="C4623" s="105"/>
      <c r="K4623" s="1"/>
      <c r="L4623" s="2"/>
    </row>
    <row r="4624" spans="1:12" x14ac:dyDescent="0.2">
      <c r="A4624" s="103"/>
      <c r="B4624" s="104"/>
      <c r="C4624" s="105"/>
      <c r="K4624" s="1"/>
      <c r="L4624" s="2"/>
    </row>
    <row r="4625" spans="1:12" x14ac:dyDescent="0.2">
      <c r="A4625" s="103"/>
      <c r="B4625" s="104"/>
      <c r="C4625" s="105"/>
      <c r="K4625" s="1"/>
      <c r="L4625" s="2"/>
    </row>
    <row r="4626" spans="1:12" x14ac:dyDescent="0.2">
      <c r="A4626" s="103"/>
      <c r="B4626" s="104"/>
      <c r="C4626" s="105"/>
      <c r="K4626" s="1"/>
      <c r="L4626" s="2"/>
    </row>
    <row r="4627" spans="1:12" x14ac:dyDescent="0.2">
      <c r="A4627" s="103"/>
      <c r="B4627" s="104"/>
      <c r="C4627" s="105"/>
      <c r="K4627" s="1"/>
      <c r="L4627" s="2"/>
    </row>
    <row r="4628" spans="1:12" x14ac:dyDescent="0.2">
      <c r="A4628" s="103"/>
      <c r="B4628" s="104"/>
      <c r="C4628" s="105"/>
      <c r="K4628" s="1"/>
      <c r="L4628" s="2"/>
    </row>
    <row r="4629" spans="1:12" x14ac:dyDescent="0.2">
      <c r="A4629" s="103"/>
      <c r="B4629" s="104"/>
      <c r="C4629" s="105"/>
      <c r="K4629" s="1"/>
      <c r="L4629" s="2"/>
    </row>
    <row r="4630" spans="1:12" x14ac:dyDescent="0.2">
      <c r="A4630" s="103"/>
      <c r="B4630" s="104"/>
      <c r="C4630" s="105"/>
      <c r="K4630" s="1"/>
      <c r="L4630" s="2"/>
    </row>
    <row r="4631" spans="1:12" x14ac:dyDescent="0.2">
      <c r="A4631" s="103"/>
      <c r="B4631" s="104"/>
      <c r="C4631" s="105"/>
      <c r="K4631" s="1"/>
      <c r="L4631" s="2"/>
    </row>
    <row r="4632" spans="1:12" x14ac:dyDescent="0.2">
      <c r="A4632" s="103"/>
      <c r="B4632" s="104"/>
      <c r="C4632" s="105"/>
      <c r="K4632" s="1"/>
      <c r="L4632" s="2"/>
    </row>
    <row r="4633" spans="1:12" x14ac:dyDescent="0.2">
      <c r="A4633" s="103"/>
      <c r="B4633" s="104"/>
      <c r="C4633" s="105"/>
      <c r="K4633" s="1"/>
      <c r="L4633" s="2"/>
    </row>
    <row r="4634" spans="1:12" x14ac:dyDescent="0.2">
      <c r="A4634" s="103"/>
      <c r="B4634" s="104"/>
      <c r="C4634" s="105"/>
      <c r="K4634" s="1"/>
      <c r="L4634" s="2"/>
    </row>
    <row r="4635" spans="1:12" x14ac:dyDescent="0.2">
      <c r="A4635" s="103"/>
      <c r="B4635" s="104"/>
      <c r="C4635" s="105"/>
      <c r="K4635" s="1"/>
      <c r="L4635" s="2"/>
    </row>
    <row r="4636" spans="1:12" x14ac:dyDescent="0.2">
      <c r="A4636" s="103"/>
      <c r="B4636" s="104"/>
      <c r="C4636" s="105"/>
      <c r="K4636" s="1"/>
      <c r="L4636" s="2"/>
    </row>
    <row r="4637" spans="1:12" x14ac:dyDescent="0.2">
      <c r="A4637" s="103"/>
      <c r="B4637" s="104"/>
      <c r="C4637" s="105"/>
      <c r="K4637" s="1"/>
      <c r="L4637" s="2"/>
    </row>
    <row r="4638" spans="1:12" x14ac:dyDescent="0.2">
      <c r="A4638" s="103"/>
      <c r="B4638" s="104"/>
      <c r="C4638" s="105"/>
      <c r="K4638" s="1"/>
      <c r="L4638" s="2"/>
    </row>
    <row r="4639" spans="1:12" x14ac:dyDescent="0.2">
      <c r="A4639" s="103"/>
      <c r="B4639" s="104"/>
      <c r="C4639" s="105"/>
      <c r="K4639" s="1"/>
      <c r="L4639" s="2"/>
    </row>
    <row r="4640" spans="1:12" x14ac:dyDescent="0.2">
      <c r="A4640" s="103"/>
      <c r="B4640" s="104"/>
      <c r="C4640" s="105"/>
      <c r="K4640" s="1"/>
      <c r="L4640" s="2"/>
    </row>
    <row r="4641" spans="1:12" x14ac:dyDescent="0.2">
      <c r="A4641" s="103"/>
      <c r="B4641" s="104"/>
      <c r="C4641" s="105"/>
      <c r="K4641" s="1"/>
      <c r="L4641" s="2"/>
    </row>
    <row r="4642" spans="1:12" x14ac:dyDescent="0.2">
      <c r="A4642" s="103"/>
      <c r="B4642" s="104"/>
      <c r="C4642" s="105"/>
      <c r="K4642" s="1"/>
      <c r="L4642" s="2"/>
    </row>
    <row r="4643" spans="1:12" x14ac:dyDescent="0.2">
      <c r="A4643" s="103"/>
      <c r="B4643" s="104"/>
      <c r="C4643" s="105"/>
      <c r="K4643" s="1"/>
      <c r="L4643" s="2"/>
    </row>
    <row r="4644" spans="1:12" x14ac:dyDescent="0.2">
      <c r="A4644" s="103"/>
      <c r="B4644" s="104"/>
      <c r="C4644" s="105"/>
      <c r="K4644" s="1"/>
      <c r="L4644" s="2"/>
    </row>
    <row r="4645" spans="1:12" x14ac:dyDescent="0.2">
      <c r="A4645" s="103"/>
      <c r="B4645" s="104"/>
      <c r="C4645" s="105"/>
      <c r="K4645" s="1"/>
      <c r="L4645" s="2"/>
    </row>
    <row r="4646" spans="1:12" x14ac:dyDescent="0.2">
      <c r="A4646" s="103"/>
      <c r="B4646" s="104"/>
      <c r="C4646" s="105"/>
      <c r="K4646" s="1"/>
      <c r="L4646" s="2"/>
    </row>
    <row r="4647" spans="1:12" x14ac:dyDescent="0.2">
      <c r="A4647" s="103"/>
      <c r="B4647" s="104"/>
      <c r="C4647" s="105"/>
      <c r="K4647" s="1"/>
      <c r="L4647" s="2"/>
    </row>
    <row r="4648" spans="1:12" x14ac:dyDescent="0.2">
      <c r="A4648" s="103"/>
      <c r="B4648" s="104"/>
      <c r="C4648" s="105"/>
      <c r="K4648" s="1"/>
      <c r="L4648" s="2"/>
    </row>
    <row r="4649" spans="1:12" x14ac:dyDescent="0.2">
      <c r="A4649" s="103"/>
      <c r="B4649" s="104"/>
      <c r="C4649" s="105"/>
      <c r="K4649" s="1"/>
      <c r="L4649" s="2"/>
    </row>
    <row r="4650" spans="1:12" x14ac:dyDescent="0.2">
      <c r="A4650" s="103"/>
      <c r="B4650" s="104"/>
      <c r="C4650" s="105"/>
      <c r="K4650" s="1"/>
      <c r="L4650" s="2"/>
    </row>
    <row r="4651" spans="1:12" x14ac:dyDescent="0.2">
      <c r="A4651" s="103"/>
      <c r="B4651" s="104"/>
      <c r="C4651" s="105"/>
      <c r="K4651" s="1"/>
      <c r="L4651" s="2"/>
    </row>
    <row r="4652" spans="1:12" x14ac:dyDescent="0.2">
      <c r="A4652" s="103"/>
      <c r="B4652" s="104"/>
      <c r="C4652" s="105"/>
      <c r="K4652" s="1"/>
      <c r="L4652" s="2"/>
    </row>
    <row r="4653" spans="1:12" x14ac:dyDescent="0.2">
      <c r="A4653" s="103"/>
      <c r="B4653" s="104"/>
      <c r="C4653" s="105"/>
      <c r="K4653" s="1"/>
      <c r="L4653" s="2"/>
    </row>
    <row r="4654" spans="1:12" x14ac:dyDescent="0.2">
      <c r="A4654" s="103"/>
      <c r="B4654" s="104"/>
      <c r="C4654" s="105"/>
      <c r="K4654" s="1"/>
      <c r="L4654" s="2"/>
    </row>
    <row r="4655" spans="1:12" x14ac:dyDescent="0.2">
      <c r="A4655" s="103"/>
      <c r="B4655" s="104"/>
      <c r="C4655" s="105"/>
      <c r="K4655" s="1"/>
      <c r="L4655" s="2"/>
    </row>
    <row r="4656" spans="1:12" x14ac:dyDescent="0.2">
      <c r="A4656" s="103"/>
      <c r="B4656" s="104"/>
      <c r="C4656" s="105"/>
      <c r="K4656" s="1"/>
      <c r="L4656" s="2"/>
    </row>
    <row r="4657" spans="1:12" x14ac:dyDescent="0.2">
      <c r="A4657" s="103"/>
      <c r="B4657" s="104"/>
      <c r="C4657" s="105"/>
      <c r="K4657" s="1"/>
      <c r="L4657" s="2"/>
    </row>
    <row r="4658" spans="1:12" x14ac:dyDescent="0.2">
      <c r="A4658" s="103"/>
      <c r="B4658" s="104"/>
      <c r="C4658" s="105"/>
      <c r="K4658" s="1"/>
      <c r="L4658" s="2"/>
    </row>
    <row r="4659" spans="1:12" x14ac:dyDescent="0.2">
      <c r="A4659" s="103"/>
      <c r="B4659" s="104"/>
      <c r="C4659" s="105"/>
      <c r="K4659" s="1"/>
      <c r="L4659" s="2"/>
    </row>
    <row r="4660" spans="1:12" x14ac:dyDescent="0.2">
      <c r="A4660" s="103"/>
      <c r="B4660" s="104"/>
      <c r="C4660" s="105"/>
      <c r="K4660" s="1"/>
      <c r="L4660" s="2"/>
    </row>
    <row r="4661" spans="1:12" x14ac:dyDescent="0.2">
      <c r="A4661" s="103"/>
      <c r="B4661" s="104"/>
      <c r="C4661" s="105"/>
      <c r="K4661" s="1"/>
      <c r="L4661" s="2"/>
    </row>
    <row r="4662" spans="1:12" x14ac:dyDescent="0.2">
      <c r="A4662" s="103"/>
      <c r="B4662" s="104"/>
      <c r="C4662" s="105"/>
      <c r="K4662" s="1"/>
      <c r="L4662" s="2"/>
    </row>
    <row r="4663" spans="1:12" x14ac:dyDescent="0.2">
      <c r="A4663" s="103"/>
      <c r="B4663" s="104"/>
      <c r="C4663" s="105"/>
      <c r="K4663" s="1"/>
      <c r="L4663" s="2"/>
    </row>
    <row r="4664" spans="1:12" x14ac:dyDescent="0.2">
      <c r="A4664" s="103"/>
      <c r="B4664" s="104"/>
      <c r="C4664" s="105"/>
      <c r="K4664" s="1"/>
      <c r="L4664" s="2"/>
    </row>
    <row r="4665" spans="1:12" x14ac:dyDescent="0.2">
      <c r="A4665" s="103"/>
      <c r="B4665" s="104"/>
      <c r="C4665" s="105"/>
      <c r="K4665" s="1"/>
      <c r="L4665" s="2"/>
    </row>
    <row r="4666" spans="1:12" x14ac:dyDescent="0.2">
      <c r="A4666" s="103"/>
      <c r="B4666" s="104"/>
      <c r="C4666" s="105"/>
      <c r="K4666" s="1"/>
      <c r="L4666" s="2"/>
    </row>
    <row r="4667" spans="1:12" x14ac:dyDescent="0.2">
      <c r="A4667" s="103"/>
      <c r="B4667" s="104"/>
      <c r="C4667" s="105"/>
      <c r="K4667" s="1"/>
      <c r="L4667" s="2"/>
    </row>
    <row r="4668" spans="1:12" x14ac:dyDescent="0.2">
      <c r="A4668" s="103"/>
      <c r="B4668" s="104"/>
      <c r="C4668" s="105"/>
      <c r="K4668" s="1"/>
      <c r="L4668" s="2"/>
    </row>
    <row r="4669" spans="1:12" x14ac:dyDescent="0.2">
      <c r="A4669" s="103"/>
      <c r="B4669" s="104"/>
      <c r="C4669" s="105"/>
      <c r="K4669" s="1"/>
      <c r="L4669" s="2"/>
    </row>
    <row r="4670" spans="1:12" x14ac:dyDescent="0.2">
      <c r="A4670" s="103"/>
      <c r="B4670" s="104"/>
      <c r="C4670" s="105"/>
      <c r="K4670" s="1"/>
      <c r="L4670" s="2"/>
    </row>
    <row r="4671" spans="1:12" x14ac:dyDescent="0.2">
      <c r="A4671" s="103"/>
      <c r="B4671" s="104"/>
      <c r="C4671" s="105"/>
      <c r="K4671" s="1"/>
      <c r="L4671" s="2"/>
    </row>
    <row r="4672" spans="1:12" x14ac:dyDescent="0.2">
      <c r="A4672" s="103"/>
      <c r="B4672" s="104"/>
      <c r="C4672" s="105"/>
      <c r="K4672" s="1"/>
      <c r="L4672" s="2"/>
    </row>
    <row r="4673" spans="1:12" x14ac:dyDescent="0.2">
      <c r="A4673" s="103"/>
      <c r="B4673" s="104"/>
      <c r="C4673" s="105"/>
      <c r="K4673" s="1"/>
      <c r="L4673" s="2"/>
    </row>
    <row r="4674" spans="1:12" x14ac:dyDescent="0.2">
      <c r="A4674" s="103"/>
      <c r="B4674" s="104"/>
      <c r="C4674" s="105"/>
      <c r="K4674" s="1"/>
      <c r="L4674" s="2"/>
    </row>
    <row r="4675" spans="1:12" x14ac:dyDescent="0.2">
      <c r="A4675" s="103"/>
      <c r="B4675" s="104"/>
      <c r="C4675" s="105"/>
      <c r="K4675" s="1"/>
      <c r="L4675" s="2"/>
    </row>
    <row r="4676" spans="1:12" x14ac:dyDescent="0.2">
      <c r="A4676" s="103"/>
      <c r="B4676" s="104"/>
      <c r="C4676" s="105"/>
      <c r="K4676" s="1"/>
      <c r="L4676" s="2"/>
    </row>
    <row r="4677" spans="1:12" x14ac:dyDescent="0.2">
      <c r="A4677" s="103"/>
      <c r="B4677" s="104"/>
      <c r="C4677" s="105"/>
      <c r="K4677" s="1"/>
      <c r="L4677" s="2"/>
    </row>
    <row r="4678" spans="1:12" x14ac:dyDescent="0.2">
      <c r="A4678" s="103"/>
      <c r="B4678" s="104"/>
      <c r="C4678" s="105"/>
      <c r="K4678" s="1"/>
      <c r="L4678" s="2"/>
    </row>
    <row r="4679" spans="1:12" x14ac:dyDescent="0.2">
      <c r="A4679" s="103"/>
      <c r="B4679" s="104"/>
      <c r="C4679" s="105"/>
      <c r="K4679" s="1"/>
      <c r="L4679" s="2"/>
    </row>
    <row r="4680" spans="1:12" x14ac:dyDescent="0.2">
      <c r="A4680" s="103"/>
      <c r="B4680" s="104"/>
      <c r="C4680" s="105"/>
      <c r="K4680" s="1"/>
      <c r="L4680" s="2"/>
    </row>
    <row r="4681" spans="1:12" x14ac:dyDescent="0.2">
      <c r="A4681" s="103"/>
      <c r="B4681" s="104"/>
      <c r="C4681" s="105"/>
      <c r="K4681" s="1"/>
      <c r="L4681" s="2"/>
    </row>
    <row r="4682" spans="1:12" x14ac:dyDescent="0.2">
      <c r="A4682" s="103"/>
      <c r="B4682" s="104"/>
      <c r="C4682" s="105"/>
      <c r="K4682" s="1"/>
      <c r="L4682" s="2"/>
    </row>
    <row r="4683" spans="1:12" x14ac:dyDescent="0.2">
      <c r="A4683" s="103"/>
      <c r="B4683" s="104"/>
      <c r="C4683" s="105"/>
      <c r="K4683" s="1"/>
      <c r="L4683" s="2"/>
    </row>
    <row r="4684" spans="1:12" x14ac:dyDescent="0.2">
      <c r="A4684" s="103"/>
      <c r="B4684" s="104"/>
      <c r="C4684" s="105"/>
      <c r="K4684" s="1"/>
      <c r="L4684" s="2"/>
    </row>
    <row r="4685" spans="1:12" x14ac:dyDescent="0.2">
      <c r="A4685" s="103"/>
      <c r="B4685" s="104"/>
      <c r="C4685" s="105"/>
      <c r="K4685" s="1"/>
      <c r="L4685" s="2"/>
    </row>
    <row r="4686" spans="1:12" x14ac:dyDescent="0.2">
      <c r="A4686" s="103"/>
      <c r="B4686" s="104"/>
      <c r="C4686" s="105"/>
      <c r="K4686" s="1"/>
      <c r="L4686" s="2"/>
    </row>
    <row r="4687" spans="1:12" x14ac:dyDescent="0.2">
      <c r="A4687" s="103"/>
      <c r="B4687" s="104"/>
      <c r="C4687" s="105"/>
      <c r="K4687" s="1"/>
      <c r="L4687" s="2"/>
    </row>
    <row r="4688" spans="1:12" x14ac:dyDescent="0.2">
      <c r="A4688" s="103"/>
      <c r="B4688" s="104"/>
      <c r="C4688" s="105"/>
      <c r="K4688" s="1"/>
      <c r="L4688" s="2"/>
    </row>
    <row r="4689" spans="1:12" x14ac:dyDescent="0.2">
      <c r="A4689" s="103"/>
      <c r="B4689" s="104"/>
      <c r="C4689" s="105"/>
      <c r="K4689" s="1"/>
      <c r="L4689" s="2"/>
    </row>
    <row r="4690" spans="1:12" x14ac:dyDescent="0.2">
      <c r="A4690" s="103"/>
      <c r="B4690" s="104"/>
      <c r="C4690" s="105"/>
      <c r="K4690" s="1"/>
      <c r="L4690" s="2"/>
    </row>
    <row r="4691" spans="1:12" x14ac:dyDescent="0.2">
      <c r="A4691" s="103"/>
      <c r="B4691" s="104"/>
      <c r="C4691" s="105"/>
      <c r="K4691" s="1"/>
      <c r="L4691" s="2"/>
    </row>
    <row r="4692" spans="1:12" x14ac:dyDescent="0.2">
      <c r="A4692" s="103"/>
      <c r="B4692" s="104"/>
      <c r="C4692" s="105"/>
      <c r="K4692" s="1"/>
      <c r="L4692" s="2"/>
    </row>
    <row r="4693" spans="1:12" x14ac:dyDescent="0.2">
      <c r="A4693" s="103"/>
      <c r="B4693" s="104"/>
      <c r="C4693" s="105"/>
      <c r="K4693" s="1"/>
      <c r="L4693" s="2"/>
    </row>
    <row r="4694" spans="1:12" x14ac:dyDescent="0.2">
      <c r="A4694" s="103"/>
      <c r="B4694" s="104"/>
      <c r="C4694" s="105"/>
      <c r="K4694" s="1"/>
      <c r="L4694" s="2"/>
    </row>
    <row r="4695" spans="1:12" x14ac:dyDescent="0.2">
      <c r="A4695" s="103"/>
      <c r="B4695" s="104"/>
      <c r="C4695" s="105"/>
      <c r="K4695" s="1"/>
      <c r="L4695" s="2"/>
    </row>
    <row r="4696" spans="1:12" x14ac:dyDescent="0.2">
      <c r="A4696" s="103"/>
      <c r="B4696" s="104"/>
      <c r="C4696" s="105"/>
      <c r="K4696" s="1"/>
      <c r="L4696" s="2"/>
    </row>
    <row r="4697" spans="1:12" x14ac:dyDescent="0.2">
      <c r="A4697" s="103"/>
      <c r="B4697" s="104"/>
      <c r="C4697" s="105"/>
      <c r="K4697" s="1"/>
      <c r="L4697" s="2"/>
    </row>
    <row r="4698" spans="1:12" x14ac:dyDescent="0.2">
      <c r="A4698" s="103"/>
      <c r="B4698" s="104"/>
      <c r="C4698" s="105"/>
      <c r="K4698" s="1"/>
      <c r="L4698" s="2"/>
    </row>
    <row r="4699" spans="1:12" x14ac:dyDescent="0.2">
      <c r="A4699" s="103"/>
      <c r="B4699" s="104"/>
      <c r="C4699" s="105"/>
      <c r="K4699" s="1"/>
      <c r="L4699" s="2"/>
    </row>
    <row r="4700" spans="1:12" x14ac:dyDescent="0.2">
      <c r="A4700" s="103"/>
      <c r="B4700" s="104"/>
      <c r="C4700" s="105"/>
      <c r="K4700" s="1"/>
      <c r="L4700" s="2"/>
    </row>
    <row r="4701" spans="1:12" x14ac:dyDescent="0.2">
      <c r="A4701" s="103"/>
      <c r="B4701" s="104"/>
      <c r="C4701" s="105"/>
      <c r="K4701" s="1"/>
      <c r="L4701" s="2"/>
    </row>
    <row r="4702" spans="1:12" x14ac:dyDescent="0.2">
      <c r="A4702" s="103"/>
      <c r="B4702" s="104"/>
      <c r="C4702" s="105"/>
      <c r="K4702" s="1"/>
      <c r="L4702" s="2"/>
    </row>
    <row r="4703" spans="1:12" x14ac:dyDescent="0.2">
      <c r="A4703" s="103"/>
      <c r="B4703" s="104"/>
      <c r="C4703" s="105"/>
      <c r="K4703" s="1"/>
      <c r="L4703" s="2"/>
    </row>
    <row r="4704" spans="1:12" x14ac:dyDescent="0.2">
      <c r="A4704" s="103"/>
      <c r="B4704" s="104"/>
      <c r="C4704" s="105"/>
      <c r="K4704" s="1"/>
      <c r="L4704" s="2"/>
    </row>
    <row r="4705" spans="1:12" x14ac:dyDescent="0.2">
      <c r="A4705" s="103"/>
      <c r="B4705" s="104"/>
      <c r="C4705" s="105"/>
      <c r="K4705" s="1"/>
      <c r="L4705" s="2"/>
    </row>
    <row r="4706" spans="1:12" x14ac:dyDescent="0.2">
      <c r="A4706" s="103"/>
      <c r="B4706" s="104"/>
      <c r="C4706" s="105"/>
      <c r="K4706" s="1"/>
      <c r="L4706" s="2"/>
    </row>
    <row r="4707" spans="1:12" x14ac:dyDescent="0.2">
      <c r="A4707" s="103"/>
      <c r="B4707" s="104"/>
      <c r="C4707" s="105"/>
      <c r="K4707" s="1"/>
      <c r="L4707" s="2"/>
    </row>
    <row r="4708" spans="1:12" x14ac:dyDescent="0.2">
      <c r="A4708" s="103"/>
      <c r="B4708" s="104"/>
      <c r="C4708" s="105"/>
      <c r="K4708" s="1"/>
      <c r="L4708" s="2"/>
    </row>
    <row r="4709" spans="1:12" x14ac:dyDescent="0.2">
      <c r="A4709" s="103"/>
      <c r="B4709" s="104"/>
      <c r="C4709" s="105"/>
      <c r="K4709" s="1"/>
      <c r="L4709" s="2"/>
    </row>
    <row r="4710" spans="1:12" x14ac:dyDescent="0.2">
      <c r="A4710" s="103"/>
      <c r="B4710" s="104"/>
      <c r="C4710" s="105"/>
      <c r="K4710" s="1"/>
      <c r="L4710" s="2"/>
    </row>
    <row r="4711" spans="1:12" x14ac:dyDescent="0.2">
      <c r="A4711" s="103"/>
      <c r="B4711" s="104"/>
      <c r="C4711" s="105"/>
      <c r="K4711" s="1"/>
      <c r="L4711" s="2"/>
    </row>
    <row r="4712" spans="1:12" x14ac:dyDescent="0.2">
      <c r="A4712" s="103"/>
      <c r="B4712" s="104"/>
      <c r="C4712" s="105"/>
      <c r="K4712" s="1"/>
      <c r="L4712" s="2"/>
    </row>
    <row r="4713" spans="1:12" x14ac:dyDescent="0.2">
      <c r="A4713" s="103"/>
      <c r="B4713" s="104"/>
      <c r="C4713" s="105"/>
      <c r="K4713" s="1"/>
      <c r="L4713" s="2"/>
    </row>
    <row r="4714" spans="1:12" x14ac:dyDescent="0.2">
      <c r="A4714" s="103"/>
      <c r="B4714" s="104"/>
      <c r="C4714" s="105"/>
      <c r="K4714" s="1"/>
      <c r="L4714" s="2"/>
    </row>
    <row r="4715" spans="1:12" x14ac:dyDescent="0.2">
      <c r="A4715" s="103"/>
      <c r="B4715" s="104"/>
      <c r="C4715" s="105"/>
      <c r="K4715" s="1"/>
      <c r="L4715" s="2"/>
    </row>
    <row r="4716" spans="1:12" x14ac:dyDescent="0.2">
      <c r="A4716" s="103"/>
      <c r="B4716" s="104"/>
      <c r="C4716" s="105"/>
      <c r="K4716" s="1"/>
      <c r="L4716" s="2"/>
    </row>
    <row r="4717" spans="1:12" x14ac:dyDescent="0.2">
      <c r="A4717" s="103"/>
      <c r="B4717" s="104"/>
      <c r="C4717" s="105"/>
      <c r="K4717" s="1"/>
      <c r="L4717" s="2"/>
    </row>
    <row r="4718" spans="1:12" x14ac:dyDescent="0.2">
      <c r="A4718" s="103"/>
      <c r="B4718" s="104"/>
      <c r="C4718" s="105"/>
      <c r="K4718" s="1"/>
      <c r="L4718" s="2"/>
    </row>
    <row r="4719" spans="1:12" x14ac:dyDescent="0.2">
      <c r="A4719" s="103"/>
      <c r="B4719" s="104"/>
      <c r="C4719" s="105"/>
      <c r="K4719" s="1"/>
      <c r="L4719" s="2"/>
    </row>
    <row r="4720" spans="1:12" x14ac:dyDescent="0.2">
      <c r="A4720" s="103"/>
      <c r="B4720" s="104"/>
      <c r="C4720" s="105"/>
      <c r="K4720" s="1"/>
      <c r="L4720" s="2"/>
    </row>
    <row r="4721" spans="1:12" x14ac:dyDescent="0.2">
      <c r="A4721" s="103"/>
      <c r="B4721" s="104"/>
      <c r="C4721" s="105"/>
      <c r="K4721" s="1"/>
      <c r="L4721" s="2"/>
    </row>
    <row r="4722" spans="1:12" x14ac:dyDescent="0.2">
      <c r="A4722" s="103"/>
      <c r="B4722" s="104"/>
      <c r="C4722" s="105"/>
      <c r="K4722" s="1"/>
      <c r="L4722" s="2"/>
    </row>
    <row r="4723" spans="1:12" x14ac:dyDescent="0.2">
      <c r="A4723" s="103"/>
      <c r="B4723" s="104"/>
      <c r="C4723" s="105"/>
      <c r="K4723" s="1"/>
      <c r="L4723" s="2"/>
    </row>
    <row r="4724" spans="1:12" x14ac:dyDescent="0.2">
      <c r="A4724" s="103"/>
      <c r="B4724" s="104"/>
      <c r="C4724" s="105"/>
      <c r="K4724" s="1"/>
      <c r="L4724" s="2"/>
    </row>
    <row r="4725" spans="1:12" x14ac:dyDescent="0.2">
      <c r="A4725" s="103"/>
      <c r="B4725" s="104"/>
      <c r="C4725" s="105"/>
      <c r="K4725" s="1"/>
      <c r="L4725" s="2"/>
    </row>
    <row r="4726" spans="1:12" x14ac:dyDescent="0.2">
      <c r="A4726" s="103"/>
      <c r="B4726" s="104"/>
      <c r="C4726" s="105"/>
      <c r="K4726" s="1"/>
      <c r="L4726" s="2"/>
    </row>
    <row r="4727" spans="1:12" x14ac:dyDescent="0.2">
      <c r="A4727" s="103"/>
      <c r="B4727" s="104"/>
      <c r="C4727" s="105"/>
      <c r="K4727" s="1"/>
      <c r="L4727" s="2"/>
    </row>
    <row r="4728" spans="1:12" x14ac:dyDescent="0.2">
      <c r="A4728" s="103"/>
      <c r="B4728" s="104"/>
      <c r="C4728" s="105"/>
      <c r="K4728" s="1"/>
      <c r="L4728" s="2"/>
    </row>
    <row r="4729" spans="1:12" x14ac:dyDescent="0.2">
      <c r="A4729" s="103"/>
      <c r="B4729" s="104"/>
      <c r="C4729" s="105"/>
      <c r="K4729" s="1"/>
      <c r="L4729" s="2"/>
    </row>
    <row r="4730" spans="1:12" x14ac:dyDescent="0.2">
      <c r="A4730" s="103"/>
      <c r="B4730" s="104"/>
      <c r="C4730" s="105"/>
      <c r="K4730" s="1"/>
      <c r="L4730" s="2"/>
    </row>
    <row r="4731" spans="1:12" x14ac:dyDescent="0.2">
      <c r="A4731" s="103"/>
      <c r="B4731" s="104"/>
      <c r="C4731" s="105"/>
      <c r="K4731" s="1"/>
      <c r="L4731" s="2"/>
    </row>
    <row r="4732" spans="1:12" x14ac:dyDescent="0.2">
      <c r="A4732" s="103"/>
      <c r="B4732" s="104"/>
      <c r="C4732" s="105"/>
      <c r="K4732" s="1"/>
      <c r="L4732" s="2"/>
    </row>
    <row r="4733" spans="1:12" x14ac:dyDescent="0.2">
      <c r="A4733" s="103"/>
      <c r="B4733" s="104"/>
      <c r="C4733" s="105"/>
      <c r="K4733" s="1"/>
      <c r="L4733" s="2"/>
    </row>
    <row r="4734" spans="1:12" x14ac:dyDescent="0.2">
      <c r="A4734" s="103"/>
      <c r="B4734" s="104"/>
      <c r="C4734" s="105"/>
      <c r="K4734" s="1"/>
      <c r="L4734" s="2"/>
    </row>
    <row r="4735" spans="1:12" x14ac:dyDescent="0.2">
      <c r="A4735" s="103"/>
      <c r="B4735" s="104"/>
      <c r="C4735" s="105"/>
      <c r="K4735" s="1"/>
      <c r="L4735" s="2"/>
    </row>
    <row r="4736" spans="1:12" x14ac:dyDescent="0.2">
      <c r="A4736" s="103"/>
      <c r="B4736" s="104"/>
      <c r="C4736" s="105"/>
      <c r="K4736" s="1"/>
      <c r="L4736" s="2"/>
    </row>
    <row r="4737" spans="1:12" x14ac:dyDescent="0.2">
      <c r="A4737" s="103"/>
      <c r="B4737" s="104"/>
      <c r="C4737" s="105"/>
      <c r="K4737" s="1"/>
      <c r="L4737" s="2"/>
    </row>
    <row r="4738" spans="1:12" x14ac:dyDescent="0.2">
      <c r="A4738" s="103"/>
      <c r="B4738" s="104"/>
      <c r="C4738" s="105"/>
      <c r="K4738" s="1"/>
      <c r="L4738" s="2"/>
    </row>
    <row r="4739" spans="1:12" x14ac:dyDescent="0.2">
      <c r="A4739" s="103"/>
      <c r="B4739" s="104"/>
      <c r="C4739" s="105"/>
      <c r="K4739" s="1"/>
      <c r="L4739" s="2"/>
    </row>
    <row r="4740" spans="1:12" x14ac:dyDescent="0.2">
      <c r="A4740" s="103"/>
      <c r="B4740" s="104"/>
      <c r="C4740" s="105"/>
      <c r="K4740" s="1"/>
      <c r="L4740" s="2"/>
    </row>
    <row r="4741" spans="1:12" x14ac:dyDescent="0.2">
      <c r="A4741" s="103"/>
      <c r="B4741" s="104"/>
      <c r="C4741" s="105"/>
      <c r="K4741" s="1"/>
      <c r="L4741" s="2"/>
    </row>
    <row r="4742" spans="1:12" x14ac:dyDescent="0.2">
      <c r="A4742" s="103"/>
      <c r="B4742" s="104"/>
      <c r="C4742" s="105"/>
      <c r="K4742" s="1"/>
      <c r="L4742" s="2"/>
    </row>
    <row r="4743" spans="1:12" x14ac:dyDescent="0.2">
      <c r="A4743" s="103"/>
      <c r="B4743" s="104"/>
      <c r="C4743" s="105"/>
      <c r="K4743" s="1"/>
      <c r="L4743" s="2"/>
    </row>
    <row r="4744" spans="1:12" x14ac:dyDescent="0.2">
      <c r="A4744" s="103"/>
      <c r="B4744" s="104"/>
      <c r="C4744" s="105"/>
      <c r="K4744" s="1"/>
      <c r="L4744" s="2"/>
    </row>
    <row r="4745" spans="1:12" x14ac:dyDescent="0.2">
      <c r="A4745" s="103"/>
      <c r="B4745" s="104"/>
      <c r="C4745" s="105"/>
      <c r="K4745" s="1"/>
      <c r="L4745" s="2"/>
    </row>
    <row r="4746" spans="1:12" x14ac:dyDescent="0.2">
      <c r="A4746" s="103"/>
      <c r="B4746" s="104"/>
      <c r="C4746" s="105"/>
      <c r="K4746" s="1"/>
      <c r="L4746" s="2"/>
    </row>
    <row r="4747" spans="1:12" x14ac:dyDescent="0.2">
      <c r="A4747" s="103"/>
      <c r="B4747" s="104"/>
      <c r="C4747" s="105"/>
      <c r="K4747" s="1"/>
      <c r="L4747" s="2"/>
    </row>
    <row r="4748" spans="1:12" x14ac:dyDescent="0.2">
      <c r="A4748" s="103"/>
      <c r="B4748" s="104"/>
      <c r="C4748" s="105"/>
      <c r="K4748" s="1"/>
      <c r="L4748" s="2"/>
    </row>
    <row r="4749" spans="1:12" x14ac:dyDescent="0.2">
      <c r="A4749" s="103"/>
      <c r="B4749" s="104"/>
      <c r="C4749" s="105"/>
      <c r="K4749" s="1"/>
      <c r="L4749" s="2"/>
    </row>
    <row r="4750" spans="1:12" x14ac:dyDescent="0.2">
      <c r="A4750" s="103"/>
      <c r="B4750" s="104"/>
      <c r="C4750" s="105"/>
      <c r="K4750" s="1"/>
      <c r="L4750" s="2"/>
    </row>
    <row r="4751" spans="1:12" x14ac:dyDescent="0.2">
      <c r="A4751" s="103"/>
      <c r="B4751" s="104"/>
      <c r="C4751" s="105"/>
      <c r="K4751" s="1"/>
      <c r="L4751" s="2"/>
    </row>
    <row r="4752" spans="1:12" x14ac:dyDescent="0.2">
      <c r="A4752" s="103"/>
      <c r="B4752" s="104"/>
      <c r="C4752" s="105"/>
      <c r="K4752" s="1"/>
      <c r="L4752" s="2"/>
    </row>
    <row r="4753" spans="1:12" x14ac:dyDescent="0.2">
      <c r="A4753" s="103"/>
      <c r="B4753" s="104"/>
      <c r="C4753" s="105"/>
      <c r="K4753" s="1"/>
      <c r="L4753" s="2"/>
    </row>
    <row r="4754" spans="1:12" x14ac:dyDescent="0.2">
      <c r="A4754" s="103"/>
      <c r="B4754" s="104"/>
      <c r="C4754" s="105"/>
      <c r="K4754" s="1"/>
      <c r="L4754" s="2"/>
    </row>
    <row r="4755" spans="1:12" x14ac:dyDescent="0.2">
      <c r="A4755" s="103"/>
      <c r="B4755" s="104"/>
      <c r="C4755" s="105"/>
      <c r="K4755" s="1"/>
      <c r="L4755" s="2"/>
    </row>
    <row r="4756" spans="1:12" x14ac:dyDescent="0.2">
      <c r="A4756" s="103"/>
      <c r="B4756" s="104"/>
      <c r="C4756" s="105"/>
      <c r="K4756" s="1"/>
      <c r="L4756" s="2"/>
    </row>
    <row r="4757" spans="1:12" x14ac:dyDescent="0.2">
      <c r="A4757" s="103"/>
      <c r="B4757" s="104"/>
      <c r="C4757" s="105"/>
      <c r="K4757" s="1"/>
      <c r="L4757" s="2"/>
    </row>
    <row r="4758" spans="1:12" x14ac:dyDescent="0.2">
      <c r="A4758" s="103"/>
      <c r="B4758" s="104"/>
      <c r="C4758" s="105"/>
      <c r="K4758" s="1"/>
      <c r="L4758" s="2"/>
    </row>
    <row r="4759" spans="1:12" x14ac:dyDescent="0.2">
      <c r="A4759" s="103"/>
      <c r="B4759" s="104"/>
      <c r="C4759" s="105"/>
      <c r="K4759" s="1"/>
      <c r="L4759" s="2"/>
    </row>
    <row r="4760" spans="1:12" x14ac:dyDescent="0.2">
      <c r="A4760" s="103"/>
      <c r="B4760" s="104"/>
      <c r="C4760" s="105"/>
      <c r="K4760" s="1"/>
      <c r="L4760" s="2"/>
    </row>
    <row r="4761" spans="1:12" x14ac:dyDescent="0.2">
      <c r="A4761" s="103"/>
      <c r="B4761" s="104"/>
      <c r="C4761" s="105"/>
      <c r="K4761" s="1"/>
      <c r="L4761" s="2"/>
    </row>
    <row r="4762" spans="1:12" x14ac:dyDescent="0.2">
      <c r="A4762" s="103"/>
      <c r="B4762" s="104"/>
      <c r="C4762" s="105"/>
      <c r="K4762" s="1"/>
      <c r="L4762" s="2"/>
    </row>
    <row r="4763" spans="1:12" x14ac:dyDescent="0.2">
      <c r="A4763" s="103"/>
      <c r="B4763" s="104"/>
      <c r="C4763" s="105"/>
      <c r="K4763" s="1"/>
      <c r="L4763" s="2"/>
    </row>
    <row r="4764" spans="1:12" x14ac:dyDescent="0.2">
      <c r="A4764" s="103"/>
      <c r="B4764" s="104"/>
      <c r="C4764" s="105"/>
      <c r="K4764" s="1"/>
      <c r="L4764" s="2"/>
    </row>
    <row r="4765" spans="1:12" x14ac:dyDescent="0.2">
      <c r="A4765" s="103"/>
      <c r="B4765" s="104"/>
      <c r="C4765" s="105"/>
      <c r="K4765" s="1"/>
      <c r="L4765" s="2"/>
    </row>
    <row r="4766" spans="1:12" x14ac:dyDescent="0.2">
      <c r="A4766" s="103"/>
      <c r="B4766" s="104"/>
      <c r="C4766" s="105"/>
      <c r="K4766" s="1"/>
      <c r="L4766" s="2"/>
    </row>
    <row r="4767" spans="1:12" x14ac:dyDescent="0.2">
      <c r="A4767" s="103"/>
      <c r="B4767" s="104"/>
      <c r="C4767" s="105"/>
      <c r="K4767" s="1"/>
      <c r="L4767" s="2"/>
    </row>
    <row r="4768" spans="1:12" x14ac:dyDescent="0.2">
      <c r="A4768" s="103"/>
      <c r="B4768" s="104"/>
      <c r="C4768" s="105"/>
      <c r="K4768" s="1"/>
      <c r="L4768" s="2"/>
    </row>
    <row r="4769" spans="1:12" x14ac:dyDescent="0.2">
      <c r="A4769" s="103"/>
      <c r="B4769" s="104"/>
      <c r="C4769" s="105"/>
      <c r="K4769" s="1"/>
      <c r="L4769" s="2"/>
    </row>
    <row r="4770" spans="1:12" x14ac:dyDescent="0.2">
      <c r="A4770" s="103"/>
      <c r="B4770" s="104"/>
      <c r="C4770" s="105"/>
      <c r="K4770" s="1"/>
      <c r="L4770" s="2"/>
    </row>
    <row r="4771" spans="1:12" x14ac:dyDescent="0.2">
      <c r="A4771" s="103"/>
      <c r="B4771" s="104"/>
      <c r="C4771" s="105"/>
      <c r="K4771" s="1"/>
      <c r="L4771" s="2"/>
    </row>
    <row r="4772" spans="1:12" x14ac:dyDescent="0.2">
      <c r="A4772" s="103"/>
      <c r="B4772" s="104"/>
      <c r="C4772" s="105"/>
      <c r="K4772" s="1"/>
      <c r="L4772" s="2"/>
    </row>
    <row r="4773" spans="1:12" x14ac:dyDescent="0.2">
      <c r="A4773" s="103"/>
      <c r="B4773" s="104"/>
      <c r="C4773" s="105"/>
      <c r="K4773" s="1"/>
      <c r="L4773" s="2"/>
    </row>
    <row r="4774" spans="1:12" x14ac:dyDescent="0.2">
      <c r="A4774" s="103"/>
      <c r="B4774" s="104"/>
      <c r="C4774" s="105"/>
      <c r="K4774" s="1"/>
      <c r="L4774" s="2"/>
    </row>
    <row r="4775" spans="1:12" x14ac:dyDescent="0.2">
      <c r="A4775" s="103"/>
      <c r="B4775" s="104"/>
      <c r="C4775" s="105"/>
      <c r="K4775" s="1"/>
      <c r="L4775" s="2"/>
    </row>
    <row r="4776" spans="1:12" x14ac:dyDescent="0.2">
      <c r="A4776" s="103"/>
      <c r="B4776" s="104"/>
      <c r="C4776" s="105"/>
      <c r="K4776" s="1"/>
      <c r="L4776" s="2"/>
    </row>
    <row r="4777" spans="1:12" x14ac:dyDescent="0.2">
      <c r="A4777" s="103"/>
      <c r="B4777" s="104"/>
      <c r="C4777" s="105"/>
      <c r="K4777" s="1"/>
      <c r="L4777" s="2"/>
    </row>
    <row r="4778" spans="1:12" x14ac:dyDescent="0.2">
      <c r="A4778" s="103"/>
      <c r="B4778" s="104"/>
      <c r="C4778" s="105"/>
      <c r="K4778" s="1"/>
      <c r="L4778" s="2"/>
    </row>
    <row r="4779" spans="1:12" x14ac:dyDescent="0.2">
      <c r="A4779" s="103"/>
      <c r="B4779" s="104"/>
      <c r="C4779" s="105"/>
      <c r="K4779" s="1"/>
      <c r="L4779" s="2"/>
    </row>
    <row r="4780" spans="1:12" x14ac:dyDescent="0.2">
      <c r="A4780" s="103"/>
      <c r="B4780" s="104"/>
      <c r="C4780" s="105"/>
      <c r="K4780" s="1"/>
      <c r="L4780" s="2"/>
    </row>
    <row r="4781" spans="1:12" x14ac:dyDescent="0.2">
      <c r="A4781" s="103"/>
      <c r="B4781" s="104"/>
      <c r="C4781" s="105"/>
      <c r="K4781" s="1"/>
      <c r="L4781" s="2"/>
    </row>
    <row r="4782" spans="1:12" x14ac:dyDescent="0.2">
      <c r="A4782" s="103"/>
      <c r="B4782" s="104"/>
      <c r="C4782" s="105"/>
      <c r="K4782" s="1"/>
      <c r="L4782" s="2"/>
    </row>
    <row r="4783" spans="1:12" x14ac:dyDescent="0.2">
      <c r="A4783" s="103"/>
      <c r="B4783" s="104"/>
      <c r="C4783" s="105"/>
      <c r="K4783" s="1"/>
      <c r="L4783" s="2"/>
    </row>
    <row r="4784" spans="1:12" x14ac:dyDescent="0.2">
      <c r="A4784" s="103"/>
      <c r="B4784" s="104"/>
      <c r="C4784" s="105"/>
      <c r="K4784" s="1"/>
      <c r="L4784" s="2"/>
    </row>
    <row r="4785" spans="1:12" x14ac:dyDescent="0.2">
      <c r="A4785" s="103"/>
      <c r="B4785" s="104"/>
      <c r="C4785" s="105"/>
      <c r="K4785" s="1"/>
      <c r="L4785" s="2"/>
    </row>
    <row r="4786" spans="1:12" x14ac:dyDescent="0.2">
      <c r="A4786" s="103"/>
      <c r="B4786" s="104"/>
      <c r="C4786" s="105"/>
      <c r="K4786" s="1"/>
      <c r="L4786" s="2"/>
    </row>
    <row r="4787" spans="1:12" x14ac:dyDescent="0.2">
      <c r="A4787" s="103"/>
      <c r="B4787" s="104"/>
      <c r="C4787" s="105"/>
      <c r="K4787" s="1"/>
      <c r="L4787" s="2"/>
    </row>
    <row r="4788" spans="1:12" x14ac:dyDescent="0.2">
      <c r="A4788" s="103"/>
      <c r="B4788" s="104"/>
      <c r="C4788" s="105"/>
      <c r="K4788" s="1"/>
      <c r="L4788" s="2"/>
    </row>
    <row r="4789" spans="1:12" x14ac:dyDescent="0.2">
      <c r="A4789" s="103"/>
      <c r="B4789" s="104"/>
      <c r="C4789" s="105"/>
      <c r="K4789" s="1"/>
      <c r="L4789" s="2"/>
    </row>
    <row r="4790" spans="1:12" x14ac:dyDescent="0.2">
      <c r="A4790" s="103"/>
      <c r="B4790" s="104"/>
      <c r="C4790" s="105"/>
      <c r="K4790" s="1"/>
      <c r="L4790" s="2"/>
    </row>
    <row r="4791" spans="1:12" x14ac:dyDescent="0.2">
      <c r="A4791" s="103"/>
      <c r="B4791" s="104"/>
      <c r="C4791" s="105"/>
      <c r="K4791" s="1"/>
      <c r="L4791" s="2"/>
    </row>
    <row r="4792" spans="1:12" x14ac:dyDescent="0.2">
      <c r="A4792" s="103"/>
      <c r="B4792" s="104"/>
      <c r="C4792" s="105"/>
      <c r="K4792" s="1"/>
      <c r="L4792" s="2"/>
    </row>
    <row r="4793" spans="1:12" x14ac:dyDescent="0.2">
      <c r="A4793" s="103"/>
      <c r="B4793" s="104"/>
      <c r="C4793" s="105"/>
      <c r="K4793" s="1"/>
      <c r="L4793" s="2"/>
    </row>
    <row r="4794" spans="1:12" x14ac:dyDescent="0.2">
      <c r="A4794" s="103"/>
      <c r="B4794" s="104"/>
      <c r="C4794" s="105"/>
      <c r="K4794" s="1"/>
      <c r="L4794" s="2"/>
    </row>
    <row r="4795" spans="1:12" x14ac:dyDescent="0.2">
      <c r="A4795" s="103"/>
      <c r="B4795" s="104"/>
      <c r="C4795" s="105"/>
      <c r="K4795" s="1"/>
      <c r="L4795" s="2"/>
    </row>
    <row r="4796" spans="1:12" x14ac:dyDescent="0.2">
      <c r="A4796" s="103"/>
      <c r="B4796" s="104"/>
      <c r="C4796" s="105"/>
      <c r="K4796" s="1"/>
      <c r="L4796" s="2"/>
    </row>
    <row r="4797" spans="1:12" x14ac:dyDescent="0.2">
      <c r="A4797" s="103"/>
      <c r="B4797" s="104"/>
      <c r="C4797" s="105"/>
      <c r="K4797" s="1"/>
      <c r="L4797" s="2"/>
    </row>
    <row r="4798" spans="1:12" x14ac:dyDescent="0.2">
      <c r="A4798" s="103"/>
      <c r="B4798" s="104"/>
      <c r="C4798" s="105"/>
      <c r="K4798" s="1"/>
      <c r="L4798" s="2"/>
    </row>
    <row r="4799" spans="1:12" x14ac:dyDescent="0.2">
      <c r="A4799" s="103"/>
      <c r="B4799" s="104"/>
      <c r="C4799" s="105"/>
      <c r="K4799" s="1"/>
      <c r="L4799" s="2"/>
    </row>
    <row r="4800" spans="1:12" x14ac:dyDescent="0.2">
      <c r="A4800" s="103"/>
      <c r="B4800" s="104"/>
      <c r="C4800" s="105"/>
      <c r="K4800" s="1"/>
      <c r="L4800" s="2"/>
    </row>
    <row r="4801" spans="1:12" x14ac:dyDescent="0.2">
      <c r="A4801" s="103"/>
      <c r="B4801" s="104"/>
      <c r="C4801" s="105"/>
      <c r="K4801" s="1"/>
      <c r="L4801" s="2"/>
    </row>
    <row r="4802" spans="1:12" x14ac:dyDescent="0.2">
      <c r="A4802" s="103"/>
      <c r="B4802" s="104"/>
      <c r="C4802" s="105"/>
      <c r="K4802" s="1"/>
      <c r="L4802" s="2"/>
    </row>
    <row r="4803" spans="1:12" x14ac:dyDescent="0.2">
      <c r="A4803" s="103"/>
      <c r="B4803" s="104"/>
      <c r="C4803" s="105"/>
      <c r="K4803" s="1"/>
      <c r="L4803" s="2"/>
    </row>
    <row r="4804" spans="1:12" x14ac:dyDescent="0.2">
      <c r="A4804" s="103"/>
      <c r="B4804" s="104"/>
      <c r="C4804" s="105"/>
      <c r="K4804" s="1"/>
      <c r="L4804" s="2"/>
    </row>
    <row r="4805" spans="1:12" x14ac:dyDescent="0.2">
      <c r="A4805" s="103"/>
      <c r="B4805" s="104"/>
      <c r="C4805" s="105"/>
      <c r="K4805" s="1"/>
      <c r="L4805" s="2"/>
    </row>
    <row r="4806" spans="1:12" x14ac:dyDescent="0.2">
      <c r="A4806" s="103"/>
      <c r="B4806" s="104"/>
      <c r="C4806" s="105"/>
      <c r="K4806" s="1"/>
      <c r="L4806" s="2"/>
    </row>
    <row r="4807" spans="1:12" x14ac:dyDescent="0.2">
      <c r="A4807" s="103"/>
      <c r="B4807" s="104"/>
      <c r="C4807" s="105"/>
      <c r="K4807" s="1"/>
      <c r="L4807" s="2"/>
    </row>
    <row r="4808" spans="1:12" x14ac:dyDescent="0.2">
      <c r="A4808" s="103"/>
      <c r="B4808" s="104"/>
      <c r="C4808" s="105"/>
      <c r="K4808" s="1"/>
      <c r="L4808" s="2"/>
    </row>
    <row r="4809" spans="1:12" x14ac:dyDescent="0.2">
      <c r="A4809" s="103"/>
      <c r="B4809" s="104"/>
      <c r="C4809" s="105"/>
      <c r="K4809" s="1"/>
      <c r="L4809" s="2"/>
    </row>
    <row r="4810" spans="1:12" x14ac:dyDescent="0.2">
      <c r="A4810" s="103"/>
      <c r="B4810" s="104"/>
      <c r="C4810" s="105"/>
      <c r="K4810" s="1"/>
      <c r="L4810" s="2"/>
    </row>
    <row r="4811" spans="1:12" x14ac:dyDescent="0.2">
      <c r="A4811" s="103"/>
      <c r="B4811" s="104"/>
      <c r="C4811" s="105"/>
      <c r="K4811" s="1"/>
      <c r="L4811" s="2"/>
    </row>
    <row r="4812" spans="1:12" x14ac:dyDescent="0.2">
      <c r="A4812" s="103"/>
      <c r="B4812" s="104"/>
      <c r="C4812" s="105"/>
      <c r="K4812" s="1"/>
      <c r="L4812" s="2"/>
    </row>
    <row r="4813" spans="1:12" x14ac:dyDescent="0.2">
      <c r="A4813" s="103"/>
      <c r="B4813" s="104"/>
      <c r="C4813" s="105"/>
      <c r="K4813" s="1"/>
      <c r="L4813" s="2"/>
    </row>
    <row r="4814" spans="1:12" x14ac:dyDescent="0.2">
      <c r="A4814" s="103"/>
      <c r="B4814" s="104"/>
      <c r="C4814" s="105"/>
      <c r="K4814" s="1"/>
      <c r="L4814" s="2"/>
    </row>
    <row r="4815" spans="1:12" x14ac:dyDescent="0.2">
      <c r="A4815" s="103"/>
      <c r="B4815" s="104"/>
      <c r="C4815" s="105"/>
      <c r="K4815" s="1"/>
      <c r="L4815" s="2"/>
    </row>
    <row r="4816" spans="1:12" x14ac:dyDescent="0.2">
      <c r="A4816" s="103"/>
      <c r="B4816" s="104"/>
      <c r="C4816" s="105"/>
      <c r="K4816" s="1"/>
      <c r="L4816" s="2"/>
    </row>
    <row r="4817" spans="1:12" x14ac:dyDescent="0.2">
      <c r="A4817" s="103"/>
      <c r="B4817" s="104"/>
      <c r="C4817" s="105"/>
      <c r="K4817" s="1"/>
      <c r="L4817" s="2"/>
    </row>
    <row r="4818" spans="1:12" x14ac:dyDescent="0.2">
      <c r="A4818" s="103"/>
      <c r="B4818" s="104"/>
      <c r="C4818" s="105"/>
      <c r="K4818" s="1"/>
      <c r="L4818" s="2"/>
    </row>
    <row r="4819" spans="1:12" x14ac:dyDescent="0.2">
      <c r="A4819" s="103"/>
      <c r="B4819" s="104"/>
      <c r="C4819" s="105"/>
      <c r="K4819" s="1"/>
      <c r="L4819" s="2"/>
    </row>
    <row r="4820" spans="1:12" x14ac:dyDescent="0.2">
      <c r="A4820" s="103"/>
      <c r="B4820" s="104"/>
      <c r="C4820" s="105"/>
      <c r="K4820" s="1"/>
      <c r="L4820" s="2"/>
    </row>
    <row r="4821" spans="1:12" x14ac:dyDescent="0.2">
      <c r="A4821" s="103"/>
      <c r="B4821" s="104"/>
      <c r="C4821" s="105"/>
      <c r="K4821" s="1"/>
      <c r="L4821" s="2"/>
    </row>
    <row r="4822" spans="1:12" x14ac:dyDescent="0.2">
      <c r="A4822" s="103"/>
      <c r="B4822" s="104"/>
      <c r="C4822" s="105"/>
      <c r="K4822" s="1"/>
      <c r="L4822" s="2"/>
    </row>
    <row r="4823" spans="1:12" x14ac:dyDescent="0.2">
      <c r="A4823" s="103"/>
      <c r="B4823" s="104"/>
      <c r="C4823" s="105"/>
      <c r="K4823" s="1"/>
      <c r="L4823" s="2"/>
    </row>
    <row r="4824" spans="1:12" x14ac:dyDescent="0.2">
      <c r="A4824" s="103"/>
      <c r="B4824" s="104"/>
      <c r="C4824" s="105"/>
      <c r="K4824" s="1"/>
      <c r="L4824" s="2"/>
    </row>
    <row r="4825" spans="1:12" x14ac:dyDescent="0.2">
      <c r="A4825" s="103"/>
      <c r="B4825" s="104"/>
      <c r="C4825" s="105"/>
      <c r="K4825" s="1"/>
      <c r="L4825" s="2"/>
    </row>
    <row r="4826" spans="1:12" x14ac:dyDescent="0.2">
      <c r="A4826" s="103"/>
      <c r="B4826" s="104"/>
      <c r="C4826" s="105"/>
      <c r="K4826" s="1"/>
      <c r="L4826" s="2"/>
    </row>
    <row r="4827" spans="1:12" x14ac:dyDescent="0.2">
      <c r="A4827" s="103"/>
      <c r="B4827" s="104"/>
      <c r="C4827" s="105"/>
      <c r="K4827" s="1"/>
      <c r="L4827" s="2"/>
    </row>
    <row r="4828" spans="1:12" x14ac:dyDescent="0.2">
      <c r="A4828" s="103"/>
      <c r="B4828" s="104"/>
      <c r="C4828" s="105"/>
      <c r="K4828" s="1"/>
      <c r="L4828" s="2"/>
    </row>
    <row r="4829" spans="1:12" x14ac:dyDescent="0.2">
      <c r="A4829" s="103"/>
      <c r="B4829" s="104"/>
      <c r="C4829" s="105"/>
      <c r="K4829" s="1"/>
      <c r="L4829" s="2"/>
    </row>
    <row r="4830" spans="1:12" x14ac:dyDescent="0.2">
      <c r="A4830" s="103"/>
      <c r="B4830" s="104"/>
      <c r="C4830" s="105"/>
      <c r="K4830" s="1"/>
      <c r="L4830" s="2"/>
    </row>
    <row r="4831" spans="1:12" x14ac:dyDescent="0.2">
      <c r="A4831" s="103"/>
      <c r="B4831" s="104"/>
      <c r="C4831" s="105"/>
      <c r="K4831" s="1"/>
      <c r="L4831" s="2"/>
    </row>
    <row r="4832" spans="1:12" x14ac:dyDescent="0.2">
      <c r="A4832" s="103"/>
      <c r="B4832" s="104"/>
      <c r="C4832" s="105"/>
      <c r="K4832" s="1"/>
      <c r="L4832" s="2"/>
    </row>
    <row r="4833" spans="1:12" x14ac:dyDescent="0.2">
      <c r="A4833" s="103"/>
      <c r="B4833" s="104"/>
      <c r="C4833" s="105"/>
      <c r="K4833" s="1"/>
      <c r="L4833" s="2"/>
    </row>
    <row r="4834" spans="1:12" x14ac:dyDescent="0.2">
      <c r="A4834" s="103"/>
      <c r="B4834" s="104"/>
      <c r="C4834" s="105"/>
      <c r="K4834" s="1"/>
      <c r="L4834" s="2"/>
    </row>
    <row r="4835" spans="1:12" x14ac:dyDescent="0.2">
      <c r="A4835" s="103"/>
      <c r="B4835" s="104"/>
      <c r="C4835" s="105"/>
      <c r="K4835" s="1"/>
      <c r="L4835" s="2"/>
    </row>
    <row r="4836" spans="1:12" x14ac:dyDescent="0.2">
      <c r="A4836" s="103"/>
      <c r="B4836" s="104"/>
      <c r="C4836" s="105"/>
      <c r="K4836" s="1"/>
      <c r="L4836" s="2"/>
    </row>
    <row r="4837" spans="1:12" x14ac:dyDescent="0.2">
      <c r="A4837" s="103"/>
      <c r="B4837" s="104"/>
      <c r="C4837" s="105"/>
      <c r="K4837" s="1"/>
      <c r="L4837" s="2"/>
    </row>
    <row r="4838" spans="1:12" x14ac:dyDescent="0.2">
      <c r="A4838" s="103"/>
      <c r="B4838" s="104"/>
      <c r="C4838" s="105"/>
      <c r="K4838" s="1"/>
      <c r="L4838" s="2"/>
    </row>
    <row r="4839" spans="1:12" x14ac:dyDescent="0.2">
      <c r="A4839" s="103"/>
      <c r="B4839" s="104"/>
      <c r="C4839" s="105"/>
      <c r="K4839" s="1"/>
      <c r="L4839" s="2"/>
    </row>
    <row r="4840" spans="1:12" x14ac:dyDescent="0.2">
      <c r="A4840" s="103"/>
      <c r="B4840" s="104"/>
      <c r="C4840" s="105"/>
      <c r="K4840" s="1"/>
      <c r="L4840" s="2"/>
    </row>
    <row r="4841" spans="1:12" x14ac:dyDescent="0.2">
      <c r="A4841" s="103"/>
      <c r="B4841" s="104"/>
      <c r="C4841" s="105"/>
      <c r="K4841" s="1"/>
      <c r="L4841" s="2"/>
    </row>
    <row r="4842" spans="1:12" x14ac:dyDescent="0.2">
      <c r="A4842" s="103"/>
      <c r="B4842" s="104"/>
      <c r="C4842" s="105"/>
      <c r="K4842" s="1"/>
      <c r="L4842" s="2"/>
    </row>
    <row r="4843" spans="1:12" x14ac:dyDescent="0.2">
      <c r="A4843" s="103"/>
      <c r="B4843" s="104"/>
      <c r="C4843" s="105"/>
      <c r="K4843" s="1"/>
      <c r="L4843" s="2"/>
    </row>
    <row r="4844" spans="1:12" x14ac:dyDescent="0.2">
      <c r="A4844" s="103"/>
      <c r="B4844" s="104"/>
      <c r="C4844" s="105"/>
      <c r="K4844" s="1"/>
      <c r="L4844" s="2"/>
    </row>
    <row r="4845" spans="1:12" x14ac:dyDescent="0.2">
      <c r="A4845" s="103"/>
      <c r="B4845" s="104"/>
      <c r="C4845" s="105"/>
      <c r="K4845" s="1"/>
      <c r="L4845" s="2"/>
    </row>
    <row r="4846" spans="1:12" x14ac:dyDescent="0.2">
      <c r="A4846" s="103"/>
      <c r="B4846" s="104"/>
      <c r="C4846" s="105"/>
      <c r="K4846" s="1"/>
      <c r="L4846" s="2"/>
    </row>
    <row r="4847" spans="1:12" x14ac:dyDescent="0.2">
      <c r="A4847" s="103"/>
      <c r="B4847" s="104"/>
      <c r="C4847" s="105"/>
      <c r="K4847" s="1"/>
      <c r="L4847" s="2"/>
    </row>
    <row r="4848" spans="1:12" x14ac:dyDescent="0.2">
      <c r="A4848" s="103"/>
      <c r="B4848" s="104"/>
      <c r="C4848" s="105"/>
      <c r="K4848" s="1"/>
      <c r="L4848" s="2"/>
    </row>
    <row r="4849" spans="1:12" x14ac:dyDescent="0.2">
      <c r="A4849" s="103"/>
      <c r="B4849" s="104"/>
      <c r="C4849" s="105"/>
      <c r="K4849" s="1"/>
      <c r="L4849" s="2"/>
    </row>
    <row r="4850" spans="1:12" x14ac:dyDescent="0.2">
      <c r="A4850" s="103"/>
      <c r="B4850" s="104"/>
      <c r="C4850" s="105"/>
      <c r="K4850" s="1"/>
      <c r="L4850" s="2"/>
    </row>
    <row r="4851" spans="1:12" x14ac:dyDescent="0.2">
      <c r="A4851" s="103"/>
      <c r="B4851" s="104"/>
      <c r="C4851" s="105"/>
      <c r="K4851" s="1"/>
      <c r="L4851" s="2"/>
    </row>
    <row r="4852" spans="1:12" x14ac:dyDescent="0.2">
      <c r="A4852" s="103"/>
      <c r="B4852" s="104"/>
      <c r="C4852" s="105"/>
      <c r="K4852" s="1"/>
      <c r="L4852" s="2"/>
    </row>
    <row r="4853" spans="1:12" x14ac:dyDescent="0.2">
      <c r="A4853" s="103"/>
      <c r="B4853" s="104"/>
      <c r="C4853" s="105"/>
      <c r="K4853" s="1"/>
      <c r="L4853" s="2"/>
    </row>
    <row r="4854" spans="1:12" x14ac:dyDescent="0.2">
      <c r="A4854" s="103"/>
      <c r="B4854" s="104"/>
      <c r="C4854" s="105"/>
      <c r="K4854" s="1"/>
      <c r="L4854" s="2"/>
    </row>
    <row r="4855" spans="1:12" x14ac:dyDescent="0.2">
      <c r="A4855" s="103"/>
      <c r="B4855" s="104"/>
      <c r="C4855" s="105"/>
      <c r="K4855" s="1"/>
      <c r="L4855" s="2"/>
    </row>
    <row r="4856" spans="1:12" x14ac:dyDescent="0.2">
      <c r="A4856" s="103"/>
      <c r="B4856" s="104"/>
      <c r="C4856" s="105"/>
      <c r="K4856" s="1"/>
      <c r="L4856" s="2"/>
    </row>
    <row r="4857" spans="1:12" x14ac:dyDescent="0.2">
      <c r="A4857" s="103"/>
      <c r="B4857" s="104"/>
      <c r="C4857" s="105"/>
      <c r="K4857" s="1"/>
      <c r="L4857" s="2"/>
    </row>
    <row r="4858" spans="1:12" x14ac:dyDescent="0.2">
      <c r="A4858" s="103"/>
      <c r="B4858" s="104"/>
      <c r="C4858" s="105"/>
      <c r="K4858" s="1"/>
      <c r="L4858" s="2"/>
    </row>
    <row r="4859" spans="1:12" x14ac:dyDescent="0.2">
      <c r="A4859" s="103"/>
      <c r="B4859" s="104"/>
      <c r="C4859" s="105"/>
      <c r="K4859" s="1"/>
      <c r="L4859" s="2"/>
    </row>
    <row r="4860" spans="1:12" x14ac:dyDescent="0.2">
      <c r="A4860" s="103"/>
      <c r="B4860" s="104"/>
      <c r="C4860" s="105"/>
      <c r="K4860" s="1"/>
      <c r="L4860" s="2"/>
    </row>
    <row r="4861" spans="1:12" x14ac:dyDescent="0.2">
      <c r="A4861" s="103"/>
      <c r="B4861" s="104"/>
      <c r="C4861" s="105"/>
      <c r="K4861" s="1"/>
      <c r="L4861" s="2"/>
    </row>
    <row r="4862" spans="1:12" x14ac:dyDescent="0.2">
      <c r="A4862" s="103"/>
      <c r="B4862" s="104"/>
      <c r="C4862" s="105"/>
      <c r="K4862" s="1"/>
      <c r="L4862" s="2"/>
    </row>
    <row r="4863" spans="1:12" x14ac:dyDescent="0.2">
      <c r="A4863" s="103"/>
      <c r="B4863" s="104"/>
      <c r="C4863" s="105"/>
      <c r="K4863" s="1"/>
      <c r="L4863" s="2"/>
    </row>
    <row r="4864" spans="1:12" x14ac:dyDescent="0.2">
      <c r="A4864" s="103"/>
      <c r="B4864" s="104"/>
      <c r="C4864" s="105"/>
      <c r="K4864" s="1"/>
      <c r="L4864" s="2"/>
    </row>
    <row r="4865" spans="1:12" x14ac:dyDescent="0.2">
      <c r="A4865" s="103"/>
      <c r="B4865" s="104"/>
      <c r="C4865" s="105"/>
      <c r="K4865" s="1"/>
      <c r="L4865" s="2"/>
    </row>
    <row r="4866" spans="1:12" x14ac:dyDescent="0.2">
      <c r="A4866" s="103"/>
      <c r="B4866" s="104"/>
      <c r="C4866" s="105"/>
      <c r="K4866" s="1"/>
      <c r="L4866" s="2"/>
    </row>
    <row r="4867" spans="1:12" x14ac:dyDescent="0.2">
      <c r="A4867" s="103"/>
      <c r="B4867" s="104"/>
      <c r="C4867" s="105"/>
      <c r="K4867" s="1"/>
      <c r="L4867" s="2"/>
    </row>
    <row r="4868" spans="1:12" x14ac:dyDescent="0.2">
      <c r="A4868" s="103"/>
      <c r="B4868" s="104"/>
      <c r="C4868" s="105"/>
      <c r="K4868" s="1"/>
      <c r="L4868" s="2"/>
    </row>
    <row r="4869" spans="1:12" x14ac:dyDescent="0.2">
      <c r="A4869" s="103"/>
      <c r="B4869" s="104"/>
      <c r="C4869" s="105"/>
      <c r="K4869" s="1"/>
      <c r="L4869" s="2"/>
    </row>
    <row r="4870" spans="1:12" x14ac:dyDescent="0.2">
      <c r="A4870" s="103"/>
      <c r="B4870" s="104"/>
      <c r="C4870" s="105"/>
      <c r="K4870" s="1"/>
      <c r="L4870" s="2"/>
    </row>
    <row r="4871" spans="1:12" x14ac:dyDescent="0.2">
      <c r="A4871" s="103"/>
      <c r="B4871" s="104"/>
      <c r="C4871" s="105"/>
      <c r="K4871" s="1"/>
      <c r="L4871" s="2"/>
    </row>
    <row r="4872" spans="1:12" x14ac:dyDescent="0.2">
      <c r="A4872" s="103"/>
      <c r="B4872" s="104"/>
      <c r="C4872" s="105"/>
      <c r="K4872" s="1"/>
      <c r="L4872" s="2"/>
    </row>
    <row r="4873" spans="1:12" x14ac:dyDescent="0.2">
      <c r="A4873" s="103"/>
      <c r="B4873" s="104"/>
      <c r="C4873" s="105"/>
      <c r="K4873" s="1"/>
      <c r="L4873" s="2"/>
    </row>
    <row r="4874" spans="1:12" x14ac:dyDescent="0.2">
      <c r="A4874" s="103"/>
      <c r="B4874" s="104"/>
      <c r="C4874" s="105"/>
      <c r="K4874" s="1"/>
      <c r="L4874" s="2"/>
    </row>
    <row r="4875" spans="1:12" x14ac:dyDescent="0.2">
      <c r="A4875" s="103"/>
      <c r="B4875" s="104"/>
      <c r="C4875" s="105"/>
      <c r="K4875" s="1"/>
      <c r="L4875" s="2"/>
    </row>
    <row r="4876" spans="1:12" x14ac:dyDescent="0.2">
      <c r="A4876" s="103"/>
      <c r="B4876" s="104"/>
      <c r="C4876" s="105"/>
      <c r="K4876" s="1"/>
      <c r="L4876" s="2"/>
    </row>
    <row r="4877" spans="1:12" x14ac:dyDescent="0.2">
      <c r="A4877" s="103"/>
      <c r="B4877" s="104"/>
      <c r="C4877" s="105"/>
      <c r="K4877" s="1"/>
      <c r="L4877" s="2"/>
    </row>
    <row r="4878" spans="1:12" x14ac:dyDescent="0.2">
      <c r="A4878" s="103"/>
      <c r="B4878" s="104"/>
      <c r="C4878" s="105"/>
      <c r="K4878" s="1"/>
      <c r="L4878" s="2"/>
    </row>
    <row r="4879" spans="1:12" x14ac:dyDescent="0.2">
      <c r="A4879" s="103"/>
      <c r="B4879" s="104"/>
      <c r="C4879" s="105"/>
      <c r="K4879" s="1"/>
      <c r="L4879" s="2"/>
    </row>
    <row r="4880" spans="1:12" x14ac:dyDescent="0.2">
      <c r="A4880" s="103"/>
      <c r="B4880" s="104"/>
      <c r="C4880" s="105"/>
      <c r="K4880" s="1"/>
      <c r="L4880" s="2"/>
    </row>
    <row r="4881" spans="1:12" x14ac:dyDescent="0.2">
      <c r="A4881" s="103"/>
      <c r="B4881" s="104"/>
      <c r="C4881" s="105"/>
      <c r="K4881" s="1"/>
      <c r="L4881" s="2"/>
    </row>
    <row r="4882" spans="1:12" x14ac:dyDescent="0.2">
      <c r="A4882" s="103"/>
      <c r="B4882" s="104"/>
      <c r="C4882" s="105"/>
      <c r="K4882" s="1"/>
      <c r="L4882" s="2"/>
    </row>
    <row r="4883" spans="1:12" x14ac:dyDescent="0.2">
      <c r="A4883" s="103"/>
      <c r="B4883" s="104"/>
      <c r="C4883" s="105"/>
      <c r="K4883" s="1"/>
      <c r="L4883" s="2"/>
    </row>
    <row r="4884" spans="1:12" x14ac:dyDescent="0.2">
      <c r="A4884" s="103"/>
      <c r="B4884" s="104"/>
      <c r="C4884" s="105"/>
      <c r="K4884" s="1"/>
      <c r="L4884" s="2"/>
    </row>
    <row r="4885" spans="1:12" x14ac:dyDescent="0.2">
      <c r="A4885" s="103"/>
      <c r="B4885" s="104"/>
      <c r="C4885" s="105"/>
      <c r="K4885" s="1"/>
      <c r="L4885" s="2"/>
    </row>
    <row r="4886" spans="1:12" x14ac:dyDescent="0.2">
      <c r="A4886" s="103"/>
      <c r="B4886" s="104"/>
      <c r="C4886" s="105"/>
      <c r="K4886" s="1"/>
      <c r="L4886" s="2"/>
    </row>
    <row r="4887" spans="1:12" x14ac:dyDescent="0.2">
      <c r="A4887" s="103"/>
      <c r="B4887" s="104"/>
      <c r="C4887" s="105"/>
      <c r="K4887" s="1"/>
      <c r="L4887" s="2"/>
    </row>
    <row r="4888" spans="1:12" x14ac:dyDescent="0.2">
      <c r="A4888" s="103"/>
      <c r="B4888" s="104"/>
      <c r="C4888" s="105"/>
      <c r="K4888" s="1"/>
      <c r="L4888" s="2"/>
    </row>
    <row r="4889" spans="1:12" x14ac:dyDescent="0.2">
      <c r="A4889" s="103"/>
      <c r="B4889" s="104"/>
      <c r="C4889" s="105"/>
      <c r="K4889" s="1"/>
      <c r="L4889" s="2"/>
    </row>
    <row r="4890" spans="1:12" x14ac:dyDescent="0.2">
      <c r="A4890" s="103"/>
      <c r="B4890" s="104"/>
      <c r="C4890" s="105"/>
      <c r="K4890" s="1"/>
      <c r="L4890" s="2"/>
    </row>
    <row r="4891" spans="1:12" x14ac:dyDescent="0.2">
      <c r="A4891" s="103"/>
      <c r="B4891" s="104"/>
      <c r="C4891" s="105"/>
      <c r="K4891" s="1"/>
      <c r="L4891" s="2"/>
    </row>
    <row r="4892" spans="1:12" x14ac:dyDescent="0.2">
      <c r="A4892" s="103"/>
      <c r="B4892" s="104"/>
      <c r="C4892" s="105"/>
      <c r="K4892" s="1"/>
      <c r="L4892" s="2"/>
    </row>
    <row r="4893" spans="1:12" x14ac:dyDescent="0.2">
      <c r="A4893" s="103"/>
      <c r="B4893" s="104"/>
      <c r="C4893" s="105"/>
      <c r="K4893" s="1"/>
      <c r="L4893" s="2"/>
    </row>
    <row r="4894" spans="1:12" x14ac:dyDescent="0.2">
      <c r="A4894" s="103"/>
      <c r="B4894" s="104"/>
      <c r="C4894" s="105"/>
      <c r="K4894" s="1"/>
      <c r="L4894" s="2"/>
    </row>
    <row r="4895" spans="1:12" x14ac:dyDescent="0.2">
      <c r="A4895" s="103"/>
      <c r="B4895" s="104"/>
      <c r="C4895" s="105"/>
      <c r="K4895" s="1"/>
      <c r="L4895" s="2"/>
    </row>
    <row r="4896" spans="1:12" x14ac:dyDescent="0.2">
      <c r="A4896" s="103"/>
      <c r="B4896" s="104"/>
      <c r="C4896" s="105"/>
      <c r="K4896" s="1"/>
      <c r="L4896" s="2"/>
    </row>
    <row r="4897" spans="1:12" x14ac:dyDescent="0.2">
      <c r="A4897" s="103"/>
      <c r="B4897" s="104"/>
      <c r="C4897" s="105"/>
      <c r="K4897" s="1"/>
      <c r="L4897" s="2"/>
    </row>
    <row r="4898" spans="1:12" x14ac:dyDescent="0.2">
      <c r="A4898" s="103"/>
      <c r="B4898" s="104"/>
      <c r="C4898" s="105"/>
      <c r="K4898" s="1"/>
      <c r="L4898" s="2"/>
    </row>
    <row r="4899" spans="1:12" x14ac:dyDescent="0.2">
      <c r="A4899" s="103"/>
      <c r="B4899" s="104"/>
      <c r="C4899" s="105"/>
      <c r="K4899" s="1"/>
      <c r="L4899" s="2"/>
    </row>
    <row r="4900" spans="1:12" x14ac:dyDescent="0.2">
      <c r="A4900" s="103"/>
      <c r="B4900" s="104"/>
      <c r="C4900" s="105"/>
      <c r="K4900" s="1"/>
      <c r="L4900" s="2"/>
    </row>
    <row r="4901" spans="1:12" x14ac:dyDescent="0.2">
      <c r="A4901" s="103"/>
      <c r="B4901" s="104"/>
      <c r="C4901" s="105"/>
      <c r="K4901" s="1"/>
      <c r="L4901" s="2"/>
    </row>
    <row r="4902" spans="1:12" x14ac:dyDescent="0.2">
      <c r="A4902" s="103"/>
      <c r="B4902" s="104"/>
      <c r="C4902" s="105"/>
      <c r="K4902" s="1"/>
      <c r="L4902" s="2"/>
    </row>
    <row r="4903" spans="1:12" x14ac:dyDescent="0.2">
      <c r="A4903" s="103"/>
      <c r="B4903" s="104"/>
      <c r="C4903" s="105"/>
      <c r="K4903" s="1"/>
      <c r="L4903" s="2"/>
    </row>
    <row r="4904" spans="1:12" x14ac:dyDescent="0.2">
      <c r="A4904" s="103"/>
      <c r="B4904" s="104"/>
      <c r="C4904" s="105"/>
      <c r="K4904" s="1"/>
      <c r="L4904" s="2"/>
    </row>
    <row r="4905" spans="1:12" x14ac:dyDescent="0.2">
      <c r="A4905" s="103"/>
      <c r="B4905" s="104"/>
      <c r="C4905" s="105"/>
      <c r="K4905" s="1"/>
      <c r="L4905" s="2"/>
    </row>
    <row r="4906" spans="1:12" x14ac:dyDescent="0.2">
      <c r="A4906" s="103"/>
      <c r="B4906" s="104"/>
      <c r="C4906" s="105"/>
      <c r="K4906" s="1"/>
      <c r="L4906" s="2"/>
    </row>
    <row r="4907" spans="1:12" x14ac:dyDescent="0.2">
      <c r="A4907" s="103"/>
      <c r="B4907" s="104"/>
      <c r="C4907" s="105"/>
      <c r="K4907" s="1"/>
      <c r="L4907" s="2"/>
    </row>
    <row r="4908" spans="1:12" x14ac:dyDescent="0.2">
      <c r="A4908" s="103"/>
      <c r="B4908" s="104"/>
      <c r="C4908" s="105"/>
      <c r="K4908" s="1"/>
      <c r="L4908" s="2"/>
    </row>
    <row r="4909" spans="1:12" x14ac:dyDescent="0.2">
      <c r="A4909" s="103"/>
      <c r="B4909" s="104"/>
      <c r="C4909" s="105"/>
      <c r="K4909" s="1"/>
      <c r="L4909" s="2"/>
    </row>
    <row r="4910" spans="1:12" x14ac:dyDescent="0.2">
      <c r="A4910" s="103"/>
      <c r="B4910" s="104"/>
      <c r="C4910" s="105"/>
      <c r="K4910" s="1"/>
      <c r="L4910" s="2"/>
    </row>
    <row r="4911" spans="1:12" x14ac:dyDescent="0.2">
      <c r="A4911" s="103"/>
      <c r="B4911" s="104"/>
      <c r="C4911" s="105"/>
      <c r="K4911" s="1"/>
      <c r="L4911" s="2"/>
    </row>
    <row r="4912" spans="1:12" x14ac:dyDescent="0.2">
      <c r="A4912" s="103"/>
      <c r="B4912" s="104"/>
      <c r="C4912" s="105"/>
      <c r="K4912" s="1"/>
      <c r="L4912" s="2"/>
    </row>
    <row r="4913" spans="1:12" x14ac:dyDescent="0.2">
      <c r="A4913" s="103"/>
      <c r="B4913" s="104"/>
      <c r="C4913" s="105"/>
      <c r="K4913" s="1"/>
      <c r="L4913" s="2"/>
    </row>
    <row r="4914" spans="1:12" x14ac:dyDescent="0.2">
      <c r="A4914" s="103"/>
      <c r="B4914" s="104"/>
      <c r="C4914" s="105"/>
      <c r="K4914" s="1"/>
      <c r="L4914" s="2"/>
    </row>
    <row r="4915" spans="1:12" x14ac:dyDescent="0.2">
      <c r="A4915" s="103"/>
      <c r="B4915" s="104"/>
      <c r="C4915" s="105"/>
      <c r="K4915" s="1"/>
      <c r="L4915" s="2"/>
    </row>
    <row r="4916" spans="1:12" x14ac:dyDescent="0.2">
      <c r="A4916" s="103"/>
      <c r="B4916" s="104"/>
      <c r="C4916" s="105"/>
      <c r="K4916" s="1"/>
      <c r="L4916" s="2"/>
    </row>
    <row r="4917" spans="1:12" x14ac:dyDescent="0.2">
      <c r="A4917" s="103"/>
      <c r="B4917" s="104"/>
      <c r="C4917" s="105"/>
      <c r="K4917" s="1"/>
      <c r="L4917" s="2"/>
    </row>
    <row r="4918" spans="1:12" x14ac:dyDescent="0.2">
      <c r="A4918" s="103"/>
      <c r="B4918" s="104"/>
      <c r="C4918" s="105"/>
      <c r="K4918" s="1"/>
      <c r="L4918" s="2"/>
    </row>
    <row r="4919" spans="1:12" x14ac:dyDescent="0.2">
      <c r="A4919" s="103"/>
      <c r="B4919" s="104"/>
      <c r="C4919" s="105"/>
      <c r="K4919" s="1"/>
      <c r="L4919" s="2"/>
    </row>
    <row r="4920" spans="1:12" x14ac:dyDescent="0.2">
      <c r="A4920" s="103"/>
      <c r="B4920" s="104"/>
      <c r="C4920" s="105"/>
      <c r="K4920" s="1"/>
      <c r="L4920" s="2"/>
    </row>
    <row r="4921" spans="1:12" x14ac:dyDescent="0.2">
      <c r="A4921" s="103"/>
      <c r="B4921" s="104"/>
      <c r="C4921" s="105"/>
      <c r="K4921" s="1"/>
      <c r="L4921" s="2"/>
    </row>
    <row r="4922" spans="1:12" x14ac:dyDescent="0.2">
      <c r="A4922" s="103"/>
      <c r="B4922" s="104"/>
      <c r="C4922" s="105"/>
      <c r="K4922" s="1"/>
      <c r="L4922" s="2"/>
    </row>
    <row r="4923" spans="1:12" x14ac:dyDescent="0.2">
      <c r="A4923" s="103"/>
      <c r="B4923" s="104"/>
      <c r="C4923" s="105"/>
      <c r="K4923" s="1"/>
      <c r="L4923" s="2"/>
    </row>
    <row r="4924" spans="1:12" x14ac:dyDescent="0.2">
      <c r="A4924" s="103"/>
      <c r="B4924" s="104"/>
      <c r="C4924" s="105"/>
      <c r="K4924" s="1"/>
      <c r="L4924" s="2"/>
    </row>
    <row r="4925" spans="1:12" x14ac:dyDescent="0.2">
      <c r="A4925" s="103"/>
      <c r="B4925" s="104"/>
      <c r="C4925" s="105"/>
      <c r="K4925" s="1"/>
      <c r="L4925" s="2"/>
    </row>
    <row r="4926" spans="1:12" x14ac:dyDescent="0.2">
      <c r="A4926" s="103"/>
      <c r="B4926" s="104"/>
      <c r="C4926" s="105"/>
      <c r="K4926" s="1"/>
      <c r="L4926" s="2"/>
    </row>
    <row r="4927" spans="1:12" x14ac:dyDescent="0.2">
      <c r="A4927" s="103"/>
      <c r="B4927" s="104"/>
      <c r="C4927" s="105"/>
      <c r="K4927" s="1"/>
      <c r="L4927" s="2"/>
    </row>
    <row r="4928" spans="1:12" x14ac:dyDescent="0.2">
      <c r="A4928" s="103"/>
      <c r="B4928" s="104"/>
      <c r="C4928" s="105"/>
      <c r="K4928" s="1"/>
      <c r="L4928" s="2"/>
    </row>
    <row r="4929" spans="1:12" x14ac:dyDescent="0.2">
      <c r="A4929" s="103"/>
      <c r="B4929" s="104"/>
      <c r="C4929" s="105"/>
      <c r="K4929" s="1"/>
      <c r="L4929" s="2"/>
    </row>
    <row r="4930" spans="1:12" x14ac:dyDescent="0.2">
      <c r="A4930" s="103"/>
      <c r="B4930" s="104"/>
      <c r="C4930" s="105"/>
      <c r="K4930" s="1"/>
      <c r="L4930" s="2"/>
    </row>
    <row r="4931" spans="1:12" x14ac:dyDescent="0.2">
      <c r="A4931" s="103"/>
      <c r="B4931" s="104"/>
      <c r="C4931" s="105"/>
      <c r="K4931" s="1"/>
      <c r="L4931" s="2"/>
    </row>
    <row r="4932" spans="1:12" x14ac:dyDescent="0.2">
      <c r="A4932" s="103"/>
      <c r="B4932" s="104"/>
      <c r="C4932" s="105"/>
      <c r="K4932" s="1"/>
      <c r="L4932" s="2"/>
    </row>
    <row r="4933" spans="1:12" x14ac:dyDescent="0.2">
      <c r="A4933" s="103"/>
      <c r="B4933" s="104"/>
      <c r="C4933" s="105"/>
      <c r="K4933" s="1"/>
      <c r="L4933" s="2"/>
    </row>
    <row r="4934" spans="1:12" x14ac:dyDescent="0.2">
      <c r="A4934" s="103"/>
      <c r="B4934" s="104"/>
      <c r="C4934" s="105"/>
      <c r="K4934" s="1"/>
      <c r="L4934" s="2"/>
    </row>
    <row r="4935" spans="1:12" x14ac:dyDescent="0.2">
      <c r="A4935" s="103"/>
      <c r="B4935" s="104"/>
      <c r="C4935" s="105"/>
      <c r="K4935" s="1"/>
      <c r="L4935" s="2"/>
    </row>
    <row r="4936" spans="1:12" x14ac:dyDescent="0.2">
      <c r="A4936" s="103"/>
      <c r="B4936" s="104"/>
      <c r="C4936" s="105"/>
      <c r="K4936" s="1"/>
      <c r="L4936" s="2"/>
    </row>
    <row r="4937" spans="1:12" x14ac:dyDescent="0.2">
      <c r="A4937" s="103"/>
      <c r="B4937" s="104"/>
      <c r="C4937" s="105"/>
      <c r="K4937" s="1"/>
      <c r="L4937" s="2"/>
    </row>
    <row r="4938" spans="1:12" x14ac:dyDescent="0.2">
      <c r="A4938" s="103"/>
      <c r="B4938" s="104"/>
      <c r="C4938" s="105"/>
      <c r="K4938" s="1"/>
      <c r="L4938" s="2"/>
    </row>
    <row r="4939" spans="1:12" x14ac:dyDescent="0.2">
      <c r="A4939" s="103"/>
      <c r="B4939" s="104"/>
      <c r="C4939" s="105"/>
      <c r="K4939" s="1"/>
      <c r="L4939" s="2"/>
    </row>
    <row r="4940" spans="1:12" x14ac:dyDescent="0.2">
      <c r="A4940" s="103"/>
      <c r="B4940" s="104"/>
      <c r="C4940" s="105"/>
      <c r="K4940" s="1"/>
      <c r="L4940" s="2"/>
    </row>
    <row r="4941" spans="1:12" x14ac:dyDescent="0.2">
      <c r="A4941" s="103"/>
      <c r="B4941" s="104"/>
      <c r="C4941" s="105"/>
      <c r="K4941" s="1"/>
      <c r="L4941" s="2"/>
    </row>
    <row r="4942" spans="1:12" x14ac:dyDescent="0.2">
      <c r="A4942" s="103"/>
      <c r="B4942" s="104"/>
      <c r="C4942" s="105"/>
      <c r="K4942" s="1"/>
      <c r="L4942" s="2"/>
    </row>
    <row r="4943" spans="1:12" x14ac:dyDescent="0.2">
      <c r="A4943" s="103"/>
      <c r="B4943" s="104"/>
      <c r="C4943" s="105"/>
      <c r="K4943" s="1"/>
      <c r="L4943" s="2"/>
    </row>
    <row r="4944" spans="1:12" x14ac:dyDescent="0.2">
      <c r="A4944" s="103"/>
      <c r="B4944" s="104"/>
      <c r="C4944" s="105"/>
      <c r="K4944" s="1"/>
      <c r="L4944" s="2"/>
    </row>
    <row r="4945" spans="1:12" x14ac:dyDescent="0.2">
      <c r="A4945" s="103"/>
      <c r="B4945" s="104"/>
      <c r="C4945" s="105"/>
      <c r="K4945" s="1"/>
      <c r="L4945" s="2"/>
    </row>
    <row r="4946" spans="1:12" x14ac:dyDescent="0.2">
      <c r="A4946" s="103"/>
      <c r="B4946" s="104"/>
      <c r="C4946" s="105"/>
      <c r="K4946" s="1"/>
      <c r="L4946" s="2"/>
    </row>
    <row r="4947" spans="1:12" x14ac:dyDescent="0.2">
      <c r="A4947" s="103"/>
      <c r="B4947" s="104"/>
      <c r="C4947" s="105"/>
      <c r="K4947" s="1"/>
      <c r="L4947" s="2"/>
    </row>
    <row r="4948" spans="1:12" x14ac:dyDescent="0.2">
      <c r="A4948" s="103"/>
      <c r="B4948" s="104"/>
      <c r="C4948" s="105"/>
      <c r="K4948" s="1"/>
      <c r="L4948" s="2"/>
    </row>
    <row r="4949" spans="1:12" x14ac:dyDescent="0.2">
      <c r="A4949" s="103"/>
      <c r="B4949" s="104"/>
      <c r="C4949" s="105"/>
      <c r="K4949" s="1"/>
      <c r="L4949" s="2"/>
    </row>
    <row r="4950" spans="1:12" x14ac:dyDescent="0.2">
      <c r="A4950" s="103"/>
      <c r="B4950" s="104"/>
      <c r="C4950" s="105"/>
      <c r="K4950" s="1"/>
      <c r="L4950" s="2"/>
    </row>
    <row r="4951" spans="1:12" x14ac:dyDescent="0.2">
      <c r="A4951" s="103"/>
      <c r="B4951" s="104"/>
      <c r="C4951" s="105"/>
      <c r="K4951" s="1"/>
      <c r="L4951" s="2"/>
    </row>
    <row r="4952" spans="1:12" x14ac:dyDescent="0.2">
      <c r="A4952" s="103"/>
      <c r="B4952" s="104"/>
      <c r="C4952" s="105"/>
      <c r="K4952" s="1"/>
      <c r="L4952" s="2"/>
    </row>
    <row r="4953" spans="1:12" x14ac:dyDescent="0.2">
      <c r="A4953" s="103"/>
      <c r="B4953" s="104"/>
      <c r="C4953" s="105"/>
      <c r="K4953" s="1"/>
      <c r="L4953" s="2"/>
    </row>
    <row r="4954" spans="1:12" x14ac:dyDescent="0.2">
      <c r="A4954" s="103"/>
      <c r="B4954" s="104"/>
      <c r="C4954" s="105"/>
      <c r="K4954" s="1"/>
      <c r="L4954" s="2"/>
    </row>
    <row r="4955" spans="1:12" x14ac:dyDescent="0.2">
      <c r="A4955" s="103"/>
      <c r="B4955" s="104"/>
      <c r="C4955" s="105"/>
      <c r="K4955" s="1"/>
      <c r="L4955" s="2"/>
    </row>
    <row r="4956" spans="1:12" x14ac:dyDescent="0.2">
      <c r="A4956" s="103"/>
      <c r="B4956" s="104"/>
      <c r="C4956" s="105"/>
      <c r="K4956" s="1"/>
      <c r="L4956" s="2"/>
    </row>
    <row r="4957" spans="1:12" x14ac:dyDescent="0.2">
      <c r="A4957" s="103"/>
      <c r="B4957" s="104"/>
      <c r="C4957" s="105"/>
      <c r="K4957" s="1"/>
      <c r="L4957" s="2"/>
    </row>
    <row r="4958" spans="1:12" x14ac:dyDescent="0.2">
      <c r="A4958" s="103"/>
      <c r="B4958" s="104"/>
      <c r="C4958" s="105"/>
      <c r="K4958" s="1"/>
      <c r="L4958" s="2"/>
    </row>
    <row r="4959" spans="1:12" x14ac:dyDescent="0.2">
      <c r="A4959" s="103"/>
      <c r="B4959" s="104"/>
      <c r="C4959" s="105"/>
      <c r="K4959" s="1"/>
      <c r="L4959" s="2"/>
    </row>
    <row r="4960" spans="1:12" x14ac:dyDescent="0.2">
      <c r="A4960" s="103"/>
      <c r="B4960" s="104"/>
      <c r="C4960" s="105"/>
      <c r="K4960" s="1"/>
      <c r="L4960" s="2"/>
    </row>
    <row r="4961" spans="1:12" x14ac:dyDescent="0.2">
      <c r="A4961" s="103"/>
      <c r="B4961" s="104"/>
      <c r="C4961" s="105"/>
      <c r="K4961" s="1"/>
      <c r="L4961" s="2"/>
    </row>
    <row r="4962" spans="1:12" x14ac:dyDescent="0.2">
      <c r="A4962" s="103"/>
      <c r="B4962" s="104"/>
      <c r="C4962" s="105"/>
      <c r="K4962" s="1"/>
      <c r="L4962" s="2"/>
    </row>
    <row r="4963" spans="1:12" x14ac:dyDescent="0.2">
      <c r="A4963" s="103"/>
      <c r="B4963" s="104"/>
      <c r="C4963" s="105"/>
      <c r="K4963" s="1"/>
      <c r="L4963" s="2"/>
    </row>
    <row r="4964" spans="1:12" x14ac:dyDescent="0.2">
      <c r="A4964" s="103"/>
      <c r="B4964" s="104"/>
      <c r="C4964" s="105"/>
      <c r="K4964" s="1"/>
      <c r="L4964" s="2"/>
    </row>
    <row r="4965" spans="1:12" x14ac:dyDescent="0.2">
      <c r="A4965" s="103"/>
      <c r="B4965" s="104"/>
      <c r="C4965" s="105"/>
      <c r="K4965" s="1"/>
      <c r="L4965" s="2"/>
    </row>
    <row r="4966" spans="1:12" x14ac:dyDescent="0.2">
      <c r="A4966" s="103"/>
      <c r="B4966" s="104"/>
      <c r="C4966" s="105"/>
      <c r="K4966" s="1"/>
      <c r="L4966" s="2"/>
    </row>
    <row r="4967" spans="1:12" x14ac:dyDescent="0.2">
      <c r="A4967" s="103"/>
      <c r="B4967" s="104"/>
      <c r="C4967" s="105"/>
      <c r="K4967" s="1"/>
      <c r="L4967" s="2"/>
    </row>
    <row r="4968" spans="1:12" x14ac:dyDescent="0.2">
      <c r="A4968" s="103"/>
      <c r="B4968" s="104"/>
      <c r="C4968" s="105"/>
      <c r="K4968" s="1"/>
      <c r="L4968" s="2"/>
    </row>
    <row r="4969" spans="1:12" x14ac:dyDescent="0.2">
      <c r="A4969" s="103"/>
      <c r="B4969" s="104"/>
      <c r="C4969" s="105"/>
      <c r="K4969" s="1"/>
      <c r="L4969" s="2"/>
    </row>
    <row r="4970" spans="1:12" x14ac:dyDescent="0.2">
      <c r="A4970" s="103"/>
      <c r="B4970" s="104"/>
      <c r="C4970" s="105"/>
      <c r="K4970" s="1"/>
      <c r="L4970" s="2"/>
    </row>
    <row r="4971" spans="1:12" x14ac:dyDescent="0.2">
      <c r="A4971" s="103"/>
      <c r="B4971" s="104"/>
      <c r="C4971" s="105"/>
      <c r="K4971" s="1"/>
      <c r="L4971" s="2"/>
    </row>
    <row r="4972" spans="1:12" x14ac:dyDescent="0.2">
      <c r="A4972" s="103"/>
      <c r="B4972" s="104"/>
      <c r="C4972" s="105"/>
      <c r="K4972" s="1"/>
      <c r="L4972" s="2"/>
    </row>
    <row r="4973" spans="1:12" x14ac:dyDescent="0.2">
      <c r="A4973" s="103"/>
      <c r="B4973" s="104"/>
      <c r="C4973" s="105"/>
      <c r="K4973" s="1"/>
      <c r="L4973" s="2"/>
    </row>
    <row r="4974" spans="1:12" x14ac:dyDescent="0.2">
      <c r="A4974" s="103"/>
      <c r="B4974" s="104"/>
      <c r="C4974" s="105"/>
      <c r="K4974" s="1"/>
      <c r="L4974" s="2"/>
    </row>
    <row r="4975" spans="1:12" x14ac:dyDescent="0.2">
      <c r="A4975" s="103"/>
      <c r="B4975" s="104"/>
      <c r="C4975" s="105"/>
      <c r="K4975" s="1"/>
      <c r="L4975" s="2"/>
    </row>
    <row r="4976" spans="1:12" x14ac:dyDescent="0.2">
      <c r="A4976" s="103"/>
      <c r="B4976" s="104"/>
      <c r="C4976" s="105"/>
      <c r="K4976" s="1"/>
      <c r="L4976" s="2"/>
    </row>
    <row r="4977" spans="1:12" x14ac:dyDescent="0.2">
      <c r="A4977" s="103"/>
      <c r="B4977" s="104"/>
      <c r="C4977" s="105"/>
      <c r="K4977" s="1"/>
      <c r="L4977" s="2"/>
    </row>
    <row r="4978" spans="1:12" x14ac:dyDescent="0.2">
      <c r="A4978" s="103"/>
      <c r="B4978" s="104"/>
      <c r="C4978" s="105"/>
      <c r="K4978" s="1"/>
      <c r="L4978" s="2"/>
    </row>
    <row r="4979" spans="1:12" x14ac:dyDescent="0.2">
      <c r="A4979" s="103"/>
      <c r="B4979" s="104"/>
      <c r="C4979" s="105"/>
      <c r="K4979" s="1"/>
      <c r="L4979" s="2"/>
    </row>
    <row r="4980" spans="1:12" x14ac:dyDescent="0.2">
      <c r="A4980" s="103"/>
      <c r="B4980" s="104"/>
      <c r="C4980" s="105"/>
      <c r="K4980" s="1"/>
      <c r="L4980" s="2"/>
    </row>
    <row r="4981" spans="1:12" x14ac:dyDescent="0.2">
      <c r="A4981" s="103"/>
      <c r="B4981" s="104"/>
      <c r="C4981" s="105"/>
      <c r="K4981" s="1"/>
      <c r="L4981" s="2"/>
    </row>
    <row r="4982" spans="1:12" x14ac:dyDescent="0.2">
      <c r="A4982" s="103"/>
      <c r="B4982" s="104"/>
      <c r="C4982" s="105"/>
      <c r="K4982" s="1"/>
      <c r="L4982" s="2"/>
    </row>
    <row r="4983" spans="1:12" x14ac:dyDescent="0.2">
      <c r="A4983" s="103"/>
      <c r="B4983" s="104"/>
      <c r="C4983" s="105"/>
      <c r="K4983" s="1"/>
      <c r="L4983" s="2"/>
    </row>
    <row r="4984" spans="1:12" x14ac:dyDescent="0.2">
      <c r="A4984" s="103"/>
      <c r="B4984" s="104"/>
      <c r="C4984" s="105"/>
      <c r="K4984" s="1"/>
      <c r="L4984" s="2"/>
    </row>
    <row r="4985" spans="1:12" x14ac:dyDescent="0.2">
      <c r="A4985" s="103"/>
      <c r="B4985" s="104"/>
      <c r="C4985" s="105"/>
      <c r="K4985" s="1"/>
      <c r="L4985" s="2"/>
    </row>
    <row r="4986" spans="1:12" x14ac:dyDescent="0.2">
      <c r="A4986" s="103"/>
      <c r="B4986" s="104"/>
      <c r="C4986" s="105"/>
      <c r="K4986" s="1"/>
      <c r="L4986" s="2"/>
    </row>
    <row r="4987" spans="1:12" x14ac:dyDescent="0.2">
      <c r="A4987" s="103"/>
      <c r="B4987" s="104"/>
      <c r="C4987" s="105"/>
      <c r="K4987" s="1"/>
      <c r="L4987" s="2"/>
    </row>
    <row r="4988" spans="1:12" x14ac:dyDescent="0.2">
      <c r="A4988" s="103"/>
      <c r="B4988" s="104"/>
      <c r="C4988" s="105"/>
      <c r="K4988" s="1"/>
      <c r="L4988" s="2"/>
    </row>
    <row r="4989" spans="1:12" x14ac:dyDescent="0.2">
      <c r="A4989" s="103"/>
      <c r="B4989" s="104"/>
      <c r="C4989" s="105"/>
      <c r="K4989" s="1"/>
      <c r="L4989" s="2"/>
    </row>
    <row r="4990" spans="1:12" x14ac:dyDescent="0.2">
      <c r="A4990" s="103"/>
      <c r="B4990" s="104"/>
      <c r="C4990" s="105"/>
      <c r="K4990" s="1"/>
      <c r="L4990" s="2"/>
    </row>
    <row r="4991" spans="1:12" x14ac:dyDescent="0.2">
      <c r="A4991" s="103"/>
      <c r="B4991" s="104"/>
      <c r="C4991" s="105"/>
      <c r="K4991" s="1"/>
      <c r="L4991" s="2"/>
    </row>
    <row r="4992" spans="1:12" x14ac:dyDescent="0.2">
      <c r="A4992" s="103"/>
      <c r="B4992" s="104"/>
      <c r="C4992" s="105"/>
      <c r="K4992" s="1"/>
      <c r="L4992" s="2"/>
    </row>
    <row r="4993" spans="1:12" x14ac:dyDescent="0.2">
      <c r="A4993" s="103"/>
      <c r="B4993" s="104"/>
      <c r="C4993" s="105"/>
      <c r="K4993" s="1"/>
      <c r="L4993" s="2"/>
    </row>
    <row r="4994" spans="1:12" x14ac:dyDescent="0.2">
      <c r="A4994" s="103"/>
      <c r="B4994" s="104"/>
      <c r="C4994" s="105"/>
      <c r="K4994" s="1"/>
      <c r="L4994" s="2"/>
    </row>
    <row r="4995" spans="1:12" x14ac:dyDescent="0.2">
      <c r="A4995" s="103"/>
      <c r="B4995" s="104"/>
      <c r="C4995" s="105"/>
      <c r="K4995" s="1"/>
      <c r="L4995" s="2"/>
    </row>
    <row r="4996" spans="1:12" x14ac:dyDescent="0.2">
      <c r="A4996" s="103"/>
      <c r="B4996" s="104"/>
      <c r="C4996" s="105"/>
      <c r="K4996" s="1"/>
      <c r="L4996" s="2"/>
    </row>
    <row r="4997" spans="1:12" x14ac:dyDescent="0.2">
      <c r="A4997" s="103"/>
      <c r="B4997" s="104"/>
      <c r="C4997" s="105"/>
      <c r="K4997" s="1"/>
      <c r="L4997" s="2"/>
    </row>
    <row r="4998" spans="1:12" x14ac:dyDescent="0.2">
      <c r="A4998" s="103"/>
      <c r="B4998" s="104"/>
      <c r="C4998" s="105"/>
      <c r="K4998" s="1"/>
      <c r="L4998" s="2"/>
    </row>
    <row r="4999" spans="1:12" x14ac:dyDescent="0.2">
      <c r="A4999" s="103"/>
      <c r="B4999" s="104"/>
      <c r="C4999" s="105"/>
      <c r="K4999" s="1"/>
      <c r="L4999" s="2"/>
    </row>
    <row r="5000" spans="1:12" x14ac:dyDescent="0.2">
      <c r="A5000" s="103"/>
      <c r="B5000" s="104"/>
      <c r="C5000" s="105"/>
      <c r="K5000" s="1"/>
      <c r="L5000" s="2"/>
    </row>
    <row r="5001" spans="1:12" x14ac:dyDescent="0.2">
      <c r="A5001" s="103"/>
      <c r="B5001" s="104"/>
      <c r="C5001" s="105"/>
      <c r="K5001" s="1"/>
      <c r="L5001" s="2"/>
    </row>
    <row r="5002" spans="1:12" x14ac:dyDescent="0.2">
      <c r="A5002" s="103"/>
      <c r="B5002" s="104"/>
      <c r="C5002" s="105"/>
      <c r="K5002" s="1"/>
      <c r="L5002" s="2"/>
    </row>
    <row r="5003" spans="1:12" x14ac:dyDescent="0.2">
      <c r="A5003" s="103"/>
      <c r="B5003" s="104"/>
      <c r="C5003" s="105"/>
      <c r="K5003" s="1"/>
      <c r="L5003" s="2"/>
    </row>
    <row r="5004" spans="1:12" x14ac:dyDescent="0.2">
      <c r="A5004" s="103"/>
      <c r="B5004" s="104"/>
      <c r="C5004" s="105"/>
      <c r="K5004" s="1"/>
      <c r="L5004" s="2"/>
    </row>
    <row r="5005" spans="1:12" x14ac:dyDescent="0.2">
      <c r="A5005" s="103"/>
      <c r="B5005" s="104"/>
      <c r="C5005" s="105"/>
      <c r="K5005" s="1"/>
      <c r="L5005" s="2"/>
    </row>
    <row r="5006" spans="1:12" x14ac:dyDescent="0.2">
      <c r="A5006" s="103"/>
      <c r="B5006" s="104"/>
      <c r="C5006" s="105"/>
      <c r="K5006" s="1"/>
      <c r="L5006" s="2"/>
    </row>
    <row r="5007" spans="1:12" x14ac:dyDescent="0.2">
      <c r="A5007" s="103"/>
      <c r="B5007" s="104"/>
      <c r="C5007" s="105"/>
      <c r="K5007" s="1"/>
      <c r="L5007" s="2"/>
    </row>
    <row r="5008" spans="1:12" x14ac:dyDescent="0.2">
      <c r="A5008" s="103"/>
      <c r="B5008" s="104"/>
      <c r="C5008" s="105"/>
      <c r="K5008" s="1"/>
      <c r="L5008" s="2"/>
    </row>
    <row r="5009" spans="1:12" x14ac:dyDescent="0.2">
      <c r="A5009" s="103"/>
      <c r="B5009" s="104"/>
      <c r="C5009" s="105"/>
      <c r="K5009" s="1"/>
      <c r="L5009" s="2"/>
    </row>
    <row r="5010" spans="1:12" x14ac:dyDescent="0.2">
      <c r="A5010" s="103"/>
      <c r="B5010" s="104"/>
      <c r="C5010" s="105"/>
      <c r="K5010" s="1"/>
      <c r="L5010" s="2"/>
    </row>
    <row r="5011" spans="1:12" x14ac:dyDescent="0.2">
      <c r="A5011" s="103"/>
      <c r="B5011" s="104"/>
      <c r="C5011" s="105"/>
      <c r="K5011" s="1"/>
      <c r="L5011" s="2"/>
    </row>
    <row r="5012" spans="1:12" x14ac:dyDescent="0.2">
      <c r="A5012" s="103"/>
      <c r="B5012" s="104"/>
      <c r="C5012" s="105"/>
      <c r="K5012" s="1"/>
      <c r="L5012" s="2"/>
    </row>
    <row r="5013" spans="1:12" x14ac:dyDescent="0.2">
      <c r="A5013" s="103"/>
      <c r="B5013" s="104"/>
      <c r="C5013" s="105"/>
      <c r="K5013" s="1"/>
      <c r="L5013" s="2"/>
    </row>
    <row r="5014" spans="1:12" x14ac:dyDescent="0.2">
      <c r="A5014" s="103"/>
      <c r="B5014" s="104"/>
      <c r="C5014" s="105"/>
      <c r="K5014" s="1"/>
      <c r="L5014" s="2"/>
    </row>
    <row r="5015" spans="1:12" x14ac:dyDescent="0.2">
      <c r="A5015" s="103"/>
      <c r="B5015" s="104"/>
      <c r="C5015" s="105"/>
      <c r="K5015" s="1"/>
      <c r="L5015" s="2"/>
    </row>
    <row r="5016" spans="1:12" x14ac:dyDescent="0.2">
      <c r="A5016" s="103"/>
      <c r="B5016" s="104"/>
      <c r="C5016" s="105"/>
      <c r="K5016" s="1"/>
      <c r="L5016" s="2"/>
    </row>
    <row r="5017" spans="1:12" x14ac:dyDescent="0.2">
      <c r="A5017" s="103"/>
      <c r="B5017" s="104"/>
      <c r="C5017" s="105"/>
      <c r="K5017" s="1"/>
      <c r="L5017" s="2"/>
    </row>
    <row r="5018" spans="1:12" x14ac:dyDescent="0.2">
      <c r="A5018" s="103"/>
      <c r="B5018" s="104"/>
      <c r="C5018" s="105"/>
      <c r="K5018" s="1"/>
      <c r="L5018" s="2"/>
    </row>
    <row r="5019" spans="1:12" x14ac:dyDescent="0.2">
      <c r="A5019" s="103"/>
      <c r="B5019" s="104"/>
      <c r="C5019" s="105"/>
      <c r="K5019" s="1"/>
      <c r="L5019" s="2"/>
    </row>
    <row r="5020" spans="1:12" x14ac:dyDescent="0.2">
      <c r="A5020" s="103"/>
      <c r="B5020" s="104"/>
      <c r="C5020" s="105"/>
      <c r="K5020" s="1"/>
      <c r="L5020" s="2"/>
    </row>
    <row r="5021" spans="1:12" x14ac:dyDescent="0.2">
      <c r="A5021" s="103"/>
      <c r="B5021" s="104"/>
      <c r="C5021" s="105"/>
      <c r="K5021" s="1"/>
      <c r="L5021" s="2"/>
    </row>
    <row r="5022" spans="1:12" x14ac:dyDescent="0.2">
      <c r="A5022" s="103"/>
      <c r="B5022" s="104"/>
      <c r="C5022" s="105"/>
      <c r="K5022" s="1"/>
      <c r="L5022" s="2"/>
    </row>
    <row r="5023" spans="1:12" x14ac:dyDescent="0.2">
      <c r="A5023" s="103"/>
      <c r="B5023" s="104"/>
      <c r="C5023" s="105"/>
      <c r="K5023" s="1"/>
      <c r="L5023" s="2"/>
    </row>
    <row r="5024" spans="1:12" x14ac:dyDescent="0.2">
      <c r="A5024" s="103"/>
      <c r="B5024" s="104"/>
      <c r="C5024" s="105"/>
      <c r="K5024" s="1"/>
      <c r="L5024" s="2"/>
    </row>
    <row r="5025" spans="1:12" x14ac:dyDescent="0.2">
      <c r="A5025" s="103"/>
      <c r="B5025" s="104"/>
      <c r="C5025" s="105"/>
      <c r="K5025" s="1"/>
      <c r="L5025" s="2"/>
    </row>
    <row r="5026" spans="1:12" x14ac:dyDescent="0.2">
      <c r="A5026" s="103"/>
      <c r="B5026" s="104"/>
      <c r="C5026" s="105"/>
      <c r="K5026" s="1"/>
      <c r="L5026" s="2"/>
    </row>
    <row r="5027" spans="1:12" x14ac:dyDescent="0.2">
      <c r="A5027" s="103"/>
      <c r="B5027" s="104"/>
      <c r="C5027" s="105"/>
      <c r="K5027" s="1"/>
      <c r="L5027" s="2"/>
    </row>
    <row r="5028" spans="1:12" x14ac:dyDescent="0.2">
      <c r="A5028" s="103"/>
      <c r="B5028" s="104"/>
      <c r="C5028" s="105"/>
      <c r="K5028" s="1"/>
      <c r="L5028" s="2"/>
    </row>
    <row r="5029" spans="1:12" x14ac:dyDescent="0.2">
      <c r="A5029" s="103"/>
      <c r="B5029" s="104"/>
      <c r="C5029" s="105"/>
      <c r="K5029" s="1"/>
      <c r="L5029" s="2"/>
    </row>
    <row r="5030" spans="1:12" x14ac:dyDescent="0.2">
      <c r="A5030" s="103"/>
      <c r="B5030" s="104"/>
      <c r="C5030" s="105"/>
      <c r="K5030" s="1"/>
      <c r="L5030" s="2"/>
    </row>
    <row r="5031" spans="1:12" x14ac:dyDescent="0.2">
      <c r="A5031" s="103"/>
      <c r="B5031" s="104"/>
      <c r="C5031" s="105"/>
      <c r="K5031" s="1"/>
      <c r="L5031" s="2"/>
    </row>
    <row r="5032" spans="1:12" x14ac:dyDescent="0.2">
      <c r="A5032" s="103"/>
      <c r="B5032" s="104"/>
      <c r="C5032" s="105"/>
      <c r="K5032" s="1"/>
      <c r="L5032" s="2"/>
    </row>
    <row r="5033" spans="1:12" x14ac:dyDescent="0.2">
      <c r="A5033" s="103"/>
      <c r="B5033" s="104"/>
      <c r="C5033" s="105"/>
      <c r="K5033" s="1"/>
      <c r="L5033" s="2"/>
    </row>
    <row r="5034" spans="1:12" x14ac:dyDescent="0.2">
      <c r="A5034" s="103"/>
      <c r="B5034" s="104"/>
      <c r="C5034" s="105"/>
      <c r="K5034" s="1"/>
      <c r="L5034" s="2"/>
    </row>
    <row r="5035" spans="1:12" x14ac:dyDescent="0.2">
      <c r="A5035" s="103"/>
      <c r="B5035" s="104"/>
      <c r="C5035" s="105"/>
      <c r="K5035" s="1"/>
      <c r="L5035" s="2"/>
    </row>
    <row r="5036" spans="1:12" x14ac:dyDescent="0.2">
      <c r="A5036" s="103"/>
      <c r="B5036" s="104"/>
      <c r="C5036" s="105"/>
      <c r="K5036" s="1"/>
      <c r="L5036" s="2"/>
    </row>
    <row r="5037" spans="1:12" x14ac:dyDescent="0.2">
      <c r="A5037" s="103"/>
      <c r="B5037" s="104"/>
      <c r="C5037" s="105"/>
      <c r="K5037" s="1"/>
      <c r="L5037" s="2"/>
    </row>
    <row r="5038" spans="1:12" x14ac:dyDescent="0.2">
      <c r="A5038" s="103"/>
      <c r="B5038" s="104"/>
      <c r="C5038" s="105"/>
      <c r="K5038" s="1"/>
      <c r="L5038" s="2"/>
    </row>
    <row r="5039" spans="1:12" x14ac:dyDescent="0.2">
      <c r="A5039" s="103"/>
      <c r="B5039" s="104"/>
      <c r="C5039" s="105"/>
      <c r="K5039" s="1"/>
      <c r="L5039" s="2"/>
    </row>
    <row r="5040" spans="1:12" x14ac:dyDescent="0.2">
      <c r="A5040" s="103"/>
      <c r="B5040" s="104"/>
      <c r="C5040" s="105"/>
      <c r="K5040" s="1"/>
      <c r="L5040" s="2"/>
    </row>
    <row r="5041" spans="1:12" x14ac:dyDescent="0.2">
      <c r="A5041" s="103"/>
      <c r="B5041" s="104"/>
      <c r="C5041" s="105"/>
      <c r="K5041" s="1"/>
      <c r="L5041" s="2"/>
    </row>
    <row r="5042" spans="1:12" x14ac:dyDescent="0.2">
      <c r="A5042" s="103"/>
      <c r="B5042" s="104"/>
      <c r="C5042" s="105"/>
      <c r="K5042" s="1"/>
      <c r="L5042" s="2"/>
    </row>
    <row r="5043" spans="1:12" x14ac:dyDescent="0.2">
      <c r="A5043" s="103"/>
      <c r="B5043" s="104"/>
      <c r="C5043" s="105"/>
      <c r="K5043" s="1"/>
      <c r="L5043" s="2"/>
    </row>
    <row r="5044" spans="1:12" x14ac:dyDescent="0.2">
      <c r="A5044" s="103"/>
      <c r="B5044" s="104"/>
      <c r="C5044" s="105"/>
      <c r="K5044" s="1"/>
      <c r="L5044" s="2"/>
    </row>
    <row r="5045" spans="1:12" x14ac:dyDescent="0.2">
      <c r="A5045" s="103"/>
      <c r="B5045" s="104"/>
      <c r="C5045" s="105"/>
      <c r="K5045" s="1"/>
      <c r="L5045" s="2"/>
    </row>
    <row r="5046" spans="1:12" x14ac:dyDescent="0.2">
      <c r="A5046" s="103"/>
      <c r="B5046" s="104"/>
      <c r="C5046" s="105"/>
      <c r="K5046" s="1"/>
      <c r="L5046" s="2"/>
    </row>
    <row r="5047" spans="1:12" x14ac:dyDescent="0.2">
      <c r="A5047" s="103"/>
      <c r="B5047" s="104"/>
      <c r="C5047" s="105"/>
      <c r="K5047" s="1"/>
      <c r="L5047" s="2"/>
    </row>
    <row r="5048" spans="1:12" x14ac:dyDescent="0.2">
      <c r="A5048" s="103"/>
      <c r="B5048" s="104"/>
      <c r="C5048" s="105"/>
      <c r="K5048" s="1"/>
      <c r="L5048" s="2"/>
    </row>
    <row r="5049" spans="1:12" x14ac:dyDescent="0.2">
      <c r="A5049" s="103"/>
      <c r="B5049" s="104"/>
      <c r="C5049" s="105"/>
      <c r="K5049" s="1"/>
      <c r="L5049" s="2"/>
    </row>
    <row r="5050" spans="1:12" x14ac:dyDescent="0.2">
      <c r="A5050" s="103"/>
      <c r="B5050" s="104"/>
      <c r="C5050" s="105"/>
      <c r="K5050" s="1"/>
      <c r="L5050" s="2"/>
    </row>
    <row r="5051" spans="1:12" x14ac:dyDescent="0.2">
      <c r="A5051" s="103"/>
      <c r="B5051" s="104"/>
      <c r="C5051" s="105"/>
      <c r="K5051" s="1"/>
      <c r="L5051" s="2"/>
    </row>
    <row r="5052" spans="1:12" x14ac:dyDescent="0.2">
      <c r="A5052" s="103"/>
      <c r="B5052" s="104"/>
      <c r="C5052" s="105"/>
      <c r="K5052" s="1"/>
      <c r="L5052" s="2"/>
    </row>
    <row r="5053" spans="1:12" x14ac:dyDescent="0.2">
      <c r="A5053" s="103"/>
      <c r="B5053" s="104"/>
      <c r="C5053" s="105"/>
      <c r="K5053" s="1"/>
      <c r="L5053" s="2"/>
    </row>
    <row r="5054" spans="1:12" x14ac:dyDescent="0.2">
      <c r="A5054" s="103"/>
      <c r="B5054" s="104"/>
      <c r="C5054" s="105"/>
      <c r="K5054" s="1"/>
      <c r="L5054" s="2"/>
    </row>
    <row r="5055" spans="1:12" x14ac:dyDescent="0.2">
      <c r="A5055" s="103"/>
      <c r="B5055" s="104"/>
      <c r="C5055" s="105"/>
      <c r="K5055" s="1"/>
      <c r="L5055" s="2"/>
    </row>
    <row r="5056" spans="1:12" x14ac:dyDescent="0.2">
      <c r="A5056" s="103"/>
      <c r="B5056" s="104"/>
      <c r="C5056" s="105"/>
      <c r="K5056" s="1"/>
      <c r="L5056" s="2"/>
    </row>
    <row r="5057" spans="1:12" x14ac:dyDescent="0.2">
      <c r="A5057" s="103"/>
      <c r="B5057" s="104"/>
      <c r="C5057" s="105"/>
      <c r="K5057" s="1"/>
      <c r="L5057" s="2"/>
    </row>
    <row r="5058" spans="1:12" x14ac:dyDescent="0.2">
      <c r="A5058" s="103"/>
      <c r="B5058" s="104"/>
      <c r="C5058" s="105"/>
      <c r="K5058" s="1"/>
      <c r="L5058" s="2"/>
    </row>
    <row r="5059" spans="1:12" x14ac:dyDescent="0.2">
      <c r="A5059" s="103"/>
      <c r="B5059" s="104"/>
      <c r="C5059" s="105"/>
      <c r="K5059" s="1"/>
      <c r="L5059" s="2"/>
    </row>
    <row r="5060" spans="1:12" x14ac:dyDescent="0.2">
      <c r="A5060" s="103"/>
      <c r="B5060" s="104"/>
      <c r="C5060" s="105"/>
      <c r="K5060" s="1"/>
      <c r="L5060" s="2"/>
    </row>
    <row r="5061" spans="1:12" x14ac:dyDescent="0.2">
      <c r="A5061" s="103"/>
      <c r="B5061" s="104"/>
      <c r="C5061" s="105"/>
      <c r="K5061" s="1"/>
      <c r="L5061" s="2"/>
    </row>
    <row r="5062" spans="1:12" x14ac:dyDescent="0.2">
      <c r="A5062" s="103"/>
      <c r="B5062" s="104"/>
      <c r="C5062" s="105"/>
      <c r="K5062" s="1"/>
      <c r="L5062" s="2"/>
    </row>
    <row r="5063" spans="1:12" x14ac:dyDescent="0.2">
      <c r="A5063" s="103"/>
      <c r="B5063" s="104"/>
      <c r="C5063" s="105"/>
      <c r="K5063" s="1"/>
      <c r="L5063" s="2"/>
    </row>
    <row r="5064" spans="1:12" x14ac:dyDescent="0.2">
      <c r="A5064" s="103"/>
      <c r="B5064" s="104"/>
      <c r="C5064" s="105"/>
      <c r="K5064" s="1"/>
      <c r="L5064" s="2"/>
    </row>
    <row r="5065" spans="1:12" x14ac:dyDescent="0.2">
      <c r="A5065" s="103"/>
      <c r="B5065" s="104"/>
      <c r="C5065" s="105"/>
      <c r="K5065" s="1"/>
      <c r="L5065" s="2"/>
    </row>
    <row r="5066" spans="1:12" x14ac:dyDescent="0.2">
      <c r="A5066" s="103"/>
      <c r="B5066" s="104"/>
      <c r="C5066" s="105"/>
      <c r="K5066" s="1"/>
      <c r="L5066" s="2"/>
    </row>
    <row r="5067" spans="1:12" x14ac:dyDescent="0.2">
      <c r="A5067" s="103"/>
      <c r="B5067" s="104"/>
      <c r="C5067" s="105"/>
      <c r="K5067" s="1"/>
      <c r="L5067" s="2"/>
    </row>
    <row r="5068" spans="1:12" x14ac:dyDescent="0.2">
      <c r="A5068" s="103"/>
      <c r="B5068" s="104"/>
      <c r="C5068" s="105"/>
      <c r="K5068" s="1"/>
      <c r="L5068" s="2"/>
    </row>
    <row r="5069" spans="1:12" x14ac:dyDescent="0.2">
      <c r="A5069" s="103"/>
      <c r="B5069" s="104"/>
      <c r="C5069" s="105"/>
      <c r="K5069" s="1"/>
      <c r="L5069" s="2"/>
    </row>
    <row r="5070" spans="1:12" x14ac:dyDescent="0.2">
      <c r="A5070" s="103"/>
      <c r="B5070" s="104"/>
      <c r="C5070" s="105"/>
      <c r="K5070" s="1"/>
      <c r="L5070" s="2"/>
    </row>
    <row r="5071" spans="1:12" x14ac:dyDescent="0.2">
      <c r="A5071" s="103"/>
      <c r="B5071" s="104"/>
      <c r="C5071" s="105"/>
      <c r="K5071" s="1"/>
      <c r="L5071" s="2"/>
    </row>
    <row r="5072" spans="1:12" x14ac:dyDescent="0.2">
      <c r="A5072" s="103"/>
      <c r="B5072" s="104"/>
      <c r="C5072" s="105"/>
      <c r="K5072" s="1"/>
      <c r="L5072" s="2"/>
    </row>
    <row r="5073" spans="1:12" x14ac:dyDescent="0.2">
      <c r="A5073" s="103"/>
      <c r="B5073" s="104"/>
      <c r="C5073" s="105"/>
      <c r="K5073" s="1"/>
      <c r="L5073" s="2"/>
    </row>
    <row r="5074" spans="1:12" x14ac:dyDescent="0.2">
      <c r="A5074" s="103"/>
      <c r="B5074" s="104"/>
      <c r="C5074" s="105"/>
      <c r="K5074" s="1"/>
      <c r="L5074" s="2"/>
    </row>
    <row r="5075" spans="1:12" x14ac:dyDescent="0.2">
      <c r="A5075" s="103"/>
      <c r="B5075" s="104"/>
      <c r="C5075" s="105"/>
      <c r="K5075" s="1"/>
      <c r="L5075" s="2"/>
    </row>
    <row r="5076" spans="1:12" x14ac:dyDescent="0.2">
      <c r="A5076" s="103"/>
      <c r="B5076" s="104"/>
      <c r="C5076" s="105"/>
      <c r="K5076" s="1"/>
      <c r="L5076" s="2"/>
    </row>
    <row r="5077" spans="1:12" x14ac:dyDescent="0.2">
      <c r="A5077" s="103"/>
      <c r="B5077" s="104"/>
      <c r="C5077" s="105"/>
      <c r="K5077" s="1"/>
      <c r="L5077" s="2"/>
    </row>
    <row r="5078" spans="1:12" x14ac:dyDescent="0.2">
      <c r="A5078" s="103"/>
      <c r="B5078" s="104"/>
      <c r="C5078" s="105"/>
      <c r="K5078" s="1"/>
      <c r="L5078" s="2"/>
    </row>
    <row r="5079" spans="1:12" x14ac:dyDescent="0.2">
      <c r="A5079" s="103"/>
      <c r="B5079" s="104"/>
      <c r="C5079" s="105"/>
      <c r="K5079" s="1"/>
      <c r="L5079" s="2"/>
    </row>
    <row r="5080" spans="1:12" x14ac:dyDescent="0.2">
      <c r="A5080" s="103"/>
      <c r="B5080" s="104"/>
      <c r="C5080" s="105"/>
      <c r="K5080" s="1"/>
      <c r="L5080" s="2"/>
    </row>
    <row r="5081" spans="1:12" x14ac:dyDescent="0.2">
      <c r="A5081" s="103"/>
      <c r="B5081" s="104"/>
      <c r="C5081" s="105"/>
      <c r="K5081" s="1"/>
      <c r="L5081" s="2"/>
    </row>
    <row r="5082" spans="1:12" x14ac:dyDescent="0.2">
      <c r="A5082" s="103"/>
      <c r="B5082" s="104"/>
      <c r="C5082" s="105"/>
      <c r="K5082" s="1"/>
      <c r="L5082" s="2"/>
    </row>
    <row r="5083" spans="1:12" x14ac:dyDescent="0.2">
      <c r="A5083" s="103"/>
      <c r="B5083" s="104"/>
      <c r="C5083" s="105"/>
      <c r="K5083" s="1"/>
      <c r="L5083" s="2"/>
    </row>
    <row r="5084" spans="1:12" x14ac:dyDescent="0.2">
      <c r="A5084" s="103"/>
      <c r="B5084" s="104"/>
      <c r="C5084" s="105"/>
      <c r="K5084" s="1"/>
      <c r="L5084" s="2"/>
    </row>
    <row r="5085" spans="1:12" x14ac:dyDescent="0.2">
      <c r="A5085" s="103"/>
      <c r="B5085" s="104"/>
      <c r="C5085" s="105"/>
      <c r="K5085" s="1"/>
      <c r="L5085" s="2"/>
    </row>
    <row r="5086" spans="1:12" x14ac:dyDescent="0.2">
      <c r="A5086" s="103"/>
      <c r="B5086" s="104"/>
      <c r="C5086" s="105"/>
      <c r="K5086" s="1"/>
      <c r="L5086" s="2"/>
    </row>
    <row r="5087" spans="1:12" x14ac:dyDescent="0.2">
      <c r="A5087" s="103"/>
      <c r="B5087" s="104"/>
      <c r="C5087" s="105"/>
      <c r="K5087" s="1"/>
      <c r="L5087" s="2"/>
    </row>
    <row r="5088" spans="1:12" x14ac:dyDescent="0.2">
      <c r="A5088" s="103"/>
      <c r="B5088" s="104"/>
      <c r="C5088" s="105"/>
      <c r="K5088" s="1"/>
      <c r="L5088" s="2"/>
    </row>
    <row r="5089" spans="1:12" x14ac:dyDescent="0.2">
      <c r="A5089" s="103"/>
      <c r="B5089" s="104"/>
      <c r="C5089" s="105"/>
      <c r="K5089" s="1"/>
      <c r="L5089" s="2"/>
    </row>
    <row r="5090" spans="1:12" x14ac:dyDescent="0.2">
      <c r="A5090" s="103"/>
      <c r="B5090" s="104"/>
      <c r="C5090" s="105"/>
      <c r="K5090" s="1"/>
      <c r="L5090" s="2"/>
    </row>
    <row r="5091" spans="1:12" x14ac:dyDescent="0.2">
      <c r="A5091" s="103"/>
      <c r="B5091" s="104"/>
      <c r="C5091" s="105"/>
      <c r="K5091" s="1"/>
      <c r="L5091" s="2"/>
    </row>
    <row r="5092" spans="1:12" x14ac:dyDescent="0.2">
      <c r="A5092" s="103"/>
      <c r="B5092" s="104"/>
      <c r="C5092" s="105"/>
      <c r="K5092" s="1"/>
      <c r="L5092" s="2"/>
    </row>
    <row r="5093" spans="1:12" x14ac:dyDescent="0.2">
      <c r="A5093" s="103"/>
      <c r="B5093" s="104"/>
      <c r="C5093" s="105"/>
      <c r="K5093" s="1"/>
      <c r="L5093" s="2"/>
    </row>
    <row r="5094" spans="1:12" x14ac:dyDescent="0.2">
      <c r="A5094" s="103"/>
      <c r="B5094" s="104"/>
      <c r="C5094" s="105"/>
      <c r="K5094" s="1"/>
      <c r="L5094" s="2"/>
    </row>
    <row r="5095" spans="1:12" x14ac:dyDescent="0.2">
      <c r="A5095" s="103"/>
      <c r="B5095" s="104"/>
      <c r="C5095" s="105"/>
      <c r="K5095" s="1"/>
      <c r="L5095" s="2"/>
    </row>
    <row r="5096" spans="1:12" x14ac:dyDescent="0.2">
      <c r="A5096" s="103"/>
      <c r="B5096" s="104"/>
      <c r="C5096" s="105"/>
      <c r="K5096" s="1"/>
      <c r="L5096" s="2"/>
    </row>
    <row r="5097" spans="1:12" x14ac:dyDescent="0.2">
      <c r="A5097" s="103"/>
      <c r="B5097" s="104"/>
      <c r="C5097" s="105"/>
      <c r="K5097" s="1"/>
      <c r="L5097" s="2"/>
    </row>
    <row r="5098" spans="1:12" x14ac:dyDescent="0.2">
      <c r="A5098" s="103"/>
      <c r="B5098" s="104"/>
      <c r="C5098" s="105"/>
      <c r="K5098" s="1"/>
      <c r="L5098" s="2"/>
    </row>
    <row r="5099" spans="1:12" x14ac:dyDescent="0.2">
      <c r="A5099" s="103"/>
      <c r="B5099" s="104"/>
      <c r="C5099" s="105"/>
      <c r="K5099" s="1"/>
      <c r="L5099" s="2"/>
    </row>
    <row r="5100" spans="1:12" x14ac:dyDescent="0.2">
      <c r="A5100" s="103"/>
      <c r="B5100" s="104"/>
      <c r="C5100" s="105"/>
      <c r="K5100" s="1"/>
      <c r="L5100" s="2"/>
    </row>
    <row r="5101" spans="1:12" x14ac:dyDescent="0.2">
      <c r="A5101" s="103"/>
      <c r="B5101" s="104"/>
      <c r="C5101" s="105"/>
      <c r="K5101" s="1"/>
      <c r="L5101" s="2"/>
    </row>
    <row r="5102" spans="1:12" x14ac:dyDescent="0.2">
      <c r="A5102" s="103"/>
      <c r="B5102" s="104"/>
      <c r="C5102" s="105"/>
      <c r="K5102" s="1"/>
      <c r="L5102" s="2"/>
    </row>
    <row r="5103" spans="1:12" x14ac:dyDescent="0.2">
      <c r="A5103" s="103"/>
      <c r="B5103" s="104"/>
      <c r="C5103" s="105"/>
      <c r="K5103" s="1"/>
      <c r="L5103" s="2"/>
    </row>
    <row r="5104" spans="1:12" x14ac:dyDescent="0.2">
      <c r="A5104" s="103"/>
      <c r="B5104" s="104"/>
      <c r="C5104" s="105"/>
      <c r="K5104" s="1"/>
      <c r="L5104" s="2"/>
    </row>
    <row r="5105" spans="1:12" x14ac:dyDescent="0.2">
      <c r="A5105" s="103"/>
      <c r="B5105" s="104"/>
      <c r="C5105" s="105"/>
      <c r="K5105" s="1"/>
      <c r="L5105" s="2"/>
    </row>
    <row r="5106" spans="1:12" x14ac:dyDescent="0.2">
      <c r="A5106" s="103"/>
      <c r="B5106" s="104"/>
      <c r="C5106" s="105"/>
      <c r="K5106" s="1"/>
      <c r="L5106" s="2"/>
    </row>
    <row r="5107" spans="1:12" x14ac:dyDescent="0.2">
      <c r="A5107" s="103"/>
      <c r="B5107" s="104"/>
      <c r="C5107" s="105"/>
      <c r="K5107" s="1"/>
      <c r="L5107" s="2"/>
    </row>
    <row r="5108" spans="1:12" x14ac:dyDescent="0.2">
      <c r="A5108" s="103"/>
      <c r="B5108" s="104"/>
      <c r="C5108" s="105"/>
      <c r="K5108" s="1"/>
      <c r="L5108" s="2"/>
    </row>
    <row r="5109" spans="1:12" x14ac:dyDescent="0.2">
      <c r="A5109" s="103"/>
      <c r="B5109" s="104"/>
      <c r="C5109" s="105"/>
      <c r="K5109" s="1"/>
      <c r="L5109" s="2"/>
    </row>
    <row r="5110" spans="1:12" x14ac:dyDescent="0.2">
      <c r="A5110" s="103"/>
      <c r="B5110" s="104"/>
      <c r="C5110" s="105"/>
      <c r="K5110" s="1"/>
      <c r="L5110" s="2"/>
    </row>
    <row r="5111" spans="1:12" x14ac:dyDescent="0.2">
      <c r="A5111" s="103"/>
      <c r="B5111" s="104"/>
      <c r="C5111" s="105"/>
      <c r="K5111" s="1"/>
      <c r="L5111" s="2"/>
    </row>
    <row r="5112" spans="1:12" x14ac:dyDescent="0.2">
      <c r="A5112" s="103"/>
      <c r="B5112" s="104"/>
      <c r="C5112" s="105"/>
      <c r="K5112" s="1"/>
      <c r="L5112" s="2"/>
    </row>
    <row r="5113" spans="1:12" x14ac:dyDescent="0.2">
      <c r="A5113" s="103"/>
      <c r="B5113" s="104"/>
      <c r="C5113" s="105"/>
      <c r="K5113" s="1"/>
      <c r="L5113" s="2"/>
    </row>
    <row r="5114" spans="1:12" x14ac:dyDescent="0.2">
      <c r="A5114" s="103"/>
      <c r="B5114" s="104"/>
      <c r="C5114" s="105"/>
      <c r="K5114" s="1"/>
      <c r="L5114" s="2"/>
    </row>
    <row r="5115" spans="1:12" x14ac:dyDescent="0.2">
      <c r="A5115" s="103"/>
      <c r="B5115" s="104"/>
      <c r="C5115" s="105"/>
      <c r="K5115" s="1"/>
      <c r="L5115" s="2"/>
    </row>
    <row r="5116" spans="1:12" x14ac:dyDescent="0.2">
      <c r="A5116" s="103"/>
      <c r="B5116" s="104"/>
      <c r="C5116" s="105"/>
      <c r="K5116" s="1"/>
      <c r="L5116" s="2"/>
    </row>
    <row r="5117" spans="1:12" x14ac:dyDescent="0.2">
      <c r="A5117" s="103"/>
      <c r="B5117" s="104"/>
      <c r="C5117" s="105"/>
      <c r="K5117" s="1"/>
      <c r="L5117" s="2"/>
    </row>
    <row r="5118" spans="1:12" x14ac:dyDescent="0.2">
      <c r="A5118" s="103"/>
      <c r="B5118" s="104"/>
      <c r="C5118" s="105"/>
      <c r="K5118" s="1"/>
      <c r="L5118" s="2"/>
    </row>
    <row r="5119" spans="1:12" x14ac:dyDescent="0.2">
      <c r="A5119" s="103"/>
      <c r="B5119" s="104"/>
      <c r="C5119" s="105"/>
      <c r="K5119" s="1"/>
      <c r="L5119" s="2"/>
    </row>
    <row r="5120" spans="1:12" x14ac:dyDescent="0.2">
      <c r="A5120" s="103"/>
      <c r="B5120" s="104"/>
      <c r="C5120" s="105"/>
      <c r="K5120" s="1"/>
      <c r="L5120" s="2"/>
    </row>
    <row r="5121" spans="1:12" x14ac:dyDescent="0.2">
      <c r="A5121" s="103"/>
      <c r="B5121" s="104"/>
      <c r="C5121" s="105"/>
      <c r="K5121" s="1"/>
      <c r="L5121" s="2"/>
    </row>
    <row r="5122" spans="1:12" x14ac:dyDescent="0.2">
      <c r="A5122" s="103"/>
      <c r="B5122" s="104"/>
      <c r="C5122" s="105"/>
      <c r="K5122" s="1"/>
      <c r="L5122" s="2"/>
    </row>
    <row r="5123" spans="1:12" x14ac:dyDescent="0.2">
      <c r="A5123" s="103"/>
      <c r="B5123" s="104"/>
      <c r="C5123" s="105"/>
      <c r="K5123" s="1"/>
      <c r="L5123" s="2"/>
    </row>
    <row r="5124" spans="1:12" x14ac:dyDescent="0.2">
      <c r="A5124" s="103"/>
      <c r="B5124" s="104"/>
      <c r="C5124" s="105"/>
      <c r="K5124" s="1"/>
      <c r="L5124" s="2"/>
    </row>
    <row r="5125" spans="1:12" x14ac:dyDescent="0.2">
      <c r="A5125" s="103"/>
      <c r="B5125" s="104"/>
      <c r="C5125" s="105"/>
      <c r="K5125" s="1"/>
      <c r="L5125" s="2"/>
    </row>
    <row r="5126" spans="1:12" x14ac:dyDescent="0.2">
      <c r="A5126" s="103"/>
      <c r="B5126" s="104"/>
      <c r="C5126" s="105"/>
      <c r="K5126" s="1"/>
      <c r="L5126" s="2"/>
    </row>
    <row r="5127" spans="1:12" x14ac:dyDescent="0.2">
      <c r="A5127" s="103"/>
      <c r="B5127" s="104"/>
      <c r="C5127" s="105"/>
      <c r="K5127" s="1"/>
      <c r="L5127" s="2"/>
    </row>
    <row r="5128" spans="1:12" x14ac:dyDescent="0.2">
      <c r="A5128" s="103"/>
      <c r="B5128" s="104"/>
      <c r="C5128" s="105"/>
      <c r="K5128" s="1"/>
      <c r="L5128" s="2"/>
    </row>
    <row r="5129" spans="1:12" x14ac:dyDescent="0.2">
      <c r="A5129" s="103"/>
      <c r="B5129" s="104"/>
      <c r="C5129" s="105"/>
      <c r="K5129" s="1"/>
      <c r="L5129" s="2"/>
    </row>
    <row r="5130" spans="1:12" x14ac:dyDescent="0.2">
      <c r="A5130" s="103"/>
      <c r="B5130" s="104"/>
      <c r="C5130" s="105"/>
      <c r="K5130" s="1"/>
      <c r="L5130" s="2"/>
    </row>
    <row r="5131" spans="1:12" x14ac:dyDescent="0.2">
      <c r="A5131" s="103"/>
      <c r="B5131" s="104"/>
      <c r="C5131" s="105"/>
      <c r="K5131" s="1"/>
      <c r="L5131" s="2"/>
    </row>
    <row r="5132" spans="1:12" x14ac:dyDescent="0.2">
      <c r="A5132" s="103"/>
      <c r="B5132" s="104"/>
      <c r="C5132" s="105"/>
      <c r="K5132" s="1"/>
      <c r="L5132" s="2"/>
    </row>
    <row r="5133" spans="1:12" x14ac:dyDescent="0.2">
      <c r="A5133" s="103"/>
      <c r="B5133" s="104"/>
      <c r="C5133" s="105"/>
      <c r="K5133" s="1"/>
      <c r="L5133" s="2"/>
    </row>
    <row r="5134" spans="1:12" x14ac:dyDescent="0.2">
      <c r="A5134" s="103"/>
      <c r="B5134" s="104"/>
      <c r="C5134" s="105"/>
      <c r="K5134" s="1"/>
      <c r="L5134" s="2"/>
    </row>
    <row r="5135" spans="1:12" x14ac:dyDescent="0.2">
      <c r="A5135" s="103"/>
      <c r="B5135" s="104"/>
      <c r="C5135" s="105"/>
      <c r="K5135" s="1"/>
      <c r="L5135" s="2"/>
    </row>
    <row r="5136" spans="1:12" x14ac:dyDescent="0.2">
      <c r="A5136" s="103"/>
      <c r="B5136" s="104"/>
      <c r="C5136" s="105"/>
      <c r="K5136" s="1"/>
      <c r="L5136" s="2"/>
    </row>
    <row r="5137" spans="1:12" x14ac:dyDescent="0.2">
      <c r="A5137" s="103"/>
      <c r="B5137" s="104"/>
      <c r="C5137" s="105"/>
      <c r="K5137" s="1"/>
      <c r="L5137" s="2"/>
    </row>
    <row r="5138" spans="1:12" x14ac:dyDescent="0.2">
      <c r="A5138" s="103"/>
      <c r="B5138" s="104"/>
      <c r="C5138" s="105"/>
      <c r="K5138" s="1"/>
      <c r="L5138" s="2"/>
    </row>
    <row r="5139" spans="1:12" x14ac:dyDescent="0.2">
      <c r="A5139" s="103"/>
      <c r="B5139" s="104"/>
      <c r="C5139" s="105"/>
      <c r="K5139" s="1"/>
      <c r="L5139" s="2"/>
    </row>
    <row r="5140" spans="1:12" x14ac:dyDescent="0.2">
      <c r="A5140" s="103"/>
      <c r="B5140" s="104"/>
      <c r="C5140" s="105"/>
      <c r="K5140" s="1"/>
      <c r="L5140" s="2"/>
    </row>
    <row r="5141" spans="1:12" x14ac:dyDescent="0.2">
      <c r="A5141" s="103"/>
      <c r="B5141" s="104"/>
      <c r="C5141" s="105"/>
      <c r="K5141" s="1"/>
      <c r="L5141" s="2"/>
    </row>
    <row r="5142" spans="1:12" x14ac:dyDescent="0.2">
      <c r="A5142" s="103"/>
      <c r="B5142" s="104"/>
      <c r="C5142" s="105"/>
      <c r="K5142" s="1"/>
      <c r="L5142" s="2"/>
    </row>
    <row r="5143" spans="1:12" x14ac:dyDescent="0.2">
      <c r="A5143" s="103"/>
      <c r="B5143" s="104"/>
      <c r="C5143" s="105"/>
      <c r="K5143" s="1"/>
      <c r="L5143" s="2"/>
    </row>
    <row r="5144" spans="1:12" x14ac:dyDescent="0.2">
      <c r="A5144" s="103"/>
      <c r="B5144" s="104"/>
      <c r="C5144" s="105"/>
      <c r="K5144" s="1"/>
      <c r="L5144" s="2"/>
    </row>
    <row r="5145" spans="1:12" x14ac:dyDescent="0.2">
      <c r="A5145" s="103"/>
      <c r="B5145" s="104"/>
      <c r="C5145" s="105"/>
      <c r="K5145" s="1"/>
      <c r="L5145" s="2"/>
    </row>
    <row r="5146" spans="1:12" x14ac:dyDescent="0.2">
      <c r="A5146" s="103"/>
      <c r="B5146" s="104"/>
      <c r="C5146" s="105"/>
      <c r="K5146" s="1"/>
      <c r="L5146" s="2"/>
    </row>
    <row r="5147" spans="1:12" x14ac:dyDescent="0.2">
      <c r="A5147" s="103"/>
      <c r="B5147" s="104"/>
      <c r="C5147" s="105"/>
      <c r="K5147" s="1"/>
      <c r="L5147" s="2"/>
    </row>
    <row r="5148" spans="1:12" x14ac:dyDescent="0.2">
      <c r="A5148" s="103"/>
      <c r="B5148" s="104"/>
      <c r="C5148" s="105"/>
      <c r="K5148" s="1"/>
      <c r="L5148" s="2"/>
    </row>
    <row r="5149" spans="1:12" x14ac:dyDescent="0.2">
      <c r="A5149" s="103"/>
      <c r="B5149" s="104"/>
      <c r="C5149" s="105"/>
      <c r="K5149" s="1"/>
      <c r="L5149" s="2"/>
    </row>
    <row r="5150" spans="1:12" x14ac:dyDescent="0.2">
      <c r="A5150" s="103"/>
      <c r="B5150" s="104"/>
      <c r="C5150" s="105"/>
      <c r="K5150" s="1"/>
      <c r="L5150" s="2"/>
    </row>
    <row r="5151" spans="1:12" x14ac:dyDescent="0.2">
      <c r="A5151" s="103"/>
      <c r="B5151" s="104"/>
      <c r="C5151" s="105"/>
      <c r="K5151" s="1"/>
      <c r="L5151" s="2"/>
    </row>
    <row r="5152" spans="1:12" x14ac:dyDescent="0.2">
      <c r="A5152" s="103"/>
      <c r="B5152" s="104"/>
      <c r="C5152" s="105"/>
      <c r="K5152" s="1"/>
      <c r="L5152" s="2"/>
    </row>
    <row r="5153" spans="1:12" x14ac:dyDescent="0.2">
      <c r="A5153" s="103"/>
      <c r="B5153" s="104"/>
      <c r="C5153" s="105"/>
      <c r="K5153" s="1"/>
      <c r="L5153" s="2"/>
    </row>
    <row r="5154" spans="1:12" x14ac:dyDescent="0.2">
      <c r="A5154" s="103"/>
      <c r="B5154" s="104"/>
      <c r="C5154" s="105"/>
      <c r="K5154" s="1"/>
      <c r="L5154" s="2"/>
    </row>
    <row r="5155" spans="1:12" x14ac:dyDescent="0.2">
      <c r="A5155" s="103"/>
      <c r="B5155" s="104"/>
      <c r="C5155" s="105"/>
      <c r="K5155" s="1"/>
      <c r="L5155" s="2"/>
    </row>
    <row r="5156" spans="1:12" x14ac:dyDescent="0.2">
      <c r="A5156" s="103"/>
      <c r="B5156" s="104"/>
      <c r="C5156" s="105"/>
      <c r="K5156" s="1"/>
      <c r="L5156" s="2"/>
    </row>
    <row r="5157" spans="1:12" x14ac:dyDescent="0.2">
      <c r="A5157" s="103"/>
      <c r="B5157" s="104"/>
      <c r="C5157" s="105"/>
      <c r="K5157" s="1"/>
      <c r="L5157" s="2"/>
    </row>
    <row r="5158" spans="1:12" x14ac:dyDescent="0.2">
      <c r="A5158" s="103"/>
      <c r="B5158" s="104"/>
      <c r="C5158" s="105"/>
      <c r="K5158" s="1"/>
      <c r="L5158" s="2"/>
    </row>
    <row r="5159" spans="1:12" x14ac:dyDescent="0.2">
      <c r="A5159" s="103"/>
      <c r="B5159" s="104"/>
      <c r="C5159" s="105"/>
      <c r="K5159" s="1"/>
      <c r="L5159" s="2"/>
    </row>
    <row r="5160" spans="1:12" x14ac:dyDescent="0.2">
      <c r="A5160" s="103"/>
      <c r="B5160" s="104"/>
      <c r="C5160" s="105"/>
      <c r="K5160" s="1"/>
      <c r="L5160" s="2"/>
    </row>
    <row r="5161" spans="1:12" x14ac:dyDescent="0.2">
      <c r="A5161" s="103"/>
      <c r="B5161" s="104"/>
      <c r="C5161" s="105"/>
      <c r="K5161" s="1"/>
      <c r="L5161" s="2"/>
    </row>
    <row r="5162" spans="1:12" x14ac:dyDescent="0.2">
      <c r="A5162" s="103"/>
      <c r="B5162" s="104"/>
      <c r="C5162" s="105"/>
      <c r="K5162" s="1"/>
      <c r="L5162" s="2"/>
    </row>
    <row r="5163" spans="1:12" x14ac:dyDescent="0.2">
      <c r="A5163" s="103"/>
      <c r="B5163" s="104"/>
      <c r="C5163" s="105"/>
      <c r="K5163" s="1"/>
      <c r="L5163" s="2"/>
    </row>
    <row r="5164" spans="1:12" x14ac:dyDescent="0.2">
      <c r="A5164" s="103"/>
      <c r="B5164" s="104"/>
      <c r="C5164" s="105"/>
      <c r="K5164" s="1"/>
      <c r="L5164" s="2"/>
    </row>
    <row r="5165" spans="1:12" x14ac:dyDescent="0.2">
      <c r="A5165" s="103"/>
      <c r="B5165" s="104"/>
      <c r="C5165" s="105"/>
      <c r="K5165" s="1"/>
      <c r="L5165" s="2"/>
    </row>
    <row r="5166" spans="1:12" x14ac:dyDescent="0.2">
      <c r="A5166" s="103"/>
      <c r="B5166" s="104"/>
      <c r="C5166" s="105"/>
      <c r="K5166" s="1"/>
      <c r="L5166" s="2"/>
    </row>
    <row r="5167" spans="1:12" x14ac:dyDescent="0.2">
      <c r="A5167" s="103"/>
      <c r="B5167" s="104"/>
      <c r="C5167" s="105"/>
      <c r="K5167" s="1"/>
      <c r="L5167" s="2"/>
    </row>
    <row r="5168" spans="1:12" x14ac:dyDescent="0.2">
      <c r="A5168" s="103"/>
      <c r="B5168" s="104"/>
      <c r="C5168" s="105"/>
      <c r="K5168" s="1"/>
      <c r="L5168" s="2"/>
    </row>
    <row r="5169" spans="1:12" x14ac:dyDescent="0.2">
      <c r="A5169" s="103"/>
      <c r="B5169" s="104"/>
      <c r="C5169" s="105"/>
      <c r="K5169" s="1"/>
      <c r="L5169" s="2"/>
    </row>
    <row r="5170" spans="1:12" x14ac:dyDescent="0.2">
      <c r="A5170" s="103"/>
      <c r="B5170" s="104"/>
      <c r="C5170" s="105"/>
      <c r="K5170" s="1"/>
      <c r="L5170" s="2"/>
    </row>
    <row r="5171" spans="1:12" x14ac:dyDescent="0.2">
      <c r="A5171" s="103"/>
      <c r="B5171" s="104"/>
      <c r="C5171" s="105"/>
      <c r="K5171" s="1"/>
      <c r="L5171" s="2"/>
    </row>
    <row r="5172" spans="1:12" x14ac:dyDescent="0.2">
      <c r="A5172" s="103"/>
      <c r="B5172" s="104"/>
      <c r="C5172" s="105"/>
      <c r="K5172" s="1"/>
      <c r="L5172" s="2"/>
    </row>
    <row r="5173" spans="1:12" x14ac:dyDescent="0.2">
      <c r="A5173" s="103"/>
      <c r="B5173" s="104"/>
      <c r="C5173" s="105"/>
      <c r="K5173" s="1"/>
      <c r="L5173" s="2"/>
    </row>
    <row r="5174" spans="1:12" x14ac:dyDescent="0.2">
      <c r="A5174" s="103"/>
      <c r="B5174" s="104"/>
      <c r="C5174" s="105"/>
      <c r="K5174" s="1"/>
      <c r="L5174" s="2"/>
    </row>
    <row r="5175" spans="1:12" x14ac:dyDescent="0.2">
      <c r="A5175" s="103"/>
      <c r="B5175" s="104"/>
      <c r="C5175" s="105"/>
      <c r="K5175" s="1"/>
      <c r="L5175" s="2"/>
    </row>
    <row r="5176" spans="1:12" x14ac:dyDescent="0.2">
      <c r="A5176" s="103"/>
      <c r="B5176" s="104"/>
      <c r="C5176" s="105"/>
      <c r="K5176" s="1"/>
      <c r="L5176" s="2"/>
    </row>
    <row r="5177" spans="1:12" x14ac:dyDescent="0.2">
      <c r="A5177" s="103"/>
      <c r="B5177" s="104"/>
      <c r="C5177" s="105"/>
      <c r="K5177" s="1"/>
      <c r="L5177" s="2"/>
    </row>
    <row r="5178" spans="1:12" x14ac:dyDescent="0.2">
      <c r="A5178" s="103"/>
      <c r="B5178" s="104"/>
      <c r="C5178" s="105"/>
      <c r="K5178" s="1"/>
      <c r="L5178" s="2"/>
    </row>
    <row r="5179" spans="1:12" x14ac:dyDescent="0.2">
      <c r="A5179" s="103"/>
      <c r="B5179" s="104"/>
      <c r="C5179" s="105"/>
      <c r="K5179" s="1"/>
      <c r="L5179" s="2"/>
    </row>
    <row r="5180" spans="1:12" x14ac:dyDescent="0.2">
      <c r="A5180" s="103"/>
      <c r="B5180" s="104"/>
      <c r="C5180" s="105"/>
      <c r="K5180" s="1"/>
      <c r="L5180" s="2"/>
    </row>
    <row r="5181" spans="1:12" x14ac:dyDescent="0.2">
      <c r="A5181" s="103"/>
      <c r="B5181" s="104"/>
      <c r="C5181" s="105"/>
      <c r="K5181" s="1"/>
      <c r="L5181" s="2"/>
    </row>
    <row r="5182" spans="1:12" x14ac:dyDescent="0.2">
      <c r="A5182" s="103"/>
      <c r="B5182" s="104"/>
      <c r="C5182" s="105"/>
      <c r="K5182" s="1"/>
      <c r="L5182" s="2"/>
    </row>
    <row r="5183" spans="1:12" x14ac:dyDescent="0.2">
      <c r="A5183" s="103"/>
      <c r="B5183" s="104"/>
      <c r="C5183" s="105"/>
      <c r="K5183" s="1"/>
      <c r="L5183" s="2"/>
    </row>
    <row r="5184" spans="1:12" x14ac:dyDescent="0.2">
      <c r="A5184" s="103"/>
      <c r="B5184" s="104"/>
      <c r="C5184" s="105"/>
      <c r="K5184" s="1"/>
      <c r="L5184" s="2"/>
    </row>
    <row r="5185" spans="1:12" x14ac:dyDescent="0.2">
      <c r="A5185" s="103"/>
      <c r="B5185" s="104"/>
      <c r="C5185" s="105"/>
      <c r="K5185" s="1"/>
      <c r="L5185" s="2"/>
    </row>
    <row r="5186" spans="1:12" x14ac:dyDescent="0.2">
      <c r="A5186" s="103"/>
      <c r="B5186" s="104"/>
      <c r="C5186" s="105"/>
      <c r="K5186" s="1"/>
      <c r="L5186" s="2"/>
    </row>
    <row r="5187" spans="1:12" x14ac:dyDescent="0.2">
      <c r="A5187" s="103"/>
      <c r="B5187" s="104"/>
      <c r="C5187" s="105"/>
      <c r="K5187" s="1"/>
      <c r="L5187" s="2"/>
    </row>
    <row r="5188" spans="1:12" x14ac:dyDescent="0.2">
      <c r="A5188" s="103"/>
      <c r="B5188" s="104"/>
      <c r="C5188" s="105"/>
      <c r="K5188" s="1"/>
      <c r="L5188" s="2"/>
    </row>
    <row r="5189" spans="1:12" x14ac:dyDescent="0.2">
      <c r="A5189" s="103"/>
      <c r="B5189" s="104"/>
      <c r="C5189" s="105"/>
      <c r="K5189" s="1"/>
      <c r="L5189" s="2"/>
    </row>
    <row r="5190" spans="1:12" x14ac:dyDescent="0.2">
      <c r="A5190" s="103"/>
      <c r="B5190" s="104"/>
      <c r="C5190" s="105"/>
      <c r="K5190" s="1"/>
      <c r="L5190" s="2"/>
    </row>
    <row r="5191" spans="1:12" x14ac:dyDescent="0.2">
      <c r="A5191" s="103"/>
      <c r="B5191" s="104"/>
      <c r="C5191" s="105"/>
      <c r="K5191" s="1"/>
      <c r="L5191" s="2"/>
    </row>
    <row r="5192" spans="1:12" x14ac:dyDescent="0.2">
      <c r="A5192" s="103"/>
      <c r="B5192" s="104"/>
      <c r="C5192" s="105"/>
      <c r="K5192" s="1"/>
      <c r="L5192" s="2"/>
    </row>
    <row r="5193" spans="1:12" x14ac:dyDescent="0.2">
      <c r="A5193" s="103"/>
      <c r="B5193" s="104"/>
      <c r="C5193" s="105"/>
      <c r="K5193" s="1"/>
      <c r="L5193" s="2"/>
    </row>
    <row r="5194" spans="1:12" x14ac:dyDescent="0.2">
      <c r="A5194" s="103"/>
      <c r="B5194" s="104"/>
      <c r="C5194" s="105"/>
      <c r="K5194" s="1"/>
      <c r="L5194" s="2"/>
    </row>
    <row r="5195" spans="1:12" x14ac:dyDescent="0.2">
      <c r="A5195" s="103"/>
      <c r="B5195" s="104"/>
      <c r="C5195" s="105"/>
      <c r="K5195" s="1"/>
      <c r="L5195" s="2"/>
    </row>
    <row r="5196" spans="1:12" x14ac:dyDescent="0.2">
      <c r="A5196" s="103"/>
      <c r="B5196" s="104"/>
      <c r="C5196" s="105"/>
      <c r="K5196" s="1"/>
      <c r="L5196" s="2"/>
    </row>
    <row r="5197" spans="1:12" x14ac:dyDescent="0.2">
      <c r="A5197" s="103"/>
      <c r="B5197" s="104"/>
      <c r="C5197" s="105"/>
      <c r="K5197" s="1"/>
      <c r="L5197" s="2"/>
    </row>
    <row r="5198" spans="1:12" x14ac:dyDescent="0.2">
      <c r="A5198" s="103"/>
      <c r="B5198" s="104"/>
      <c r="C5198" s="105"/>
      <c r="K5198" s="1"/>
      <c r="L5198" s="2"/>
    </row>
    <row r="5199" spans="1:12" x14ac:dyDescent="0.2">
      <c r="A5199" s="103"/>
      <c r="B5199" s="104"/>
      <c r="C5199" s="105"/>
      <c r="K5199" s="1"/>
      <c r="L5199" s="2"/>
    </row>
    <row r="5200" spans="1:12" x14ac:dyDescent="0.2">
      <c r="A5200" s="103"/>
      <c r="B5200" s="104"/>
      <c r="C5200" s="105"/>
      <c r="K5200" s="1"/>
      <c r="L5200" s="2"/>
    </row>
    <row r="5201" spans="1:12" x14ac:dyDescent="0.2">
      <c r="A5201" s="103"/>
      <c r="B5201" s="104"/>
      <c r="C5201" s="105"/>
      <c r="K5201" s="1"/>
      <c r="L5201" s="2"/>
    </row>
    <row r="5202" spans="1:12" x14ac:dyDescent="0.2">
      <c r="A5202" s="103"/>
      <c r="B5202" s="104"/>
      <c r="C5202" s="105"/>
      <c r="K5202" s="1"/>
      <c r="L5202" s="2"/>
    </row>
    <row r="5203" spans="1:12" x14ac:dyDescent="0.2">
      <c r="A5203" s="103"/>
      <c r="B5203" s="104"/>
      <c r="C5203" s="105"/>
      <c r="K5203" s="1"/>
      <c r="L5203" s="2"/>
    </row>
    <row r="5204" spans="1:12" x14ac:dyDescent="0.2">
      <c r="A5204" s="103"/>
      <c r="B5204" s="104"/>
      <c r="C5204" s="105"/>
      <c r="K5204" s="1"/>
      <c r="L5204" s="2"/>
    </row>
    <row r="5205" spans="1:12" x14ac:dyDescent="0.2">
      <c r="A5205" s="103"/>
      <c r="B5205" s="104"/>
      <c r="C5205" s="105"/>
      <c r="K5205" s="1"/>
      <c r="L5205" s="2"/>
    </row>
    <row r="5206" spans="1:12" x14ac:dyDescent="0.2">
      <c r="A5206" s="103"/>
      <c r="B5206" s="104"/>
      <c r="C5206" s="105"/>
      <c r="K5206" s="1"/>
      <c r="L5206" s="2"/>
    </row>
    <row r="5207" spans="1:12" x14ac:dyDescent="0.2">
      <c r="A5207" s="103"/>
      <c r="B5207" s="104"/>
      <c r="C5207" s="105"/>
      <c r="K5207" s="1"/>
      <c r="L5207" s="2"/>
    </row>
    <row r="5208" spans="1:12" x14ac:dyDescent="0.2">
      <c r="A5208" s="103"/>
      <c r="B5208" s="104"/>
      <c r="C5208" s="105"/>
      <c r="K5208" s="1"/>
      <c r="L5208" s="2"/>
    </row>
    <row r="5209" spans="1:12" x14ac:dyDescent="0.2">
      <c r="A5209" s="103"/>
      <c r="B5209" s="104"/>
      <c r="C5209" s="105"/>
      <c r="K5209" s="1"/>
      <c r="L5209" s="2"/>
    </row>
    <row r="5210" spans="1:12" x14ac:dyDescent="0.2">
      <c r="A5210" s="103"/>
      <c r="B5210" s="104"/>
      <c r="C5210" s="105"/>
      <c r="K5210" s="1"/>
      <c r="L5210" s="2"/>
    </row>
    <row r="5211" spans="1:12" x14ac:dyDescent="0.2">
      <c r="A5211" s="103"/>
      <c r="B5211" s="104"/>
      <c r="C5211" s="105"/>
      <c r="K5211" s="1"/>
      <c r="L5211" s="2"/>
    </row>
    <row r="5212" spans="1:12" x14ac:dyDescent="0.2">
      <c r="A5212" s="103"/>
      <c r="B5212" s="104"/>
      <c r="C5212" s="105"/>
      <c r="K5212" s="1"/>
      <c r="L5212" s="2"/>
    </row>
    <row r="5213" spans="1:12" x14ac:dyDescent="0.2">
      <c r="A5213" s="103"/>
      <c r="B5213" s="104"/>
      <c r="C5213" s="105"/>
      <c r="K5213" s="1"/>
      <c r="L5213" s="2"/>
    </row>
    <row r="5214" spans="1:12" x14ac:dyDescent="0.2">
      <c r="A5214" s="103"/>
      <c r="B5214" s="104"/>
      <c r="C5214" s="105"/>
      <c r="K5214" s="1"/>
      <c r="L5214" s="2"/>
    </row>
    <row r="5215" spans="1:12" x14ac:dyDescent="0.2">
      <c r="A5215" s="103"/>
      <c r="B5215" s="104"/>
      <c r="C5215" s="105"/>
      <c r="K5215" s="1"/>
      <c r="L5215" s="2"/>
    </row>
    <row r="5216" spans="1:12" x14ac:dyDescent="0.2">
      <c r="A5216" s="103"/>
      <c r="B5216" s="104"/>
      <c r="C5216" s="105"/>
      <c r="K5216" s="1"/>
      <c r="L5216" s="2"/>
    </row>
    <row r="5217" spans="1:12" x14ac:dyDescent="0.2">
      <c r="A5217" s="103"/>
      <c r="B5217" s="104"/>
      <c r="C5217" s="105"/>
      <c r="K5217" s="1"/>
      <c r="L5217" s="2"/>
    </row>
    <row r="5218" spans="1:12" x14ac:dyDescent="0.2">
      <c r="A5218" s="103"/>
      <c r="B5218" s="104"/>
      <c r="C5218" s="105"/>
      <c r="K5218" s="1"/>
      <c r="L5218" s="2"/>
    </row>
    <row r="5219" spans="1:12" x14ac:dyDescent="0.2">
      <c r="A5219" s="103"/>
      <c r="B5219" s="104"/>
      <c r="C5219" s="105"/>
      <c r="K5219" s="1"/>
      <c r="L5219" s="2"/>
    </row>
    <row r="5220" spans="1:12" x14ac:dyDescent="0.2">
      <c r="A5220" s="103"/>
      <c r="B5220" s="104"/>
      <c r="C5220" s="105"/>
      <c r="K5220" s="1"/>
      <c r="L5220" s="2"/>
    </row>
    <row r="5221" spans="1:12" x14ac:dyDescent="0.2">
      <c r="A5221" s="103"/>
      <c r="B5221" s="104"/>
      <c r="C5221" s="105"/>
      <c r="K5221" s="1"/>
      <c r="L5221" s="2"/>
    </row>
    <row r="5222" spans="1:12" x14ac:dyDescent="0.2">
      <c r="A5222" s="103"/>
      <c r="B5222" s="104"/>
      <c r="C5222" s="105"/>
      <c r="K5222" s="1"/>
      <c r="L5222" s="2"/>
    </row>
    <row r="5223" spans="1:12" x14ac:dyDescent="0.2">
      <c r="A5223" s="103"/>
      <c r="B5223" s="104"/>
      <c r="C5223" s="105"/>
      <c r="K5223" s="1"/>
      <c r="L5223" s="2"/>
    </row>
    <row r="5224" spans="1:12" x14ac:dyDescent="0.2">
      <c r="A5224" s="103"/>
      <c r="B5224" s="104"/>
      <c r="C5224" s="105"/>
      <c r="K5224" s="1"/>
      <c r="L5224" s="2"/>
    </row>
    <row r="5225" spans="1:12" x14ac:dyDescent="0.2">
      <c r="A5225" s="103"/>
      <c r="B5225" s="104"/>
      <c r="C5225" s="105"/>
      <c r="K5225" s="1"/>
      <c r="L5225" s="2"/>
    </row>
    <row r="5226" spans="1:12" x14ac:dyDescent="0.2">
      <c r="A5226" s="103"/>
      <c r="B5226" s="104"/>
      <c r="C5226" s="105"/>
      <c r="K5226" s="1"/>
      <c r="L5226" s="2"/>
    </row>
    <row r="5227" spans="1:12" x14ac:dyDescent="0.2">
      <c r="A5227" s="103"/>
      <c r="B5227" s="104"/>
      <c r="C5227" s="105"/>
      <c r="K5227" s="1"/>
      <c r="L5227" s="2"/>
    </row>
    <row r="5228" spans="1:12" x14ac:dyDescent="0.2">
      <c r="A5228" s="103"/>
      <c r="B5228" s="104"/>
      <c r="C5228" s="105"/>
      <c r="K5228" s="1"/>
      <c r="L5228" s="2"/>
    </row>
    <row r="5229" spans="1:12" x14ac:dyDescent="0.2">
      <c r="A5229" s="103"/>
      <c r="B5229" s="104"/>
      <c r="C5229" s="105"/>
      <c r="K5229" s="1"/>
      <c r="L5229" s="2"/>
    </row>
    <row r="5230" spans="1:12" x14ac:dyDescent="0.2">
      <c r="A5230" s="103"/>
      <c r="B5230" s="104"/>
      <c r="C5230" s="105"/>
      <c r="K5230" s="1"/>
      <c r="L5230" s="2"/>
    </row>
    <row r="5231" spans="1:12" x14ac:dyDescent="0.2">
      <c r="A5231" s="103"/>
      <c r="B5231" s="104"/>
      <c r="C5231" s="105"/>
      <c r="K5231" s="1"/>
      <c r="L5231" s="2"/>
    </row>
    <row r="5232" spans="1:12" x14ac:dyDescent="0.2">
      <c r="A5232" s="103"/>
      <c r="B5232" s="104"/>
      <c r="C5232" s="105"/>
      <c r="K5232" s="1"/>
      <c r="L5232" s="2"/>
    </row>
    <row r="5233" spans="1:12" x14ac:dyDescent="0.2">
      <c r="A5233" s="103"/>
      <c r="B5233" s="104"/>
      <c r="C5233" s="105"/>
      <c r="K5233" s="1"/>
      <c r="L5233" s="2"/>
    </row>
    <row r="5234" spans="1:12" x14ac:dyDescent="0.2">
      <c r="A5234" s="103"/>
      <c r="B5234" s="104"/>
      <c r="C5234" s="105"/>
      <c r="K5234" s="1"/>
      <c r="L5234" s="2"/>
    </row>
    <row r="5235" spans="1:12" x14ac:dyDescent="0.2">
      <c r="A5235" s="103"/>
      <c r="B5235" s="104"/>
      <c r="C5235" s="105"/>
      <c r="K5235" s="1"/>
      <c r="L5235" s="2"/>
    </row>
    <row r="5236" spans="1:12" x14ac:dyDescent="0.2">
      <c r="A5236" s="103"/>
      <c r="B5236" s="104"/>
      <c r="C5236" s="105"/>
      <c r="K5236" s="1"/>
      <c r="L5236" s="2"/>
    </row>
    <row r="5237" spans="1:12" x14ac:dyDescent="0.2">
      <c r="A5237" s="103"/>
      <c r="B5237" s="104"/>
      <c r="C5237" s="105"/>
      <c r="K5237" s="1"/>
      <c r="L5237" s="2"/>
    </row>
    <row r="5238" spans="1:12" x14ac:dyDescent="0.2">
      <c r="A5238" s="103"/>
      <c r="B5238" s="104"/>
      <c r="C5238" s="105"/>
      <c r="K5238" s="1"/>
      <c r="L5238" s="2"/>
    </row>
    <row r="5239" spans="1:12" x14ac:dyDescent="0.2">
      <c r="A5239" s="103"/>
      <c r="B5239" s="104"/>
      <c r="C5239" s="105"/>
      <c r="K5239" s="1"/>
      <c r="L5239" s="2"/>
    </row>
    <row r="5240" spans="1:12" x14ac:dyDescent="0.2">
      <c r="A5240" s="103"/>
      <c r="B5240" s="104"/>
      <c r="C5240" s="105"/>
      <c r="K5240" s="1"/>
      <c r="L5240" s="2"/>
    </row>
    <row r="5241" spans="1:12" x14ac:dyDescent="0.2">
      <c r="A5241" s="103"/>
      <c r="B5241" s="104"/>
      <c r="C5241" s="105"/>
      <c r="K5241" s="1"/>
      <c r="L5241" s="2"/>
    </row>
    <row r="5242" spans="1:12" x14ac:dyDescent="0.2">
      <c r="A5242" s="103"/>
      <c r="B5242" s="104"/>
      <c r="C5242" s="105"/>
      <c r="K5242" s="1"/>
      <c r="L5242" s="2"/>
    </row>
    <row r="5243" spans="1:12" x14ac:dyDescent="0.2">
      <c r="A5243" s="103"/>
      <c r="B5243" s="104"/>
      <c r="C5243" s="105"/>
      <c r="K5243" s="1"/>
      <c r="L5243" s="2"/>
    </row>
    <row r="5244" spans="1:12" x14ac:dyDescent="0.2">
      <c r="A5244" s="103"/>
      <c r="B5244" s="104"/>
      <c r="C5244" s="105"/>
      <c r="K5244" s="1"/>
      <c r="L5244" s="2"/>
    </row>
    <row r="5245" spans="1:12" x14ac:dyDescent="0.2">
      <c r="A5245" s="103"/>
      <c r="B5245" s="104"/>
      <c r="C5245" s="105"/>
      <c r="K5245" s="1"/>
      <c r="L5245" s="2"/>
    </row>
    <row r="5246" spans="1:12" x14ac:dyDescent="0.2">
      <c r="A5246" s="103"/>
      <c r="B5246" s="104"/>
      <c r="C5246" s="105"/>
      <c r="K5246" s="1"/>
      <c r="L5246" s="2"/>
    </row>
    <row r="5247" spans="1:12" x14ac:dyDescent="0.2">
      <c r="A5247" s="103"/>
      <c r="B5247" s="104"/>
      <c r="C5247" s="105"/>
      <c r="K5247" s="1"/>
      <c r="L5247" s="2"/>
    </row>
    <row r="5248" spans="1:12" x14ac:dyDescent="0.2">
      <c r="A5248" s="103"/>
      <c r="B5248" s="104"/>
      <c r="C5248" s="105"/>
      <c r="K5248" s="1"/>
      <c r="L5248" s="2"/>
    </row>
    <row r="5249" spans="1:12" x14ac:dyDescent="0.2">
      <c r="A5249" s="103"/>
      <c r="B5249" s="104"/>
      <c r="C5249" s="105"/>
      <c r="K5249" s="1"/>
      <c r="L5249" s="2"/>
    </row>
    <row r="5250" spans="1:12" x14ac:dyDescent="0.2">
      <c r="A5250" s="103"/>
      <c r="B5250" s="104"/>
      <c r="C5250" s="105"/>
      <c r="K5250" s="1"/>
      <c r="L5250" s="2"/>
    </row>
    <row r="5251" spans="1:12" x14ac:dyDescent="0.2">
      <c r="A5251" s="103"/>
      <c r="B5251" s="104"/>
      <c r="C5251" s="105"/>
      <c r="K5251" s="1"/>
      <c r="L5251" s="2"/>
    </row>
    <row r="5252" spans="1:12" x14ac:dyDescent="0.2">
      <c r="A5252" s="103"/>
      <c r="B5252" s="104"/>
      <c r="C5252" s="105"/>
      <c r="K5252" s="1"/>
      <c r="L5252" s="2"/>
    </row>
    <row r="5253" spans="1:12" x14ac:dyDescent="0.2">
      <c r="A5253" s="103"/>
      <c r="B5253" s="104"/>
      <c r="C5253" s="105"/>
      <c r="K5253" s="1"/>
      <c r="L5253" s="2"/>
    </row>
    <row r="5254" spans="1:12" x14ac:dyDescent="0.2">
      <c r="A5254" s="103"/>
      <c r="B5254" s="104"/>
      <c r="C5254" s="105"/>
      <c r="K5254" s="1"/>
      <c r="L5254" s="2"/>
    </row>
    <row r="5255" spans="1:12" x14ac:dyDescent="0.2">
      <c r="A5255" s="103"/>
      <c r="B5255" s="104"/>
      <c r="C5255" s="105"/>
      <c r="K5255" s="1"/>
      <c r="L5255" s="2"/>
    </row>
    <row r="5256" spans="1:12" x14ac:dyDescent="0.2">
      <c r="A5256" s="103"/>
      <c r="B5256" s="104"/>
      <c r="C5256" s="105"/>
      <c r="K5256" s="1"/>
      <c r="L5256" s="2"/>
    </row>
    <row r="5257" spans="1:12" x14ac:dyDescent="0.2">
      <c r="A5257" s="103"/>
      <c r="B5257" s="104"/>
      <c r="C5257" s="105"/>
      <c r="K5257" s="1"/>
      <c r="L5257" s="2"/>
    </row>
    <row r="5258" spans="1:12" x14ac:dyDescent="0.2">
      <c r="A5258" s="103"/>
      <c r="B5258" s="104"/>
      <c r="C5258" s="105"/>
      <c r="K5258" s="1"/>
      <c r="L5258" s="2"/>
    </row>
    <row r="5259" spans="1:12" x14ac:dyDescent="0.2">
      <c r="A5259" s="103"/>
      <c r="B5259" s="104"/>
      <c r="C5259" s="105"/>
      <c r="K5259" s="1"/>
      <c r="L5259" s="2"/>
    </row>
    <row r="5260" spans="1:12" x14ac:dyDescent="0.2">
      <c r="A5260" s="103"/>
      <c r="B5260" s="104"/>
      <c r="C5260" s="105"/>
      <c r="K5260" s="1"/>
      <c r="L5260" s="2"/>
    </row>
    <row r="5261" spans="1:12" x14ac:dyDescent="0.2">
      <c r="A5261" s="103"/>
      <c r="B5261" s="104"/>
      <c r="C5261" s="105"/>
      <c r="K5261" s="1"/>
      <c r="L5261" s="2"/>
    </row>
    <row r="5262" spans="1:12" x14ac:dyDescent="0.2">
      <c r="A5262" s="103"/>
      <c r="B5262" s="104"/>
      <c r="C5262" s="105"/>
      <c r="K5262" s="1"/>
      <c r="L5262" s="2"/>
    </row>
    <row r="5263" spans="1:12" x14ac:dyDescent="0.2">
      <c r="A5263" s="103"/>
      <c r="B5263" s="104"/>
      <c r="C5263" s="105"/>
      <c r="K5263" s="1"/>
      <c r="L5263" s="2"/>
    </row>
    <row r="5264" spans="1:12" x14ac:dyDescent="0.2">
      <c r="A5264" s="103"/>
      <c r="B5264" s="104"/>
      <c r="C5264" s="105"/>
      <c r="K5264" s="1"/>
      <c r="L5264" s="2"/>
    </row>
    <row r="5265" spans="1:12" x14ac:dyDescent="0.2">
      <c r="A5265" s="103"/>
      <c r="B5265" s="104"/>
      <c r="C5265" s="105"/>
      <c r="K5265" s="1"/>
      <c r="L5265" s="2"/>
    </row>
    <row r="5266" spans="1:12" x14ac:dyDescent="0.2">
      <c r="A5266" s="103"/>
      <c r="B5266" s="104"/>
      <c r="C5266" s="105"/>
      <c r="K5266" s="1"/>
      <c r="L5266" s="2"/>
    </row>
    <row r="5267" spans="1:12" x14ac:dyDescent="0.2">
      <c r="A5267" s="103"/>
      <c r="B5267" s="104"/>
      <c r="C5267" s="105"/>
      <c r="K5267" s="1"/>
      <c r="L5267" s="2"/>
    </row>
    <row r="5268" spans="1:12" x14ac:dyDescent="0.2">
      <c r="A5268" s="103"/>
      <c r="B5268" s="104"/>
      <c r="C5268" s="105"/>
      <c r="K5268" s="1"/>
      <c r="L5268" s="2"/>
    </row>
    <row r="5269" spans="1:12" x14ac:dyDescent="0.2">
      <c r="A5269" s="103"/>
      <c r="B5269" s="104"/>
      <c r="C5269" s="105"/>
      <c r="K5269" s="1"/>
      <c r="L5269" s="2"/>
    </row>
    <row r="5270" spans="1:12" x14ac:dyDescent="0.2">
      <c r="A5270" s="103"/>
      <c r="B5270" s="104"/>
      <c r="C5270" s="105"/>
      <c r="K5270" s="1"/>
      <c r="L5270" s="2"/>
    </row>
    <row r="5271" spans="1:12" x14ac:dyDescent="0.2">
      <c r="A5271" s="103"/>
      <c r="B5271" s="104"/>
      <c r="C5271" s="105"/>
      <c r="K5271" s="1"/>
      <c r="L5271" s="2"/>
    </row>
    <row r="5272" spans="1:12" x14ac:dyDescent="0.2">
      <c r="A5272" s="103"/>
      <c r="B5272" s="104"/>
      <c r="C5272" s="105"/>
      <c r="K5272" s="1"/>
      <c r="L5272" s="2"/>
    </row>
    <row r="5273" spans="1:12" x14ac:dyDescent="0.2">
      <c r="A5273" s="103"/>
      <c r="B5273" s="104"/>
      <c r="C5273" s="105"/>
      <c r="K5273" s="1"/>
      <c r="L5273" s="2"/>
    </row>
    <row r="5274" spans="1:12" x14ac:dyDescent="0.2">
      <c r="A5274" s="103"/>
      <c r="B5274" s="104"/>
      <c r="C5274" s="105"/>
      <c r="K5274" s="1"/>
      <c r="L5274" s="2"/>
    </row>
    <row r="5275" spans="1:12" x14ac:dyDescent="0.2">
      <c r="A5275" s="103"/>
      <c r="B5275" s="104"/>
      <c r="C5275" s="105"/>
      <c r="K5275" s="1"/>
      <c r="L5275" s="2"/>
    </row>
    <row r="5276" spans="1:12" x14ac:dyDescent="0.2">
      <c r="A5276" s="103"/>
      <c r="B5276" s="104"/>
      <c r="C5276" s="105"/>
      <c r="K5276" s="1"/>
      <c r="L5276" s="2"/>
    </row>
    <row r="5277" spans="1:12" x14ac:dyDescent="0.2">
      <c r="A5277" s="103"/>
      <c r="B5277" s="104"/>
      <c r="C5277" s="105"/>
      <c r="K5277" s="1"/>
      <c r="L5277" s="2"/>
    </row>
    <row r="5278" spans="1:12" x14ac:dyDescent="0.2">
      <c r="A5278" s="103"/>
      <c r="B5278" s="104"/>
      <c r="C5278" s="105"/>
      <c r="K5278" s="1"/>
      <c r="L5278" s="2"/>
    </row>
    <row r="5279" spans="1:12" x14ac:dyDescent="0.2">
      <c r="A5279" s="103"/>
      <c r="B5279" s="104"/>
      <c r="C5279" s="105"/>
      <c r="K5279" s="1"/>
      <c r="L5279" s="2"/>
    </row>
    <row r="5280" spans="1:12" x14ac:dyDescent="0.2">
      <c r="A5280" s="103"/>
      <c r="B5280" s="104"/>
      <c r="C5280" s="105"/>
      <c r="K5280" s="1"/>
      <c r="L5280" s="2"/>
    </row>
    <row r="5281" spans="1:12" x14ac:dyDescent="0.2">
      <c r="A5281" s="103"/>
      <c r="B5281" s="104"/>
      <c r="C5281" s="105"/>
      <c r="K5281" s="1"/>
      <c r="L5281" s="2"/>
    </row>
    <row r="5282" spans="1:12" x14ac:dyDescent="0.2">
      <c r="A5282" s="103"/>
      <c r="B5282" s="104"/>
      <c r="C5282" s="105"/>
      <c r="K5282" s="1"/>
      <c r="L5282" s="2"/>
    </row>
    <row r="5283" spans="1:12" x14ac:dyDescent="0.2">
      <c r="A5283" s="103"/>
      <c r="B5283" s="104"/>
      <c r="C5283" s="105"/>
      <c r="K5283" s="1"/>
      <c r="L5283" s="2"/>
    </row>
    <row r="5284" spans="1:12" x14ac:dyDescent="0.2">
      <c r="A5284" s="103"/>
      <c r="B5284" s="104"/>
      <c r="C5284" s="105"/>
      <c r="K5284" s="1"/>
      <c r="L5284" s="2"/>
    </row>
    <row r="5285" spans="1:12" x14ac:dyDescent="0.2">
      <c r="A5285" s="103"/>
      <c r="B5285" s="104"/>
      <c r="C5285" s="105"/>
      <c r="K5285" s="1"/>
      <c r="L5285" s="2"/>
    </row>
    <row r="5286" spans="1:12" x14ac:dyDescent="0.2">
      <c r="A5286" s="103"/>
      <c r="B5286" s="104"/>
      <c r="C5286" s="105"/>
      <c r="K5286" s="1"/>
      <c r="L5286" s="2"/>
    </row>
    <row r="5287" spans="1:12" x14ac:dyDescent="0.2">
      <c r="A5287" s="103"/>
      <c r="B5287" s="104"/>
      <c r="C5287" s="105"/>
      <c r="K5287" s="1"/>
      <c r="L5287" s="2"/>
    </row>
    <row r="5288" spans="1:12" x14ac:dyDescent="0.2">
      <c r="A5288" s="103"/>
      <c r="B5288" s="104"/>
      <c r="C5288" s="105"/>
      <c r="K5288" s="1"/>
      <c r="L5288" s="2"/>
    </row>
    <row r="5289" spans="1:12" x14ac:dyDescent="0.2">
      <c r="A5289" s="103"/>
      <c r="B5289" s="104"/>
      <c r="C5289" s="105"/>
      <c r="K5289" s="1"/>
      <c r="L5289" s="2"/>
    </row>
    <row r="5290" spans="1:12" x14ac:dyDescent="0.2">
      <c r="A5290" s="103"/>
      <c r="B5290" s="104"/>
      <c r="C5290" s="105"/>
      <c r="K5290" s="1"/>
      <c r="L5290" s="2"/>
    </row>
    <row r="5291" spans="1:12" x14ac:dyDescent="0.2">
      <c r="A5291" s="103"/>
      <c r="B5291" s="104"/>
      <c r="C5291" s="105"/>
      <c r="K5291" s="1"/>
      <c r="L5291" s="2"/>
    </row>
    <row r="5292" spans="1:12" x14ac:dyDescent="0.2">
      <c r="A5292" s="103"/>
      <c r="B5292" s="104"/>
      <c r="C5292" s="105"/>
      <c r="K5292" s="1"/>
      <c r="L5292" s="2"/>
    </row>
    <row r="5293" spans="1:12" x14ac:dyDescent="0.2">
      <c r="A5293" s="103"/>
      <c r="B5293" s="104"/>
      <c r="C5293" s="105"/>
      <c r="K5293" s="1"/>
      <c r="L5293" s="2"/>
    </row>
    <row r="5294" spans="1:12" x14ac:dyDescent="0.2">
      <c r="A5294" s="103"/>
      <c r="B5294" s="104"/>
      <c r="C5294" s="105"/>
      <c r="K5294" s="1"/>
      <c r="L5294" s="2"/>
    </row>
    <row r="5295" spans="1:12" x14ac:dyDescent="0.2">
      <c r="A5295" s="103"/>
      <c r="B5295" s="104"/>
      <c r="C5295" s="105"/>
      <c r="K5295" s="1"/>
      <c r="L5295" s="2"/>
    </row>
    <row r="5296" spans="1:12" x14ac:dyDescent="0.2">
      <c r="A5296" s="103"/>
      <c r="B5296" s="104"/>
      <c r="C5296" s="105"/>
      <c r="K5296" s="1"/>
      <c r="L5296" s="2"/>
    </row>
    <row r="5297" spans="1:12" x14ac:dyDescent="0.2">
      <c r="A5297" s="103"/>
      <c r="B5297" s="104"/>
      <c r="C5297" s="105"/>
      <c r="K5297" s="1"/>
      <c r="L5297" s="2"/>
    </row>
    <row r="5298" spans="1:12" x14ac:dyDescent="0.2">
      <c r="A5298" s="103"/>
      <c r="B5298" s="104"/>
      <c r="C5298" s="105"/>
      <c r="K5298" s="1"/>
      <c r="L5298" s="2"/>
    </row>
    <row r="5299" spans="1:12" x14ac:dyDescent="0.2">
      <c r="A5299" s="103"/>
      <c r="B5299" s="104"/>
      <c r="C5299" s="105"/>
      <c r="K5299" s="1"/>
      <c r="L5299" s="2"/>
    </row>
    <row r="5300" spans="1:12" x14ac:dyDescent="0.2">
      <c r="A5300" s="103"/>
      <c r="B5300" s="104"/>
      <c r="C5300" s="105"/>
      <c r="K5300" s="1"/>
      <c r="L5300" s="2"/>
    </row>
    <row r="5301" spans="1:12" x14ac:dyDescent="0.2">
      <c r="A5301" s="103"/>
      <c r="B5301" s="104"/>
      <c r="C5301" s="105"/>
      <c r="K5301" s="1"/>
      <c r="L5301" s="2"/>
    </row>
    <row r="5302" spans="1:12" x14ac:dyDescent="0.2">
      <c r="A5302" s="103"/>
      <c r="B5302" s="104"/>
      <c r="C5302" s="105"/>
      <c r="K5302" s="1"/>
      <c r="L5302" s="2"/>
    </row>
    <row r="5303" spans="1:12" x14ac:dyDescent="0.2">
      <c r="A5303" s="103"/>
      <c r="B5303" s="104"/>
      <c r="C5303" s="105"/>
      <c r="K5303" s="1"/>
      <c r="L5303" s="2"/>
    </row>
    <row r="5304" spans="1:12" x14ac:dyDescent="0.2">
      <c r="A5304" s="103"/>
      <c r="B5304" s="104"/>
      <c r="C5304" s="105"/>
      <c r="K5304" s="1"/>
      <c r="L5304" s="2"/>
    </row>
    <row r="5305" spans="1:12" x14ac:dyDescent="0.2">
      <c r="A5305" s="103"/>
      <c r="B5305" s="104"/>
      <c r="C5305" s="105"/>
      <c r="K5305" s="1"/>
      <c r="L5305" s="2"/>
    </row>
    <row r="5306" spans="1:12" x14ac:dyDescent="0.2">
      <c r="A5306" s="103"/>
      <c r="B5306" s="104"/>
      <c r="C5306" s="105"/>
      <c r="K5306" s="1"/>
      <c r="L5306" s="2"/>
    </row>
    <row r="5307" spans="1:12" x14ac:dyDescent="0.2">
      <c r="A5307" s="103"/>
      <c r="B5307" s="104"/>
      <c r="C5307" s="105"/>
      <c r="K5307" s="1"/>
      <c r="L5307" s="2"/>
    </row>
    <row r="5308" spans="1:12" x14ac:dyDescent="0.2">
      <c r="A5308" s="103"/>
      <c r="B5308" s="104"/>
      <c r="C5308" s="105"/>
      <c r="K5308" s="1"/>
      <c r="L5308" s="2"/>
    </row>
    <row r="5309" spans="1:12" x14ac:dyDescent="0.2">
      <c r="A5309" s="103"/>
      <c r="B5309" s="104"/>
      <c r="C5309" s="105"/>
      <c r="K5309" s="1"/>
      <c r="L5309" s="2"/>
    </row>
    <row r="5310" spans="1:12" x14ac:dyDescent="0.2">
      <c r="A5310" s="103"/>
      <c r="B5310" s="104"/>
      <c r="C5310" s="105"/>
      <c r="K5310" s="1"/>
      <c r="L5310" s="2"/>
    </row>
    <row r="5311" spans="1:12" x14ac:dyDescent="0.2">
      <c r="A5311" s="103"/>
      <c r="B5311" s="104"/>
      <c r="C5311" s="105"/>
      <c r="K5311" s="1"/>
      <c r="L5311" s="2"/>
    </row>
    <row r="5312" spans="1:12" x14ac:dyDescent="0.2">
      <c r="A5312" s="103"/>
      <c r="B5312" s="104"/>
      <c r="C5312" s="105"/>
      <c r="K5312" s="1"/>
      <c r="L5312" s="2"/>
    </row>
    <row r="5313" spans="1:12" x14ac:dyDescent="0.2">
      <c r="A5313" s="103"/>
      <c r="B5313" s="104"/>
      <c r="C5313" s="105"/>
      <c r="K5313" s="1"/>
      <c r="L5313" s="2"/>
    </row>
    <row r="5314" spans="1:12" x14ac:dyDescent="0.2">
      <c r="A5314" s="103"/>
      <c r="B5314" s="104"/>
      <c r="C5314" s="105"/>
      <c r="K5314" s="1"/>
      <c r="L5314" s="2"/>
    </row>
    <row r="5315" spans="1:12" x14ac:dyDescent="0.2">
      <c r="A5315" s="103"/>
      <c r="B5315" s="104"/>
      <c r="C5315" s="105"/>
      <c r="K5315" s="1"/>
      <c r="L5315" s="2"/>
    </row>
    <row r="5316" spans="1:12" x14ac:dyDescent="0.2">
      <c r="A5316" s="103"/>
      <c r="B5316" s="104"/>
      <c r="C5316" s="105"/>
      <c r="K5316" s="1"/>
      <c r="L5316" s="2"/>
    </row>
    <row r="5317" spans="1:12" x14ac:dyDescent="0.2">
      <c r="A5317" s="103"/>
      <c r="B5317" s="104"/>
      <c r="C5317" s="105"/>
      <c r="K5317" s="1"/>
      <c r="L5317" s="2"/>
    </row>
    <row r="5318" spans="1:12" x14ac:dyDescent="0.2">
      <c r="A5318" s="103"/>
      <c r="B5318" s="104"/>
      <c r="C5318" s="105"/>
      <c r="K5318" s="1"/>
      <c r="L5318" s="2"/>
    </row>
    <row r="5319" spans="1:12" x14ac:dyDescent="0.2">
      <c r="A5319" s="103"/>
      <c r="B5319" s="104"/>
      <c r="C5319" s="105"/>
      <c r="K5319" s="1"/>
      <c r="L5319" s="2"/>
    </row>
    <row r="5320" spans="1:12" x14ac:dyDescent="0.2">
      <c r="A5320" s="103"/>
      <c r="B5320" s="104"/>
      <c r="C5320" s="105"/>
      <c r="K5320" s="1"/>
      <c r="L5320" s="2"/>
    </row>
    <row r="5321" spans="1:12" x14ac:dyDescent="0.2">
      <c r="A5321" s="103"/>
      <c r="B5321" s="104"/>
      <c r="C5321" s="105"/>
      <c r="K5321" s="1"/>
      <c r="L5321" s="2"/>
    </row>
    <row r="5322" spans="1:12" x14ac:dyDescent="0.2">
      <c r="A5322" s="103"/>
      <c r="B5322" s="104"/>
      <c r="C5322" s="105"/>
      <c r="K5322" s="1"/>
      <c r="L5322" s="2"/>
    </row>
    <row r="5323" spans="1:12" x14ac:dyDescent="0.2">
      <c r="A5323" s="103"/>
      <c r="B5323" s="104"/>
      <c r="C5323" s="105"/>
      <c r="K5323" s="1"/>
      <c r="L5323" s="2"/>
    </row>
    <row r="5324" spans="1:12" x14ac:dyDescent="0.2">
      <c r="A5324" s="103"/>
      <c r="B5324" s="104"/>
      <c r="C5324" s="105"/>
      <c r="K5324" s="1"/>
      <c r="L5324" s="2"/>
    </row>
    <row r="5325" spans="1:12" x14ac:dyDescent="0.2">
      <c r="A5325" s="103"/>
      <c r="B5325" s="104"/>
      <c r="C5325" s="105"/>
      <c r="K5325" s="1"/>
      <c r="L5325" s="2"/>
    </row>
    <row r="5326" spans="1:12" x14ac:dyDescent="0.2">
      <c r="A5326" s="103"/>
      <c r="B5326" s="104"/>
      <c r="C5326" s="105"/>
      <c r="K5326" s="1"/>
      <c r="L5326" s="2"/>
    </row>
    <row r="5327" spans="1:12" x14ac:dyDescent="0.2">
      <c r="A5327" s="103"/>
      <c r="B5327" s="104"/>
      <c r="C5327" s="105"/>
      <c r="K5327" s="1"/>
      <c r="L5327" s="2"/>
    </row>
    <row r="5328" spans="1:12" x14ac:dyDescent="0.2">
      <c r="A5328" s="103"/>
      <c r="B5328" s="104"/>
      <c r="C5328" s="105"/>
      <c r="K5328" s="1"/>
      <c r="L5328" s="2"/>
    </row>
    <row r="5329" spans="1:12" x14ac:dyDescent="0.2">
      <c r="A5329" s="103"/>
      <c r="B5329" s="104"/>
      <c r="C5329" s="105"/>
      <c r="K5329" s="1"/>
      <c r="L5329" s="2"/>
    </row>
    <row r="5330" spans="1:12" x14ac:dyDescent="0.2">
      <c r="A5330" s="103"/>
      <c r="B5330" s="104"/>
      <c r="C5330" s="105"/>
      <c r="K5330" s="1"/>
      <c r="L5330" s="2"/>
    </row>
    <row r="5331" spans="1:12" x14ac:dyDescent="0.2">
      <c r="A5331" s="103"/>
      <c r="B5331" s="104"/>
      <c r="C5331" s="105"/>
      <c r="K5331" s="1"/>
      <c r="L5331" s="2"/>
    </row>
    <row r="5332" spans="1:12" x14ac:dyDescent="0.2">
      <c r="A5332" s="103"/>
      <c r="B5332" s="104"/>
      <c r="C5332" s="105"/>
      <c r="K5332" s="1"/>
      <c r="L5332" s="2"/>
    </row>
    <row r="5333" spans="1:12" x14ac:dyDescent="0.2">
      <c r="A5333" s="103"/>
      <c r="B5333" s="104"/>
      <c r="C5333" s="105"/>
      <c r="K5333" s="1"/>
      <c r="L5333" s="2"/>
    </row>
    <row r="5334" spans="1:12" x14ac:dyDescent="0.2">
      <c r="A5334" s="103"/>
      <c r="B5334" s="104"/>
      <c r="C5334" s="105"/>
      <c r="K5334" s="1"/>
      <c r="L5334" s="2"/>
    </row>
    <row r="5335" spans="1:12" x14ac:dyDescent="0.2">
      <c r="A5335" s="103"/>
      <c r="B5335" s="104"/>
      <c r="C5335" s="105"/>
      <c r="K5335" s="1"/>
      <c r="L5335" s="2"/>
    </row>
    <row r="5336" spans="1:12" x14ac:dyDescent="0.2">
      <c r="A5336" s="103"/>
      <c r="B5336" s="104"/>
      <c r="C5336" s="105"/>
      <c r="K5336" s="1"/>
      <c r="L5336" s="2"/>
    </row>
    <row r="5337" spans="1:12" x14ac:dyDescent="0.2">
      <c r="A5337" s="103"/>
      <c r="B5337" s="104"/>
      <c r="C5337" s="105"/>
      <c r="K5337" s="1"/>
      <c r="L5337" s="2"/>
    </row>
    <row r="5338" spans="1:12" x14ac:dyDescent="0.2">
      <c r="A5338" s="103"/>
      <c r="B5338" s="104"/>
      <c r="C5338" s="105"/>
      <c r="K5338" s="1"/>
      <c r="L5338" s="2"/>
    </row>
    <row r="5339" spans="1:12" x14ac:dyDescent="0.2">
      <c r="A5339" s="103"/>
      <c r="B5339" s="104"/>
      <c r="C5339" s="105"/>
      <c r="K5339" s="1"/>
      <c r="L5339" s="2"/>
    </row>
    <row r="5340" spans="1:12" x14ac:dyDescent="0.2">
      <c r="A5340" s="103"/>
      <c r="B5340" s="104"/>
      <c r="C5340" s="105"/>
      <c r="K5340" s="1"/>
      <c r="L5340" s="2"/>
    </row>
    <row r="5341" spans="1:12" x14ac:dyDescent="0.2">
      <c r="A5341" s="103"/>
      <c r="B5341" s="104"/>
      <c r="C5341" s="105"/>
      <c r="K5341" s="1"/>
      <c r="L5341" s="2"/>
    </row>
    <row r="5342" spans="1:12" x14ac:dyDescent="0.2">
      <c r="A5342" s="103"/>
      <c r="B5342" s="104"/>
      <c r="C5342" s="105"/>
      <c r="K5342" s="1"/>
      <c r="L5342" s="2"/>
    </row>
    <row r="5343" spans="1:12" x14ac:dyDescent="0.2">
      <c r="A5343" s="103"/>
      <c r="B5343" s="104"/>
      <c r="C5343" s="105"/>
      <c r="K5343" s="1"/>
      <c r="L5343" s="2"/>
    </row>
    <row r="5344" spans="1:12" x14ac:dyDescent="0.2">
      <c r="A5344" s="103"/>
      <c r="B5344" s="104"/>
      <c r="C5344" s="105"/>
      <c r="K5344" s="1"/>
      <c r="L5344" s="2"/>
    </row>
    <row r="5345" spans="1:12" x14ac:dyDescent="0.2">
      <c r="A5345" s="103"/>
      <c r="B5345" s="104"/>
      <c r="C5345" s="105"/>
      <c r="K5345" s="1"/>
      <c r="L5345" s="2"/>
    </row>
    <row r="5346" spans="1:12" x14ac:dyDescent="0.2">
      <c r="A5346" s="103"/>
      <c r="B5346" s="104"/>
      <c r="C5346" s="105"/>
      <c r="K5346" s="1"/>
      <c r="L5346" s="2"/>
    </row>
    <row r="5347" spans="1:12" x14ac:dyDescent="0.2">
      <c r="A5347" s="103"/>
      <c r="B5347" s="104"/>
      <c r="C5347" s="105"/>
      <c r="K5347" s="1"/>
      <c r="L5347" s="2"/>
    </row>
    <row r="5348" spans="1:12" x14ac:dyDescent="0.2">
      <c r="A5348" s="103"/>
      <c r="B5348" s="104"/>
      <c r="C5348" s="105"/>
      <c r="K5348" s="1"/>
      <c r="L5348" s="2"/>
    </row>
    <row r="5349" spans="1:12" x14ac:dyDescent="0.2">
      <c r="A5349" s="103"/>
      <c r="B5349" s="104"/>
      <c r="C5349" s="105"/>
      <c r="K5349" s="1"/>
      <c r="L5349" s="2"/>
    </row>
    <row r="5350" spans="1:12" x14ac:dyDescent="0.2">
      <c r="A5350" s="103"/>
      <c r="B5350" s="104"/>
      <c r="C5350" s="105"/>
      <c r="K5350" s="1"/>
      <c r="L5350" s="2"/>
    </row>
    <row r="5351" spans="1:12" x14ac:dyDescent="0.2">
      <c r="A5351" s="103"/>
      <c r="B5351" s="104"/>
      <c r="C5351" s="105"/>
      <c r="K5351" s="1"/>
      <c r="L5351" s="2"/>
    </row>
    <row r="5352" spans="1:12" x14ac:dyDescent="0.2">
      <c r="A5352" s="103"/>
      <c r="B5352" s="104"/>
      <c r="C5352" s="105"/>
      <c r="K5352" s="1"/>
      <c r="L5352" s="2"/>
    </row>
    <row r="5353" spans="1:12" x14ac:dyDescent="0.2">
      <c r="A5353" s="103"/>
      <c r="B5353" s="104"/>
      <c r="C5353" s="105"/>
      <c r="K5353" s="1"/>
      <c r="L5353" s="2"/>
    </row>
    <row r="5354" spans="1:12" x14ac:dyDescent="0.2">
      <c r="A5354" s="103"/>
      <c r="B5354" s="104"/>
      <c r="C5354" s="105"/>
      <c r="K5354" s="1"/>
      <c r="L5354" s="2"/>
    </row>
    <row r="5355" spans="1:12" x14ac:dyDescent="0.2">
      <c r="A5355" s="103"/>
      <c r="B5355" s="104"/>
      <c r="C5355" s="105"/>
      <c r="K5355" s="1"/>
      <c r="L5355" s="2"/>
    </row>
    <row r="5356" spans="1:12" x14ac:dyDescent="0.2">
      <c r="A5356" s="103"/>
      <c r="B5356" s="104"/>
      <c r="C5356" s="105"/>
      <c r="K5356" s="1"/>
      <c r="L5356" s="2"/>
    </row>
    <row r="5357" spans="1:12" x14ac:dyDescent="0.2">
      <c r="A5357" s="103"/>
      <c r="B5357" s="104"/>
      <c r="C5357" s="105"/>
      <c r="K5357" s="1"/>
      <c r="L5357" s="2"/>
    </row>
    <row r="5358" spans="1:12" x14ac:dyDescent="0.2">
      <c r="A5358" s="103"/>
      <c r="B5358" s="104"/>
      <c r="C5358" s="105"/>
      <c r="K5358" s="1"/>
      <c r="L5358" s="2"/>
    </row>
    <row r="5359" spans="1:12" x14ac:dyDescent="0.2">
      <c r="A5359" s="103"/>
      <c r="B5359" s="104"/>
      <c r="C5359" s="105"/>
      <c r="K5359" s="1"/>
      <c r="L5359" s="2"/>
    </row>
    <row r="5360" spans="1:12" x14ac:dyDescent="0.2">
      <c r="A5360" s="103"/>
      <c r="B5360" s="104"/>
      <c r="C5360" s="105"/>
      <c r="K5360" s="1"/>
      <c r="L5360" s="2"/>
    </row>
    <row r="5361" spans="1:12" x14ac:dyDescent="0.2">
      <c r="A5361" s="103"/>
      <c r="B5361" s="104"/>
      <c r="C5361" s="105"/>
      <c r="K5361" s="1"/>
      <c r="L5361" s="2"/>
    </row>
    <row r="5362" spans="1:12" x14ac:dyDescent="0.2">
      <c r="A5362" s="103"/>
      <c r="B5362" s="104"/>
      <c r="C5362" s="105"/>
      <c r="K5362" s="1"/>
      <c r="L5362" s="2"/>
    </row>
    <row r="5363" spans="1:12" x14ac:dyDescent="0.2">
      <c r="A5363" s="103"/>
      <c r="B5363" s="104"/>
      <c r="C5363" s="105"/>
      <c r="K5363" s="1"/>
      <c r="L5363" s="2"/>
    </row>
    <row r="5364" spans="1:12" x14ac:dyDescent="0.2">
      <c r="A5364" s="103"/>
      <c r="B5364" s="104"/>
      <c r="C5364" s="105"/>
      <c r="K5364" s="1"/>
      <c r="L5364" s="2"/>
    </row>
    <row r="5365" spans="1:12" x14ac:dyDescent="0.2">
      <c r="A5365" s="103"/>
      <c r="B5365" s="104"/>
      <c r="C5365" s="105"/>
      <c r="K5365" s="1"/>
      <c r="L5365" s="2"/>
    </row>
    <row r="5366" spans="1:12" x14ac:dyDescent="0.2">
      <c r="A5366" s="103"/>
      <c r="B5366" s="104"/>
      <c r="C5366" s="105"/>
      <c r="K5366" s="1"/>
      <c r="L5366" s="2"/>
    </row>
    <row r="5367" spans="1:12" x14ac:dyDescent="0.2">
      <c r="A5367" s="103"/>
      <c r="B5367" s="104"/>
      <c r="C5367" s="105"/>
      <c r="K5367" s="1"/>
      <c r="L5367" s="2"/>
    </row>
    <row r="5368" spans="1:12" x14ac:dyDescent="0.2">
      <c r="A5368" s="103"/>
      <c r="B5368" s="104"/>
      <c r="C5368" s="105"/>
      <c r="K5368" s="1"/>
      <c r="L5368" s="2"/>
    </row>
    <row r="5369" spans="1:12" x14ac:dyDescent="0.2">
      <c r="A5369" s="103"/>
      <c r="B5369" s="104"/>
      <c r="C5369" s="105"/>
      <c r="K5369" s="1"/>
      <c r="L5369" s="2"/>
    </row>
    <row r="5370" spans="1:12" x14ac:dyDescent="0.2">
      <c r="A5370" s="103"/>
      <c r="B5370" s="104"/>
      <c r="C5370" s="105"/>
      <c r="K5370" s="1"/>
      <c r="L5370" s="2"/>
    </row>
    <row r="5371" spans="1:12" x14ac:dyDescent="0.2">
      <c r="A5371" s="103"/>
      <c r="B5371" s="104"/>
      <c r="C5371" s="105"/>
      <c r="K5371" s="1"/>
      <c r="L5371" s="2"/>
    </row>
    <row r="5372" spans="1:12" x14ac:dyDescent="0.2">
      <c r="A5372" s="103"/>
      <c r="B5372" s="104"/>
      <c r="C5372" s="105"/>
      <c r="K5372" s="1"/>
      <c r="L5372" s="2"/>
    </row>
    <row r="5373" spans="1:12" x14ac:dyDescent="0.2">
      <c r="A5373" s="103"/>
      <c r="B5373" s="104"/>
      <c r="C5373" s="105"/>
      <c r="K5373" s="1"/>
      <c r="L5373" s="2"/>
    </row>
    <row r="5374" spans="1:12" x14ac:dyDescent="0.2">
      <c r="A5374" s="103"/>
      <c r="B5374" s="104"/>
      <c r="C5374" s="105"/>
      <c r="K5374" s="1"/>
      <c r="L5374" s="2"/>
    </row>
    <row r="5375" spans="1:12" x14ac:dyDescent="0.2">
      <c r="A5375" s="103"/>
      <c r="B5375" s="104"/>
      <c r="C5375" s="105"/>
      <c r="K5375" s="1"/>
      <c r="L5375" s="2"/>
    </row>
    <row r="5376" spans="1:12" x14ac:dyDescent="0.2">
      <c r="A5376" s="103"/>
      <c r="B5376" s="104"/>
      <c r="C5376" s="105"/>
      <c r="K5376" s="1"/>
      <c r="L5376" s="2"/>
    </row>
    <row r="5377" spans="1:12" x14ac:dyDescent="0.2">
      <c r="A5377" s="103"/>
      <c r="B5377" s="104"/>
      <c r="C5377" s="105"/>
      <c r="K5377" s="1"/>
      <c r="L5377" s="2"/>
    </row>
    <row r="5378" spans="1:12" x14ac:dyDescent="0.2">
      <c r="A5378" s="103"/>
      <c r="B5378" s="104"/>
      <c r="C5378" s="105"/>
      <c r="K5378" s="1"/>
      <c r="L5378" s="2"/>
    </row>
    <row r="5379" spans="1:12" x14ac:dyDescent="0.2">
      <c r="A5379" s="103"/>
      <c r="B5379" s="104"/>
      <c r="C5379" s="105"/>
      <c r="K5379" s="1"/>
      <c r="L5379" s="2"/>
    </row>
    <row r="5380" spans="1:12" x14ac:dyDescent="0.2">
      <c r="A5380" s="103"/>
      <c r="B5380" s="104"/>
      <c r="C5380" s="105"/>
      <c r="K5380" s="1"/>
      <c r="L5380" s="2"/>
    </row>
    <row r="5381" spans="1:12" x14ac:dyDescent="0.2">
      <c r="A5381" s="103"/>
      <c r="B5381" s="104"/>
      <c r="C5381" s="105"/>
      <c r="K5381" s="1"/>
      <c r="L5381" s="2"/>
    </row>
    <row r="5382" spans="1:12" x14ac:dyDescent="0.2">
      <c r="A5382" s="103"/>
      <c r="B5382" s="104"/>
      <c r="C5382" s="105"/>
      <c r="K5382" s="1"/>
      <c r="L5382" s="2"/>
    </row>
    <row r="5383" spans="1:12" x14ac:dyDescent="0.2">
      <c r="A5383" s="103"/>
      <c r="B5383" s="104"/>
      <c r="C5383" s="105"/>
      <c r="K5383" s="1"/>
      <c r="L5383" s="2"/>
    </row>
    <row r="5384" spans="1:12" x14ac:dyDescent="0.2">
      <c r="A5384" s="103"/>
      <c r="B5384" s="104"/>
      <c r="C5384" s="105"/>
      <c r="K5384" s="1"/>
      <c r="L5384" s="2"/>
    </row>
    <row r="5385" spans="1:12" x14ac:dyDescent="0.2">
      <c r="A5385" s="103"/>
      <c r="B5385" s="104"/>
      <c r="C5385" s="105"/>
      <c r="K5385" s="1"/>
      <c r="L5385" s="2"/>
    </row>
    <row r="5386" spans="1:12" x14ac:dyDescent="0.2">
      <c r="A5386" s="103"/>
      <c r="B5386" s="104"/>
      <c r="C5386" s="105"/>
      <c r="K5386" s="1"/>
      <c r="L5386" s="2"/>
    </row>
    <row r="5387" spans="1:12" x14ac:dyDescent="0.2">
      <c r="A5387" s="103"/>
      <c r="B5387" s="104"/>
      <c r="C5387" s="105"/>
      <c r="K5387" s="1"/>
      <c r="L5387" s="2"/>
    </row>
    <row r="5388" spans="1:12" x14ac:dyDescent="0.2">
      <c r="A5388" s="103"/>
      <c r="B5388" s="104"/>
      <c r="C5388" s="105"/>
      <c r="K5388" s="1"/>
      <c r="L5388" s="2"/>
    </row>
    <row r="5389" spans="1:12" x14ac:dyDescent="0.2">
      <c r="A5389" s="103"/>
      <c r="B5389" s="104"/>
      <c r="C5389" s="105"/>
      <c r="K5389" s="1"/>
      <c r="L5389" s="2"/>
    </row>
    <row r="5390" spans="1:12" x14ac:dyDescent="0.2">
      <c r="A5390" s="103"/>
      <c r="B5390" s="104"/>
      <c r="C5390" s="105"/>
      <c r="K5390" s="1"/>
      <c r="L5390" s="2"/>
    </row>
    <row r="5391" spans="1:12" x14ac:dyDescent="0.2">
      <c r="A5391" s="103"/>
      <c r="B5391" s="104"/>
      <c r="C5391" s="105"/>
      <c r="K5391" s="1"/>
      <c r="L5391" s="2"/>
    </row>
    <row r="5392" spans="1:12" x14ac:dyDescent="0.2">
      <c r="A5392" s="103"/>
      <c r="B5392" s="104"/>
      <c r="C5392" s="105"/>
      <c r="K5392" s="1"/>
      <c r="L5392" s="2"/>
    </row>
    <row r="5393" spans="1:12" x14ac:dyDescent="0.2">
      <c r="A5393" s="103"/>
      <c r="B5393" s="104"/>
      <c r="C5393" s="105"/>
      <c r="K5393" s="1"/>
      <c r="L5393" s="2"/>
    </row>
    <row r="5394" spans="1:12" x14ac:dyDescent="0.2">
      <c r="A5394" s="103"/>
      <c r="B5394" s="104"/>
      <c r="C5394" s="105"/>
      <c r="K5394" s="1"/>
      <c r="L5394" s="2"/>
    </row>
    <row r="5395" spans="1:12" x14ac:dyDescent="0.2">
      <c r="A5395" s="103"/>
      <c r="B5395" s="104"/>
      <c r="C5395" s="105"/>
      <c r="K5395" s="1"/>
      <c r="L5395" s="2"/>
    </row>
    <row r="5396" spans="1:12" x14ac:dyDescent="0.2">
      <c r="A5396" s="103"/>
      <c r="B5396" s="104"/>
      <c r="C5396" s="105"/>
      <c r="K5396" s="1"/>
      <c r="L5396" s="2"/>
    </row>
    <row r="5397" spans="1:12" x14ac:dyDescent="0.2">
      <c r="A5397" s="103"/>
      <c r="B5397" s="104"/>
      <c r="C5397" s="105"/>
      <c r="K5397" s="1"/>
      <c r="L5397" s="2"/>
    </row>
    <row r="5398" spans="1:12" x14ac:dyDescent="0.2">
      <c r="A5398" s="103"/>
      <c r="B5398" s="104"/>
      <c r="C5398" s="105"/>
      <c r="K5398" s="1"/>
      <c r="L5398" s="2"/>
    </row>
    <row r="5399" spans="1:12" x14ac:dyDescent="0.2">
      <c r="A5399" s="103"/>
      <c r="B5399" s="104"/>
      <c r="C5399" s="105"/>
      <c r="K5399" s="1"/>
      <c r="L5399" s="2"/>
    </row>
    <row r="5400" spans="1:12" x14ac:dyDescent="0.2">
      <c r="A5400" s="103"/>
      <c r="B5400" s="104"/>
      <c r="C5400" s="105"/>
      <c r="K5400" s="1"/>
      <c r="L5400" s="2"/>
    </row>
    <row r="5401" spans="1:12" x14ac:dyDescent="0.2">
      <c r="A5401" s="103"/>
      <c r="B5401" s="104"/>
      <c r="C5401" s="105"/>
      <c r="K5401" s="1"/>
      <c r="L5401" s="2"/>
    </row>
    <row r="5402" spans="1:12" x14ac:dyDescent="0.2">
      <c r="A5402" s="103"/>
      <c r="B5402" s="104"/>
      <c r="C5402" s="105"/>
      <c r="K5402" s="1"/>
      <c r="L5402" s="2"/>
    </row>
    <row r="5403" spans="1:12" x14ac:dyDescent="0.2">
      <c r="A5403" s="103"/>
      <c r="B5403" s="104"/>
      <c r="C5403" s="105"/>
      <c r="K5403" s="1"/>
      <c r="L5403" s="2"/>
    </row>
    <row r="5404" spans="1:12" x14ac:dyDescent="0.2">
      <c r="A5404" s="103"/>
      <c r="B5404" s="104"/>
      <c r="C5404" s="105"/>
      <c r="K5404" s="1"/>
      <c r="L5404" s="2"/>
    </row>
    <row r="5405" spans="1:12" x14ac:dyDescent="0.2">
      <c r="A5405" s="103"/>
      <c r="B5405" s="104"/>
      <c r="C5405" s="105"/>
      <c r="K5405" s="1"/>
      <c r="L5405" s="2"/>
    </row>
    <row r="5406" spans="1:12" x14ac:dyDescent="0.2">
      <c r="A5406" s="103"/>
      <c r="B5406" s="104"/>
      <c r="C5406" s="105"/>
      <c r="K5406" s="1"/>
      <c r="L5406" s="2"/>
    </row>
    <row r="5407" spans="1:12" x14ac:dyDescent="0.2">
      <c r="A5407" s="103"/>
      <c r="B5407" s="104"/>
      <c r="C5407" s="105"/>
      <c r="K5407" s="1"/>
      <c r="L5407" s="2"/>
    </row>
    <row r="5408" spans="1:12" x14ac:dyDescent="0.2">
      <c r="A5408" s="103"/>
      <c r="B5408" s="104"/>
      <c r="C5408" s="105"/>
      <c r="K5408" s="1"/>
      <c r="L5408" s="2"/>
    </row>
    <row r="5409" spans="1:12" x14ac:dyDescent="0.2">
      <c r="A5409" s="103"/>
      <c r="B5409" s="104"/>
      <c r="C5409" s="105"/>
      <c r="K5409" s="1"/>
      <c r="L5409" s="2"/>
    </row>
    <row r="5410" spans="1:12" x14ac:dyDescent="0.2">
      <c r="A5410" s="103"/>
      <c r="B5410" s="104"/>
      <c r="C5410" s="105"/>
      <c r="K5410" s="1"/>
      <c r="L5410" s="2"/>
    </row>
    <row r="5411" spans="1:12" x14ac:dyDescent="0.2">
      <c r="A5411" s="103"/>
      <c r="B5411" s="104"/>
      <c r="C5411" s="105"/>
      <c r="K5411" s="1"/>
      <c r="L5411" s="2"/>
    </row>
    <row r="5412" spans="1:12" x14ac:dyDescent="0.2">
      <c r="A5412" s="103"/>
      <c r="B5412" s="104"/>
      <c r="C5412" s="105"/>
      <c r="K5412" s="1"/>
      <c r="L5412" s="2"/>
    </row>
    <row r="5413" spans="1:12" x14ac:dyDescent="0.2">
      <c r="A5413" s="103"/>
      <c r="B5413" s="104"/>
      <c r="C5413" s="105"/>
      <c r="K5413" s="1"/>
      <c r="L5413" s="2"/>
    </row>
    <row r="5414" spans="1:12" x14ac:dyDescent="0.2">
      <c r="A5414" s="103"/>
      <c r="B5414" s="104"/>
      <c r="C5414" s="105"/>
      <c r="K5414" s="1"/>
      <c r="L5414" s="2"/>
    </row>
    <row r="5415" spans="1:12" x14ac:dyDescent="0.2">
      <c r="A5415" s="103"/>
      <c r="B5415" s="104"/>
      <c r="C5415" s="105"/>
      <c r="K5415" s="1"/>
      <c r="L5415" s="2"/>
    </row>
    <row r="5416" spans="1:12" x14ac:dyDescent="0.2">
      <c r="A5416" s="103"/>
      <c r="B5416" s="104"/>
      <c r="C5416" s="105"/>
      <c r="K5416" s="1"/>
      <c r="L5416" s="2"/>
    </row>
    <row r="5417" spans="1:12" x14ac:dyDescent="0.2">
      <c r="A5417" s="103"/>
      <c r="B5417" s="104"/>
      <c r="C5417" s="105"/>
      <c r="K5417" s="1"/>
      <c r="L5417" s="2"/>
    </row>
    <row r="5418" spans="1:12" x14ac:dyDescent="0.2">
      <c r="A5418" s="103"/>
      <c r="B5418" s="104"/>
      <c r="C5418" s="105"/>
      <c r="K5418" s="1"/>
      <c r="L5418" s="2"/>
    </row>
    <row r="5419" spans="1:12" x14ac:dyDescent="0.2">
      <c r="A5419" s="103"/>
      <c r="B5419" s="104"/>
      <c r="C5419" s="105"/>
      <c r="K5419" s="1"/>
      <c r="L5419" s="2"/>
    </row>
    <row r="5420" spans="1:12" x14ac:dyDescent="0.2">
      <c r="A5420" s="103"/>
      <c r="B5420" s="104"/>
      <c r="C5420" s="105"/>
      <c r="K5420" s="1"/>
      <c r="L5420" s="2"/>
    </row>
    <row r="5421" spans="1:12" x14ac:dyDescent="0.2">
      <c r="A5421" s="103"/>
      <c r="B5421" s="104"/>
      <c r="C5421" s="105"/>
      <c r="K5421" s="1"/>
      <c r="L5421" s="2"/>
    </row>
    <row r="5422" spans="1:12" x14ac:dyDescent="0.2">
      <c r="A5422" s="103"/>
      <c r="B5422" s="104"/>
      <c r="C5422" s="105"/>
      <c r="K5422" s="1"/>
      <c r="L5422" s="2"/>
    </row>
    <row r="5423" spans="1:12" x14ac:dyDescent="0.2">
      <c r="A5423" s="103"/>
      <c r="B5423" s="104"/>
      <c r="C5423" s="105"/>
      <c r="K5423" s="1"/>
      <c r="L5423" s="2"/>
    </row>
    <row r="5424" spans="1:12" x14ac:dyDescent="0.2">
      <c r="A5424" s="103"/>
      <c r="B5424" s="104"/>
      <c r="C5424" s="105"/>
      <c r="K5424" s="1"/>
      <c r="L5424" s="2"/>
    </row>
    <row r="5425" spans="1:12" x14ac:dyDescent="0.2">
      <c r="A5425" s="103"/>
      <c r="B5425" s="104"/>
      <c r="C5425" s="105"/>
      <c r="K5425" s="1"/>
      <c r="L5425" s="2"/>
    </row>
    <row r="5426" spans="1:12" x14ac:dyDescent="0.2">
      <c r="A5426" s="103"/>
      <c r="B5426" s="104"/>
      <c r="C5426" s="105"/>
      <c r="K5426" s="1"/>
      <c r="L5426" s="2"/>
    </row>
    <row r="5427" spans="1:12" x14ac:dyDescent="0.2">
      <c r="A5427" s="103"/>
      <c r="B5427" s="104"/>
      <c r="C5427" s="105"/>
      <c r="K5427" s="1"/>
      <c r="L5427" s="2"/>
    </row>
    <row r="5428" spans="1:12" x14ac:dyDescent="0.2">
      <c r="A5428" s="103"/>
      <c r="B5428" s="104"/>
      <c r="C5428" s="105"/>
      <c r="K5428" s="1"/>
      <c r="L5428" s="2"/>
    </row>
    <row r="5429" spans="1:12" x14ac:dyDescent="0.2">
      <c r="A5429" s="103"/>
      <c r="B5429" s="104"/>
      <c r="C5429" s="105"/>
      <c r="K5429" s="1"/>
      <c r="L5429" s="2"/>
    </row>
    <row r="5430" spans="1:12" x14ac:dyDescent="0.2">
      <c r="A5430" s="103"/>
      <c r="B5430" s="104"/>
      <c r="C5430" s="105"/>
      <c r="K5430" s="1"/>
      <c r="L5430" s="2"/>
    </row>
    <row r="5431" spans="1:12" x14ac:dyDescent="0.2">
      <c r="A5431" s="103"/>
      <c r="B5431" s="104"/>
      <c r="C5431" s="105"/>
      <c r="K5431" s="1"/>
      <c r="L5431" s="2"/>
    </row>
    <row r="5432" spans="1:12" x14ac:dyDescent="0.2">
      <c r="A5432" s="103"/>
      <c r="B5432" s="104"/>
      <c r="C5432" s="105"/>
      <c r="K5432" s="1"/>
      <c r="L5432" s="2"/>
    </row>
    <row r="5433" spans="1:12" x14ac:dyDescent="0.2">
      <c r="A5433" s="103"/>
      <c r="B5433" s="104"/>
      <c r="C5433" s="105"/>
      <c r="K5433" s="1"/>
      <c r="L5433" s="2"/>
    </row>
    <row r="5434" spans="1:12" x14ac:dyDescent="0.2">
      <c r="A5434" s="103"/>
      <c r="B5434" s="104"/>
      <c r="C5434" s="105"/>
      <c r="K5434" s="1"/>
      <c r="L5434" s="2"/>
    </row>
    <row r="5435" spans="1:12" x14ac:dyDescent="0.2">
      <c r="A5435" s="103"/>
      <c r="B5435" s="104"/>
      <c r="C5435" s="105"/>
      <c r="K5435" s="1"/>
      <c r="L5435" s="2"/>
    </row>
    <row r="5436" spans="1:12" x14ac:dyDescent="0.2">
      <c r="A5436" s="103"/>
      <c r="B5436" s="104"/>
      <c r="C5436" s="105"/>
      <c r="K5436" s="1"/>
      <c r="L5436" s="2"/>
    </row>
    <row r="5437" spans="1:12" x14ac:dyDescent="0.2">
      <c r="A5437" s="103"/>
      <c r="B5437" s="104"/>
      <c r="C5437" s="105"/>
      <c r="K5437" s="1"/>
      <c r="L5437" s="2"/>
    </row>
    <row r="5438" spans="1:12" x14ac:dyDescent="0.2">
      <c r="A5438" s="103"/>
      <c r="B5438" s="104"/>
      <c r="C5438" s="105"/>
      <c r="K5438" s="1"/>
      <c r="L5438" s="2"/>
    </row>
    <row r="5439" spans="1:12" x14ac:dyDescent="0.2">
      <c r="A5439" s="103"/>
      <c r="B5439" s="104"/>
      <c r="C5439" s="105"/>
      <c r="K5439" s="1"/>
      <c r="L5439" s="2"/>
    </row>
    <row r="5440" spans="1:12" x14ac:dyDescent="0.2">
      <c r="A5440" s="103"/>
      <c r="B5440" s="104"/>
      <c r="C5440" s="105"/>
      <c r="K5440" s="1"/>
      <c r="L5440" s="2"/>
    </row>
    <row r="5441" spans="1:12" x14ac:dyDescent="0.2">
      <c r="A5441" s="103"/>
      <c r="B5441" s="104"/>
      <c r="C5441" s="105"/>
      <c r="K5441" s="1"/>
      <c r="L5441" s="2"/>
    </row>
    <row r="5442" spans="1:12" x14ac:dyDescent="0.2">
      <c r="A5442" s="103"/>
      <c r="B5442" s="104"/>
      <c r="C5442" s="105"/>
      <c r="K5442" s="1"/>
      <c r="L5442" s="2"/>
    </row>
    <row r="5443" spans="1:12" x14ac:dyDescent="0.2">
      <c r="A5443" s="103"/>
      <c r="B5443" s="104"/>
      <c r="C5443" s="105"/>
      <c r="K5443" s="1"/>
      <c r="L5443" s="2"/>
    </row>
    <row r="5444" spans="1:12" x14ac:dyDescent="0.2">
      <c r="A5444" s="103"/>
      <c r="B5444" s="104"/>
      <c r="C5444" s="105"/>
      <c r="K5444" s="1"/>
      <c r="L5444" s="2"/>
    </row>
    <row r="5445" spans="1:12" x14ac:dyDescent="0.2">
      <c r="A5445" s="103"/>
      <c r="B5445" s="104"/>
      <c r="C5445" s="105"/>
      <c r="K5445" s="1"/>
      <c r="L5445" s="2"/>
    </row>
    <row r="5446" spans="1:12" x14ac:dyDescent="0.2">
      <c r="A5446" s="103"/>
      <c r="B5446" s="104"/>
      <c r="C5446" s="105"/>
      <c r="K5446" s="1"/>
      <c r="L5446" s="2"/>
    </row>
    <row r="5447" spans="1:12" x14ac:dyDescent="0.2">
      <c r="A5447" s="103"/>
      <c r="B5447" s="104"/>
      <c r="C5447" s="105"/>
      <c r="K5447" s="1"/>
      <c r="L5447" s="2"/>
    </row>
    <row r="5448" spans="1:12" x14ac:dyDescent="0.2">
      <c r="A5448" s="103"/>
      <c r="B5448" s="104"/>
      <c r="C5448" s="105"/>
      <c r="K5448" s="1"/>
      <c r="L5448" s="2"/>
    </row>
    <row r="5449" spans="1:12" x14ac:dyDescent="0.2">
      <c r="A5449" s="103"/>
      <c r="B5449" s="104"/>
      <c r="C5449" s="105"/>
      <c r="K5449" s="1"/>
      <c r="L5449" s="2"/>
    </row>
    <row r="5450" spans="1:12" x14ac:dyDescent="0.2">
      <c r="A5450" s="103"/>
      <c r="B5450" s="104"/>
      <c r="C5450" s="105"/>
      <c r="K5450" s="1"/>
      <c r="L5450" s="2"/>
    </row>
    <row r="5451" spans="1:12" x14ac:dyDescent="0.2">
      <c r="A5451" s="103"/>
      <c r="B5451" s="104"/>
      <c r="C5451" s="105"/>
      <c r="K5451" s="1"/>
      <c r="L5451" s="2"/>
    </row>
    <row r="5452" spans="1:12" x14ac:dyDescent="0.2">
      <c r="A5452" s="103"/>
      <c r="B5452" s="104"/>
      <c r="C5452" s="105"/>
      <c r="K5452" s="1"/>
      <c r="L5452" s="2"/>
    </row>
    <row r="5453" spans="1:12" x14ac:dyDescent="0.2">
      <c r="A5453" s="103"/>
      <c r="B5453" s="104"/>
      <c r="C5453" s="105"/>
      <c r="K5453" s="1"/>
      <c r="L5453" s="2"/>
    </row>
    <row r="5454" spans="1:12" x14ac:dyDescent="0.2">
      <c r="A5454" s="103"/>
      <c r="B5454" s="104"/>
      <c r="C5454" s="105"/>
      <c r="K5454" s="1"/>
      <c r="L5454" s="2"/>
    </row>
    <row r="5455" spans="1:12" x14ac:dyDescent="0.2">
      <c r="A5455" s="103"/>
      <c r="B5455" s="104"/>
      <c r="C5455" s="105"/>
      <c r="K5455" s="1"/>
      <c r="L5455" s="2"/>
    </row>
    <row r="5456" spans="1:12" x14ac:dyDescent="0.2">
      <c r="A5456" s="103"/>
      <c r="B5456" s="104"/>
      <c r="C5456" s="105"/>
      <c r="K5456" s="1"/>
      <c r="L5456" s="2"/>
    </row>
    <row r="5457" spans="1:12" x14ac:dyDescent="0.2">
      <c r="A5457" s="103"/>
      <c r="B5457" s="104"/>
      <c r="C5457" s="105"/>
      <c r="K5457" s="1"/>
      <c r="L5457" s="2"/>
    </row>
    <row r="5458" spans="1:12" x14ac:dyDescent="0.2">
      <c r="A5458" s="103"/>
      <c r="B5458" s="104"/>
      <c r="C5458" s="105"/>
      <c r="K5458" s="1"/>
      <c r="L5458" s="2"/>
    </row>
    <row r="5459" spans="1:12" x14ac:dyDescent="0.2">
      <c r="A5459" s="103"/>
      <c r="B5459" s="104"/>
      <c r="C5459" s="105"/>
      <c r="K5459" s="1"/>
      <c r="L5459" s="2"/>
    </row>
    <row r="5460" spans="1:12" x14ac:dyDescent="0.2">
      <c r="A5460" s="103"/>
      <c r="B5460" s="104"/>
      <c r="C5460" s="105"/>
      <c r="K5460" s="1"/>
      <c r="L5460" s="2"/>
    </row>
    <row r="5461" spans="1:12" x14ac:dyDescent="0.2">
      <c r="A5461" s="103"/>
      <c r="B5461" s="104"/>
      <c r="C5461" s="105"/>
      <c r="K5461" s="1"/>
      <c r="L5461" s="2"/>
    </row>
    <row r="5462" spans="1:12" x14ac:dyDescent="0.2">
      <c r="A5462" s="103"/>
      <c r="B5462" s="104"/>
      <c r="C5462" s="105"/>
      <c r="K5462" s="1"/>
      <c r="L5462" s="2"/>
    </row>
    <row r="5463" spans="1:12" x14ac:dyDescent="0.2">
      <c r="A5463" s="103"/>
      <c r="B5463" s="104"/>
      <c r="C5463" s="105"/>
      <c r="K5463" s="1"/>
      <c r="L5463" s="2"/>
    </row>
    <row r="5464" spans="1:12" x14ac:dyDescent="0.2">
      <c r="A5464" s="103"/>
      <c r="B5464" s="104"/>
      <c r="C5464" s="105"/>
      <c r="K5464" s="1"/>
      <c r="L5464" s="2"/>
    </row>
    <row r="5465" spans="1:12" x14ac:dyDescent="0.2">
      <c r="A5465" s="103"/>
      <c r="B5465" s="104"/>
      <c r="C5465" s="105"/>
      <c r="K5465" s="1"/>
      <c r="L5465" s="2"/>
    </row>
    <row r="5466" spans="1:12" x14ac:dyDescent="0.2">
      <c r="A5466" s="103"/>
      <c r="B5466" s="104"/>
      <c r="C5466" s="105"/>
      <c r="K5466" s="1"/>
      <c r="L5466" s="2"/>
    </row>
    <row r="5467" spans="1:12" x14ac:dyDescent="0.2">
      <c r="A5467" s="103"/>
      <c r="B5467" s="104"/>
      <c r="C5467" s="105"/>
      <c r="K5467" s="1"/>
      <c r="L5467" s="2"/>
    </row>
    <row r="5468" spans="1:12" x14ac:dyDescent="0.2">
      <c r="A5468" s="103"/>
      <c r="B5468" s="104"/>
      <c r="C5468" s="105"/>
      <c r="K5468" s="1"/>
      <c r="L5468" s="2"/>
    </row>
    <row r="5469" spans="1:12" x14ac:dyDescent="0.2">
      <c r="A5469" s="103"/>
      <c r="B5469" s="104"/>
      <c r="C5469" s="105"/>
      <c r="K5469" s="1"/>
      <c r="L5469" s="2"/>
    </row>
    <row r="5470" spans="1:12" x14ac:dyDescent="0.2">
      <c r="A5470" s="103"/>
      <c r="B5470" s="104"/>
      <c r="C5470" s="105"/>
      <c r="K5470" s="1"/>
      <c r="L5470" s="2"/>
    </row>
    <row r="5471" spans="1:12" x14ac:dyDescent="0.2">
      <c r="A5471" s="103"/>
      <c r="B5471" s="104"/>
      <c r="C5471" s="105"/>
      <c r="K5471" s="1"/>
      <c r="L5471" s="2"/>
    </row>
    <row r="5472" spans="1:12" x14ac:dyDescent="0.2">
      <c r="A5472" s="103"/>
      <c r="B5472" s="104"/>
      <c r="C5472" s="105"/>
      <c r="K5472" s="1"/>
      <c r="L5472" s="2"/>
    </row>
    <row r="5473" spans="1:12" x14ac:dyDescent="0.2">
      <c r="A5473" s="103"/>
      <c r="B5473" s="104"/>
      <c r="C5473" s="105"/>
      <c r="K5473" s="1"/>
      <c r="L5473" s="2"/>
    </row>
    <row r="5474" spans="1:12" x14ac:dyDescent="0.2">
      <c r="A5474" s="103"/>
      <c r="B5474" s="104"/>
      <c r="C5474" s="105"/>
      <c r="K5474" s="1"/>
      <c r="L5474" s="2"/>
    </row>
    <row r="5475" spans="1:12" x14ac:dyDescent="0.2">
      <c r="A5475" s="103"/>
      <c r="B5475" s="104"/>
      <c r="C5475" s="105"/>
      <c r="K5475" s="1"/>
      <c r="L5475" s="2"/>
    </row>
    <row r="5476" spans="1:12" x14ac:dyDescent="0.2">
      <c r="A5476" s="103"/>
      <c r="B5476" s="104"/>
      <c r="C5476" s="105"/>
      <c r="K5476" s="1"/>
      <c r="L5476" s="2"/>
    </row>
    <row r="5477" spans="1:12" x14ac:dyDescent="0.2">
      <c r="A5477" s="103"/>
      <c r="B5477" s="104"/>
      <c r="C5477" s="105"/>
      <c r="K5477" s="1"/>
      <c r="L5477" s="2"/>
    </row>
    <row r="5478" spans="1:12" x14ac:dyDescent="0.2">
      <c r="A5478" s="103"/>
      <c r="B5478" s="104"/>
      <c r="C5478" s="105"/>
      <c r="K5478" s="1"/>
      <c r="L5478" s="2"/>
    </row>
    <row r="5479" spans="1:12" x14ac:dyDescent="0.2">
      <c r="A5479" s="103"/>
      <c r="B5479" s="104"/>
      <c r="C5479" s="105"/>
      <c r="K5479" s="1"/>
      <c r="L5479" s="2"/>
    </row>
    <row r="5480" spans="1:12" x14ac:dyDescent="0.2">
      <c r="A5480" s="103"/>
      <c r="B5480" s="104"/>
      <c r="C5480" s="105"/>
      <c r="K5480" s="1"/>
      <c r="L5480" s="2"/>
    </row>
    <row r="5481" spans="1:12" x14ac:dyDescent="0.2">
      <c r="A5481" s="103"/>
      <c r="B5481" s="104"/>
      <c r="C5481" s="105"/>
      <c r="K5481" s="1"/>
      <c r="L5481" s="2"/>
    </row>
    <row r="5482" spans="1:12" x14ac:dyDescent="0.2">
      <c r="A5482" s="103"/>
      <c r="B5482" s="104"/>
      <c r="C5482" s="105"/>
      <c r="K5482" s="1"/>
      <c r="L5482" s="2"/>
    </row>
    <row r="5483" spans="1:12" x14ac:dyDescent="0.2">
      <c r="A5483" s="103"/>
      <c r="B5483" s="104"/>
      <c r="C5483" s="105"/>
      <c r="K5483" s="1"/>
      <c r="L5483" s="2"/>
    </row>
    <row r="5484" spans="1:12" x14ac:dyDescent="0.2">
      <c r="A5484" s="103"/>
      <c r="B5484" s="104"/>
      <c r="C5484" s="105"/>
      <c r="K5484" s="1"/>
      <c r="L5484" s="2"/>
    </row>
    <row r="5485" spans="1:12" x14ac:dyDescent="0.2">
      <c r="A5485" s="103"/>
      <c r="B5485" s="104"/>
      <c r="C5485" s="105"/>
      <c r="K5485" s="1"/>
      <c r="L5485" s="2"/>
    </row>
    <row r="5486" spans="1:12" x14ac:dyDescent="0.2">
      <c r="A5486" s="103"/>
      <c r="B5486" s="104"/>
      <c r="C5486" s="105"/>
      <c r="K5486" s="1"/>
      <c r="L5486" s="2"/>
    </row>
    <row r="5487" spans="1:12" x14ac:dyDescent="0.2">
      <c r="A5487" s="103"/>
      <c r="B5487" s="104"/>
      <c r="C5487" s="105"/>
      <c r="K5487" s="1"/>
      <c r="L5487" s="2"/>
    </row>
    <row r="5488" spans="1:12" x14ac:dyDescent="0.2">
      <c r="A5488" s="103"/>
      <c r="B5488" s="104"/>
      <c r="C5488" s="105"/>
      <c r="K5488" s="1"/>
      <c r="L5488" s="2"/>
    </row>
    <row r="5489" spans="1:12" x14ac:dyDescent="0.2">
      <c r="A5489" s="103"/>
      <c r="B5489" s="104"/>
      <c r="C5489" s="105"/>
      <c r="K5489" s="1"/>
      <c r="L5489" s="2"/>
    </row>
    <row r="5490" spans="1:12" x14ac:dyDescent="0.2">
      <c r="A5490" s="103"/>
      <c r="B5490" s="104"/>
      <c r="C5490" s="105"/>
      <c r="K5490" s="1"/>
      <c r="L5490" s="2"/>
    </row>
    <row r="5491" spans="1:12" x14ac:dyDescent="0.2">
      <c r="A5491" s="103"/>
      <c r="B5491" s="104"/>
      <c r="C5491" s="105"/>
      <c r="K5491" s="1"/>
      <c r="L5491" s="2"/>
    </row>
    <row r="5492" spans="1:12" x14ac:dyDescent="0.2">
      <c r="A5492" s="103"/>
      <c r="B5492" s="104"/>
      <c r="C5492" s="105"/>
      <c r="K5492" s="1"/>
      <c r="L5492" s="2"/>
    </row>
    <row r="5493" spans="1:12" x14ac:dyDescent="0.2">
      <c r="A5493" s="103"/>
      <c r="B5493" s="104"/>
      <c r="C5493" s="105"/>
      <c r="K5493" s="1"/>
      <c r="L5493" s="2"/>
    </row>
    <row r="5494" spans="1:12" x14ac:dyDescent="0.2">
      <c r="A5494" s="103"/>
      <c r="B5494" s="104"/>
      <c r="C5494" s="105"/>
      <c r="K5494" s="1"/>
      <c r="L5494" s="2"/>
    </row>
    <row r="5495" spans="1:12" x14ac:dyDescent="0.2">
      <c r="A5495" s="103"/>
      <c r="B5495" s="104"/>
      <c r="C5495" s="105"/>
      <c r="K5495" s="1"/>
      <c r="L5495" s="2"/>
    </row>
    <row r="5496" spans="1:12" x14ac:dyDescent="0.2">
      <c r="A5496" s="103"/>
      <c r="B5496" s="104"/>
      <c r="C5496" s="105"/>
      <c r="K5496" s="1"/>
      <c r="L5496" s="2"/>
    </row>
    <row r="5497" spans="1:12" x14ac:dyDescent="0.2">
      <c r="A5497" s="103"/>
      <c r="B5497" s="104"/>
      <c r="C5497" s="105"/>
      <c r="K5497" s="1"/>
      <c r="L5497" s="2"/>
    </row>
    <row r="5498" spans="1:12" x14ac:dyDescent="0.2">
      <c r="A5498" s="103"/>
      <c r="B5498" s="104"/>
      <c r="C5498" s="105"/>
      <c r="K5498" s="1"/>
      <c r="L5498" s="2"/>
    </row>
    <row r="5499" spans="1:12" x14ac:dyDescent="0.2">
      <c r="A5499" s="103"/>
      <c r="B5499" s="104"/>
      <c r="C5499" s="105"/>
      <c r="K5499" s="1"/>
      <c r="L5499" s="2"/>
    </row>
    <row r="5500" spans="1:12" x14ac:dyDescent="0.2">
      <c r="A5500" s="103"/>
      <c r="B5500" s="104"/>
      <c r="C5500" s="105"/>
      <c r="K5500" s="1"/>
      <c r="L5500" s="2"/>
    </row>
    <row r="5501" spans="1:12" x14ac:dyDescent="0.2">
      <c r="A5501" s="103"/>
      <c r="B5501" s="104"/>
      <c r="C5501" s="105"/>
      <c r="K5501" s="1"/>
      <c r="L5501" s="2"/>
    </row>
    <row r="5502" spans="1:12" x14ac:dyDescent="0.2">
      <c r="A5502" s="103"/>
      <c r="B5502" s="104"/>
      <c r="C5502" s="105"/>
      <c r="K5502" s="1"/>
      <c r="L5502" s="2"/>
    </row>
    <row r="5503" spans="1:12" x14ac:dyDescent="0.2">
      <c r="A5503" s="103"/>
      <c r="B5503" s="104"/>
      <c r="C5503" s="105"/>
      <c r="K5503" s="1"/>
      <c r="L5503" s="2"/>
    </row>
    <row r="5504" spans="1:12" x14ac:dyDescent="0.2">
      <c r="A5504" s="103"/>
      <c r="B5504" s="104"/>
      <c r="C5504" s="105"/>
      <c r="K5504" s="1"/>
      <c r="L5504" s="2"/>
    </row>
    <row r="5505" spans="1:12" x14ac:dyDescent="0.2">
      <c r="A5505" s="103"/>
      <c r="B5505" s="104"/>
      <c r="C5505" s="105"/>
      <c r="K5505" s="1"/>
      <c r="L5505" s="2"/>
    </row>
    <row r="5506" spans="1:12" x14ac:dyDescent="0.2">
      <c r="A5506" s="103"/>
      <c r="B5506" s="104"/>
      <c r="C5506" s="105"/>
      <c r="K5506" s="1"/>
      <c r="L5506" s="2"/>
    </row>
    <row r="5507" spans="1:12" x14ac:dyDescent="0.2">
      <c r="A5507" s="103"/>
      <c r="B5507" s="104"/>
      <c r="C5507" s="105"/>
      <c r="K5507" s="1"/>
      <c r="L5507" s="2"/>
    </row>
    <row r="5508" spans="1:12" x14ac:dyDescent="0.2">
      <c r="A5508" s="103"/>
      <c r="B5508" s="104"/>
      <c r="C5508" s="105"/>
      <c r="K5508" s="1"/>
      <c r="L5508" s="2"/>
    </row>
    <row r="5509" spans="1:12" x14ac:dyDescent="0.2">
      <c r="A5509" s="103"/>
      <c r="B5509" s="104"/>
      <c r="C5509" s="105"/>
      <c r="K5509" s="1"/>
      <c r="L5509" s="2"/>
    </row>
    <row r="5510" spans="1:12" x14ac:dyDescent="0.2">
      <c r="A5510" s="103"/>
      <c r="B5510" s="104"/>
      <c r="C5510" s="105"/>
      <c r="K5510" s="1"/>
      <c r="L5510" s="2"/>
    </row>
    <row r="5511" spans="1:12" x14ac:dyDescent="0.2">
      <c r="A5511" s="103"/>
      <c r="B5511" s="104"/>
      <c r="C5511" s="105"/>
      <c r="K5511" s="1"/>
      <c r="L5511" s="2"/>
    </row>
    <row r="5512" spans="1:12" x14ac:dyDescent="0.2">
      <c r="A5512" s="103"/>
      <c r="B5512" s="104"/>
      <c r="C5512" s="105"/>
      <c r="K5512" s="1"/>
      <c r="L5512" s="2"/>
    </row>
    <row r="5513" spans="1:12" x14ac:dyDescent="0.2">
      <c r="A5513" s="103"/>
      <c r="B5513" s="104"/>
      <c r="C5513" s="105"/>
      <c r="K5513" s="1"/>
      <c r="L5513" s="2"/>
    </row>
    <row r="5514" spans="1:12" x14ac:dyDescent="0.2">
      <c r="A5514" s="103"/>
      <c r="B5514" s="104"/>
      <c r="C5514" s="105"/>
      <c r="K5514" s="1"/>
      <c r="L5514" s="2"/>
    </row>
    <row r="5515" spans="1:12" x14ac:dyDescent="0.2">
      <c r="A5515" s="103"/>
      <c r="B5515" s="104"/>
      <c r="C5515" s="105"/>
      <c r="K5515" s="1"/>
      <c r="L5515" s="2"/>
    </row>
    <row r="5516" spans="1:12" x14ac:dyDescent="0.2">
      <c r="A5516" s="103"/>
      <c r="B5516" s="104"/>
      <c r="C5516" s="105"/>
      <c r="K5516" s="1"/>
      <c r="L5516" s="2"/>
    </row>
    <row r="5517" spans="1:12" x14ac:dyDescent="0.2">
      <c r="A5517" s="103"/>
      <c r="B5517" s="104"/>
      <c r="C5517" s="105"/>
      <c r="K5517" s="1"/>
      <c r="L5517" s="2"/>
    </row>
    <row r="5518" spans="1:12" x14ac:dyDescent="0.2">
      <c r="A5518" s="103"/>
      <c r="B5518" s="104"/>
      <c r="C5518" s="105"/>
      <c r="K5518" s="1"/>
      <c r="L5518" s="2"/>
    </row>
    <row r="5519" spans="1:12" x14ac:dyDescent="0.2">
      <c r="A5519" s="103"/>
      <c r="B5519" s="104"/>
      <c r="C5519" s="105"/>
      <c r="K5519" s="1"/>
      <c r="L5519" s="2"/>
    </row>
    <row r="5520" spans="1:12" x14ac:dyDescent="0.2">
      <c r="A5520" s="103"/>
      <c r="B5520" s="104"/>
      <c r="C5520" s="105"/>
      <c r="K5520" s="1"/>
      <c r="L5520" s="2"/>
    </row>
    <row r="5521" spans="1:12" x14ac:dyDescent="0.2">
      <c r="A5521" s="103"/>
      <c r="B5521" s="104"/>
      <c r="C5521" s="105"/>
      <c r="K5521" s="1"/>
      <c r="L5521" s="2"/>
    </row>
    <row r="5522" spans="1:12" x14ac:dyDescent="0.2">
      <c r="A5522" s="103"/>
      <c r="B5522" s="104"/>
      <c r="C5522" s="105"/>
      <c r="K5522" s="1"/>
      <c r="L5522" s="2"/>
    </row>
    <row r="5523" spans="1:12" x14ac:dyDescent="0.2">
      <c r="A5523" s="103"/>
      <c r="B5523" s="104"/>
      <c r="C5523" s="105"/>
      <c r="K5523" s="1"/>
      <c r="L5523" s="2"/>
    </row>
    <row r="5524" spans="1:12" x14ac:dyDescent="0.2">
      <c r="A5524" s="103"/>
      <c r="B5524" s="104"/>
      <c r="C5524" s="105"/>
      <c r="K5524" s="1"/>
      <c r="L5524" s="2"/>
    </row>
    <row r="5525" spans="1:12" x14ac:dyDescent="0.2">
      <c r="A5525" s="103"/>
      <c r="B5525" s="104"/>
      <c r="C5525" s="105"/>
      <c r="K5525" s="1"/>
      <c r="L5525" s="2"/>
    </row>
    <row r="5526" spans="1:12" x14ac:dyDescent="0.2">
      <c r="A5526" s="103"/>
      <c r="B5526" s="104"/>
      <c r="C5526" s="105"/>
      <c r="K5526" s="1"/>
      <c r="L5526" s="2"/>
    </row>
    <row r="5527" spans="1:12" x14ac:dyDescent="0.2">
      <c r="A5527" s="103"/>
      <c r="B5527" s="104"/>
      <c r="C5527" s="105"/>
      <c r="K5527" s="1"/>
      <c r="L5527" s="2"/>
    </row>
    <row r="5528" spans="1:12" x14ac:dyDescent="0.2">
      <c r="A5528" s="103"/>
      <c r="B5528" s="104"/>
      <c r="C5528" s="105"/>
      <c r="K5528" s="1"/>
      <c r="L5528" s="2"/>
    </row>
    <row r="5529" spans="1:12" x14ac:dyDescent="0.2">
      <c r="A5529" s="103"/>
      <c r="B5529" s="104"/>
      <c r="C5529" s="105"/>
      <c r="K5529" s="1"/>
      <c r="L5529" s="2"/>
    </row>
    <row r="5530" spans="1:12" x14ac:dyDescent="0.2">
      <c r="A5530" s="103"/>
      <c r="B5530" s="104"/>
      <c r="C5530" s="105"/>
      <c r="K5530" s="1"/>
      <c r="L5530" s="2"/>
    </row>
    <row r="5531" spans="1:12" x14ac:dyDescent="0.2">
      <c r="A5531" s="103"/>
      <c r="B5531" s="104"/>
      <c r="C5531" s="105"/>
      <c r="K5531" s="1"/>
      <c r="L5531" s="2"/>
    </row>
    <row r="5532" spans="1:12" x14ac:dyDescent="0.2">
      <c r="A5532" s="103"/>
      <c r="B5532" s="104"/>
      <c r="C5532" s="105"/>
      <c r="K5532" s="1"/>
      <c r="L5532" s="2"/>
    </row>
    <row r="5533" spans="1:12" x14ac:dyDescent="0.2">
      <c r="A5533" s="103"/>
      <c r="B5533" s="104"/>
      <c r="C5533" s="105"/>
      <c r="K5533" s="1"/>
      <c r="L5533" s="2"/>
    </row>
    <row r="5534" spans="1:12" x14ac:dyDescent="0.2">
      <c r="A5534" s="103"/>
      <c r="B5534" s="104"/>
      <c r="C5534" s="105"/>
      <c r="K5534" s="1"/>
      <c r="L5534" s="2"/>
    </row>
    <row r="5535" spans="1:12" x14ac:dyDescent="0.2">
      <c r="A5535" s="103"/>
      <c r="B5535" s="104"/>
      <c r="C5535" s="105"/>
      <c r="K5535" s="1"/>
      <c r="L5535" s="2"/>
    </row>
    <row r="5536" spans="1:12" x14ac:dyDescent="0.2">
      <c r="A5536" s="103"/>
      <c r="B5536" s="104"/>
      <c r="C5536" s="105"/>
      <c r="K5536" s="1"/>
      <c r="L5536" s="2"/>
    </row>
    <row r="5537" spans="1:12" x14ac:dyDescent="0.2">
      <c r="A5537" s="103"/>
      <c r="B5537" s="104"/>
      <c r="C5537" s="105"/>
      <c r="K5537" s="1"/>
      <c r="L5537" s="2"/>
    </row>
    <row r="5538" spans="1:12" x14ac:dyDescent="0.2">
      <c r="A5538" s="103"/>
      <c r="B5538" s="104"/>
      <c r="C5538" s="105"/>
      <c r="K5538" s="1"/>
      <c r="L5538" s="2"/>
    </row>
    <row r="5539" spans="1:12" x14ac:dyDescent="0.2">
      <c r="A5539" s="103"/>
      <c r="B5539" s="104"/>
      <c r="C5539" s="105"/>
      <c r="K5539" s="1"/>
      <c r="L5539" s="2"/>
    </row>
    <row r="5540" spans="1:12" x14ac:dyDescent="0.2">
      <c r="A5540" s="103"/>
      <c r="B5540" s="104"/>
      <c r="C5540" s="105"/>
      <c r="K5540" s="1"/>
      <c r="L5540" s="2"/>
    </row>
    <row r="5541" spans="1:12" x14ac:dyDescent="0.2">
      <c r="A5541" s="103"/>
      <c r="B5541" s="104"/>
      <c r="C5541" s="105"/>
      <c r="K5541" s="1"/>
      <c r="L5541" s="2"/>
    </row>
    <row r="5542" spans="1:12" x14ac:dyDescent="0.2">
      <c r="A5542" s="103"/>
      <c r="B5542" s="104"/>
      <c r="C5542" s="105"/>
      <c r="K5542" s="1"/>
      <c r="L5542" s="2"/>
    </row>
    <row r="5543" spans="1:12" x14ac:dyDescent="0.2">
      <c r="A5543" s="103"/>
      <c r="B5543" s="104"/>
      <c r="C5543" s="105"/>
      <c r="K5543" s="1"/>
      <c r="L5543" s="2"/>
    </row>
    <row r="5544" spans="1:12" x14ac:dyDescent="0.2">
      <c r="A5544" s="103"/>
      <c r="B5544" s="104"/>
      <c r="C5544" s="105"/>
      <c r="K5544" s="1"/>
      <c r="L5544" s="2"/>
    </row>
    <row r="5545" spans="1:12" x14ac:dyDescent="0.2">
      <c r="A5545" s="103"/>
      <c r="B5545" s="104"/>
      <c r="C5545" s="105"/>
      <c r="K5545" s="1"/>
      <c r="L5545" s="2"/>
    </row>
    <row r="5546" spans="1:12" x14ac:dyDescent="0.2">
      <c r="A5546" s="103"/>
      <c r="B5546" s="104"/>
      <c r="C5546" s="105"/>
      <c r="K5546" s="1"/>
      <c r="L5546" s="2"/>
    </row>
    <row r="5547" spans="1:12" x14ac:dyDescent="0.2">
      <c r="A5547" s="103"/>
      <c r="B5547" s="104"/>
      <c r="C5547" s="105"/>
      <c r="K5547" s="1"/>
      <c r="L5547" s="2"/>
    </row>
    <row r="5548" spans="1:12" x14ac:dyDescent="0.2">
      <c r="A5548" s="103"/>
      <c r="B5548" s="104"/>
      <c r="C5548" s="105"/>
      <c r="K5548" s="1"/>
      <c r="L5548" s="2"/>
    </row>
    <row r="5549" spans="1:12" x14ac:dyDescent="0.2">
      <c r="A5549" s="103"/>
      <c r="B5549" s="104"/>
      <c r="C5549" s="105"/>
      <c r="K5549" s="1"/>
      <c r="L5549" s="2"/>
    </row>
    <row r="5550" spans="1:12" x14ac:dyDescent="0.2">
      <c r="A5550" s="103"/>
      <c r="B5550" s="104"/>
      <c r="C5550" s="105"/>
      <c r="K5550" s="1"/>
      <c r="L5550" s="2"/>
    </row>
    <row r="5551" spans="1:12" x14ac:dyDescent="0.2">
      <c r="A5551" s="103"/>
      <c r="B5551" s="104"/>
      <c r="C5551" s="105"/>
      <c r="K5551" s="1"/>
      <c r="L5551" s="2"/>
    </row>
    <row r="5552" spans="1:12" x14ac:dyDescent="0.2">
      <c r="A5552" s="103"/>
      <c r="B5552" s="104"/>
      <c r="C5552" s="105"/>
      <c r="K5552" s="1"/>
      <c r="L5552" s="2"/>
    </row>
    <row r="5553" spans="1:12" x14ac:dyDescent="0.2">
      <c r="A5553" s="103"/>
      <c r="B5553" s="104"/>
      <c r="C5553" s="105"/>
      <c r="K5553" s="1"/>
      <c r="L5553" s="2"/>
    </row>
    <row r="5554" spans="1:12" x14ac:dyDescent="0.2">
      <c r="A5554" s="103"/>
      <c r="B5554" s="104"/>
      <c r="C5554" s="105"/>
      <c r="K5554" s="1"/>
      <c r="L5554" s="2"/>
    </row>
    <row r="5555" spans="1:12" x14ac:dyDescent="0.2">
      <c r="A5555" s="103"/>
      <c r="B5555" s="104"/>
      <c r="C5555" s="105"/>
      <c r="K5555" s="1"/>
      <c r="L5555" s="2"/>
    </row>
    <row r="5556" spans="1:12" x14ac:dyDescent="0.2">
      <c r="A5556" s="103"/>
      <c r="B5556" s="104"/>
      <c r="C5556" s="105"/>
      <c r="K5556" s="1"/>
      <c r="L5556" s="2"/>
    </row>
    <row r="5557" spans="1:12" x14ac:dyDescent="0.2">
      <c r="A5557" s="103"/>
      <c r="B5557" s="104"/>
      <c r="C5557" s="105"/>
      <c r="K5557" s="1"/>
      <c r="L5557" s="2"/>
    </row>
    <row r="5558" spans="1:12" x14ac:dyDescent="0.2">
      <c r="A5558" s="103"/>
      <c r="B5558" s="104"/>
      <c r="C5558" s="105"/>
      <c r="K5558" s="1"/>
      <c r="L5558" s="2"/>
    </row>
    <row r="5559" spans="1:12" x14ac:dyDescent="0.2">
      <c r="A5559" s="103"/>
      <c r="B5559" s="104"/>
      <c r="C5559" s="105"/>
      <c r="K5559" s="1"/>
      <c r="L5559" s="2"/>
    </row>
    <row r="5560" spans="1:12" x14ac:dyDescent="0.2">
      <c r="A5560" s="103"/>
      <c r="B5560" s="104"/>
      <c r="C5560" s="105"/>
      <c r="K5560" s="1"/>
      <c r="L5560" s="2"/>
    </row>
    <row r="5561" spans="1:12" x14ac:dyDescent="0.2">
      <c r="A5561" s="103"/>
      <c r="B5561" s="104"/>
      <c r="C5561" s="105"/>
      <c r="K5561" s="1"/>
      <c r="L5561" s="2"/>
    </row>
    <row r="5562" spans="1:12" x14ac:dyDescent="0.2">
      <c r="A5562" s="103"/>
      <c r="B5562" s="104"/>
      <c r="C5562" s="105"/>
      <c r="K5562" s="1"/>
      <c r="L5562" s="2"/>
    </row>
    <row r="5563" spans="1:12" x14ac:dyDescent="0.2">
      <c r="A5563" s="103"/>
      <c r="B5563" s="104"/>
      <c r="C5563" s="105"/>
      <c r="K5563" s="1"/>
      <c r="L5563" s="2"/>
    </row>
    <row r="5564" spans="1:12" x14ac:dyDescent="0.2">
      <c r="A5564" s="103"/>
      <c r="B5564" s="104"/>
      <c r="C5564" s="105"/>
      <c r="K5564" s="1"/>
      <c r="L5564" s="2"/>
    </row>
    <row r="5565" spans="1:12" x14ac:dyDescent="0.2">
      <c r="A5565" s="103"/>
      <c r="B5565" s="104"/>
      <c r="C5565" s="105"/>
      <c r="K5565" s="1"/>
      <c r="L5565" s="2"/>
    </row>
    <row r="5566" spans="1:12" x14ac:dyDescent="0.2">
      <c r="A5566" s="103"/>
      <c r="B5566" s="104"/>
      <c r="C5566" s="105"/>
      <c r="K5566" s="1"/>
      <c r="L5566" s="2"/>
    </row>
    <row r="5567" spans="1:12" x14ac:dyDescent="0.2">
      <c r="A5567" s="103"/>
      <c r="B5567" s="104"/>
      <c r="C5567" s="105"/>
      <c r="K5567" s="1"/>
      <c r="L5567" s="2"/>
    </row>
    <row r="5568" spans="1:12" x14ac:dyDescent="0.2">
      <c r="A5568" s="103"/>
      <c r="B5568" s="104"/>
      <c r="C5568" s="105"/>
      <c r="K5568" s="1"/>
      <c r="L5568" s="2"/>
    </row>
    <row r="5569" spans="1:12" x14ac:dyDescent="0.2">
      <c r="A5569" s="103"/>
      <c r="B5569" s="104"/>
      <c r="C5569" s="105"/>
      <c r="K5569" s="1"/>
      <c r="L5569" s="2"/>
    </row>
    <row r="5570" spans="1:12" x14ac:dyDescent="0.2">
      <c r="A5570" s="103"/>
      <c r="B5570" s="104"/>
      <c r="C5570" s="105"/>
      <c r="K5570" s="1"/>
      <c r="L5570" s="2"/>
    </row>
    <row r="5571" spans="1:12" x14ac:dyDescent="0.2">
      <c r="A5571" s="103"/>
      <c r="B5571" s="104"/>
      <c r="C5571" s="105"/>
      <c r="K5571" s="1"/>
      <c r="L5571" s="2"/>
    </row>
    <row r="5572" spans="1:12" x14ac:dyDescent="0.2">
      <c r="A5572" s="103"/>
      <c r="B5572" s="104"/>
      <c r="C5572" s="105"/>
      <c r="K5572" s="1"/>
      <c r="L5572" s="2"/>
    </row>
    <row r="5573" spans="1:12" x14ac:dyDescent="0.2">
      <c r="A5573" s="103"/>
      <c r="B5573" s="104"/>
      <c r="C5573" s="105"/>
      <c r="K5573" s="1"/>
      <c r="L5573" s="2"/>
    </row>
    <row r="5574" spans="1:12" x14ac:dyDescent="0.2">
      <c r="A5574" s="103"/>
      <c r="B5574" s="104"/>
      <c r="C5574" s="105"/>
      <c r="K5574" s="1"/>
      <c r="L5574" s="2"/>
    </row>
    <row r="5575" spans="1:12" x14ac:dyDescent="0.2">
      <c r="A5575" s="103"/>
      <c r="B5575" s="104"/>
      <c r="C5575" s="105"/>
      <c r="K5575" s="1"/>
      <c r="L5575" s="2"/>
    </row>
    <row r="5576" spans="1:12" x14ac:dyDescent="0.2">
      <c r="A5576" s="103"/>
      <c r="B5576" s="104"/>
      <c r="C5576" s="105"/>
      <c r="K5576" s="1"/>
      <c r="L5576" s="2"/>
    </row>
    <row r="5577" spans="1:12" x14ac:dyDescent="0.2">
      <c r="A5577" s="103"/>
      <c r="B5577" s="104"/>
      <c r="C5577" s="105"/>
      <c r="K5577" s="1"/>
      <c r="L5577" s="2"/>
    </row>
    <row r="5578" spans="1:12" x14ac:dyDescent="0.2">
      <c r="A5578" s="103"/>
      <c r="B5578" s="104"/>
      <c r="C5578" s="105"/>
      <c r="K5578" s="1"/>
      <c r="L5578" s="2"/>
    </row>
    <row r="5579" spans="1:12" x14ac:dyDescent="0.2">
      <c r="A5579" s="103"/>
      <c r="B5579" s="104"/>
      <c r="C5579" s="105"/>
      <c r="K5579" s="1"/>
      <c r="L5579" s="2"/>
    </row>
    <row r="5580" spans="1:12" x14ac:dyDescent="0.2">
      <c r="A5580" s="103"/>
      <c r="B5580" s="104"/>
      <c r="C5580" s="105"/>
      <c r="K5580" s="1"/>
      <c r="L5580" s="2"/>
    </row>
    <row r="5581" spans="1:12" x14ac:dyDescent="0.2">
      <c r="A5581" s="103"/>
      <c r="B5581" s="104"/>
      <c r="C5581" s="105"/>
      <c r="K5581" s="1"/>
      <c r="L5581" s="2"/>
    </row>
    <row r="5582" spans="1:12" x14ac:dyDescent="0.2">
      <c r="A5582" s="103"/>
      <c r="B5582" s="104"/>
      <c r="C5582" s="105"/>
      <c r="K5582" s="1"/>
      <c r="L5582" s="2"/>
    </row>
    <row r="5583" spans="1:12" x14ac:dyDescent="0.2">
      <c r="A5583" s="103"/>
      <c r="B5583" s="104"/>
      <c r="C5583" s="105"/>
      <c r="K5583" s="1"/>
      <c r="L5583" s="2"/>
    </row>
    <row r="5584" spans="1:12" x14ac:dyDescent="0.2">
      <c r="A5584" s="103"/>
      <c r="B5584" s="104"/>
      <c r="C5584" s="105"/>
      <c r="K5584" s="1"/>
      <c r="L5584" s="2"/>
    </row>
    <row r="5585" spans="1:12" x14ac:dyDescent="0.2">
      <c r="A5585" s="103"/>
      <c r="B5585" s="104"/>
      <c r="C5585" s="105"/>
      <c r="K5585" s="1"/>
      <c r="L5585" s="2"/>
    </row>
    <row r="5586" spans="1:12" x14ac:dyDescent="0.2">
      <c r="A5586" s="103"/>
      <c r="B5586" s="104"/>
      <c r="C5586" s="105"/>
      <c r="K5586" s="1"/>
      <c r="L5586" s="2"/>
    </row>
    <row r="5587" spans="1:12" x14ac:dyDescent="0.2">
      <c r="A5587" s="103"/>
      <c r="B5587" s="104"/>
      <c r="C5587" s="105"/>
      <c r="K5587" s="1"/>
      <c r="L5587" s="2"/>
    </row>
    <row r="5588" spans="1:12" x14ac:dyDescent="0.2">
      <c r="A5588" s="103"/>
      <c r="B5588" s="104"/>
      <c r="C5588" s="105"/>
      <c r="K5588" s="1"/>
      <c r="L5588" s="2"/>
    </row>
    <row r="5589" spans="1:12" x14ac:dyDescent="0.2">
      <c r="A5589" s="103"/>
      <c r="B5589" s="104"/>
      <c r="C5589" s="105"/>
      <c r="K5589" s="1"/>
      <c r="L5589" s="2"/>
    </row>
    <row r="5590" spans="1:12" x14ac:dyDescent="0.2">
      <c r="A5590" s="103"/>
      <c r="B5590" s="104"/>
      <c r="C5590" s="105"/>
      <c r="K5590" s="1"/>
      <c r="L5590" s="2"/>
    </row>
    <row r="5591" spans="1:12" x14ac:dyDescent="0.2">
      <c r="A5591" s="103"/>
      <c r="B5591" s="104"/>
      <c r="C5591" s="105"/>
      <c r="K5591" s="1"/>
      <c r="L5591" s="2"/>
    </row>
    <row r="5592" spans="1:12" x14ac:dyDescent="0.2">
      <c r="A5592" s="103"/>
      <c r="B5592" s="104"/>
      <c r="C5592" s="105"/>
      <c r="K5592" s="1"/>
      <c r="L5592" s="2"/>
    </row>
    <row r="5593" spans="1:12" x14ac:dyDescent="0.2">
      <c r="A5593" s="103"/>
      <c r="B5593" s="104"/>
      <c r="C5593" s="105"/>
      <c r="K5593" s="1"/>
      <c r="L5593" s="2"/>
    </row>
    <row r="5594" spans="1:12" x14ac:dyDescent="0.2">
      <c r="A5594" s="103"/>
      <c r="B5594" s="104"/>
      <c r="C5594" s="105"/>
      <c r="K5594" s="1"/>
      <c r="L5594" s="2"/>
    </row>
    <row r="5595" spans="1:12" x14ac:dyDescent="0.2">
      <c r="A5595" s="103"/>
      <c r="B5595" s="104"/>
      <c r="C5595" s="105"/>
      <c r="K5595" s="1"/>
      <c r="L5595" s="2"/>
    </row>
    <row r="5596" spans="1:12" x14ac:dyDescent="0.2">
      <c r="A5596" s="103"/>
      <c r="B5596" s="104"/>
      <c r="C5596" s="105"/>
      <c r="K5596" s="1"/>
      <c r="L5596" s="2"/>
    </row>
    <row r="5597" spans="1:12" x14ac:dyDescent="0.2">
      <c r="A5597" s="103"/>
      <c r="B5597" s="104"/>
      <c r="C5597" s="105"/>
      <c r="K5597" s="1"/>
      <c r="L5597" s="2"/>
    </row>
    <row r="5598" spans="1:12" x14ac:dyDescent="0.2">
      <c r="A5598" s="103"/>
      <c r="B5598" s="104"/>
      <c r="C5598" s="105"/>
      <c r="K5598" s="1"/>
      <c r="L5598" s="2"/>
    </row>
    <row r="5599" spans="1:12" x14ac:dyDescent="0.2">
      <c r="A5599" s="103"/>
      <c r="B5599" s="104"/>
      <c r="C5599" s="105"/>
      <c r="K5599" s="1"/>
      <c r="L5599" s="2"/>
    </row>
    <row r="5600" spans="1:12" x14ac:dyDescent="0.2">
      <c r="A5600" s="103"/>
      <c r="B5600" s="104"/>
      <c r="C5600" s="105"/>
      <c r="K5600" s="1"/>
      <c r="L5600" s="2"/>
    </row>
    <row r="5601" spans="1:12" x14ac:dyDescent="0.2">
      <c r="A5601" s="103"/>
      <c r="B5601" s="104"/>
      <c r="C5601" s="105"/>
      <c r="K5601" s="1"/>
      <c r="L5601" s="2"/>
    </row>
    <row r="5602" spans="1:12" x14ac:dyDescent="0.2">
      <c r="A5602" s="103"/>
      <c r="B5602" s="104"/>
      <c r="C5602" s="105"/>
      <c r="K5602" s="1"/>
      <c r="L5602" s="2"/>
    </row>
    <row r="5603" spans="1:12" x14ac:dyDescent="0.2">
      <c r="A5603" s="103"/>
      <c r="B5603" s="104"/>
      <c r="C5603" s="105"/>
      <c r="K5603" s="1"/>
      <c r="L5603" s="2"/>
    </row>
    <row r="5604" spans="1:12" x14ac:dyDescent="0.2">
      <c r="A5604" s="103"/>
      <c r="B5604" s="104"/>
      <c r="C5604" s="105"/>
      <c r="K5604" s="1"/>
      <c r="L5604" s="2"/>
    </row>
    <row r="5605" spans="1:12" x14ac:dyDescent="0.2">
      <c r="A5605" s="103"/>
      <c r="B5605" s="104"/>
      <c r="C5605" s="105"/>
      <c r="K5605" s="1"/>
      <c r="L5605" s="2"/>
    </row>
    <row r="5606" spans="1:12" x14ac:dyDescent="0.2">
      <c r="A5606" s="103"/>
      <c r="B5606" s="104"/>
      <c r="C5606" s="105"/>
      <c r="K5606" s="1"/>
      <c r="L5606" s="2"/>
    </row>
    <row r="5607" spans="1:12" x14ac:dyDescent="0.2">
      <c r="A5607" s="103"/>
      <c r="B5607" s="104"/>
      <c r="C5607" s="105"/>
      <c r="K5607" s="1"/>
      <c r="L5607" s="2"/>
    </row>
    <row r="5608" spans="1:12" x14ac:dyDescent="0.2">
      <c r="A5608" s="103"/>
      <c r="B5608" s="104"/>
      <c r="C5608" s="105"/>
      <c r="K5608" s="1"/>
      <c r="L5608" s="2"/>
    </row>
    <row r="5609" spans="1:12" x14ac:dyDescent="0.2">
      <c r="A5609" s="103"/>
      <c r="B5609" s="104"/>
      <c r="C5609" s="105"/>
      <c r="K5609" s="1"/>
      <c r="L5609" s="2"/>
    </row>
    <row r="5610" spans="1:12" x14ac:dyDescent="0.2">
      <c r="A5610" s="103"/>
      <c r="B5610" s="104"/>
      <c r="C5610" s="105"/>
      <c r="K5610" s="1"/>
      <c r="L5610" s="2"/>
    </row>
    <row r="5611" spans="1:12" x14ac:dyDescent="0.2">
      <c r="A5611" s="103"/>
      <c r="B5611" s="104"/>
      <c r="C5611" s="105"/>
      <c r="K5611" s="1"/>
      <c r="L5611" s="2"/>
    </row>
    <row r="5612" spans="1:12" x14ac:dyDescent="0.2">
      <c r="A5612" s="103"/>
      <c r="B5612" s="104"/>
      <c r="C5612" s="105"/>
      <c r="K5612" s="1"/>
      <c r="L5612" s="2"/>
    </row>
    <row r="5613" spans="1:12" x14ac:dyDescent="0.2">
      <c r="A5613" s="103"/>
      <c r="B5613" s="104"/>
      <c r="C5613" s="105"/>
      <c r="K5613" s="1"/>
      <c r="L5613" s="2"/>
    </row>
    <row r="5614" spans="1:12" x14ac:dyDescent="0.2">
      <c r="A5614" s="103"/>
      <c r="B5614" s="104"/>
      <c r="C5614" s="105"/>
      <c r="K5614" s="1"/>
      <c r="L5614" s="2"/>
    </row>
    <row r="5615" spans="1:12" x14ac:dyDescent="0.2">
      <c r="A5615" s="103"/>
      <c r="B5615" s="104"/>
      <c r="C5615" s="105"/>
      <c r="K5615" s="1"/>
      <c r="L5615" s="2"/>
    </row>
    <row r="5616" spans="1:12" x14ac:dyDescent="0.2">
      <c r="A5616" s="103"/>
      <c r="B5616" s="104"/>
      <c r="C5616" s="105"/>
      <c r="K5616" s="1"/>
      <c r="L5616" s="2"/>
    </row>
    <row r="5617" spans="1:12" x14ac:dyDescent="0.2">
      <c r="A5617" s="103"/>
      <c r="B5617" s="104"/>
      <c r="C5617" s="105"/>
      <c r="K5617" s="1"/>
      <c r="L5617" s="2"/>
    </row>
    <row r="5618" spans="1:12" x14ac:dyDescent="0.2">
      <c r="A5618" s="103"/>
      <c r="B5618" s="104"/>
      <c r="C5618" s="105"/>
      <c r="K5618" s="1"/>
      <c r="L5618" s="2"/>
    </row>
    <row r="5619" spans="1:12" x14ac:dyDescent="0.2">
      <c r="A5619" s="103"/>
      <c r="B5619" s="104"/>
      <c r="C5619" s="105"/>
      <c r="K5619" s="1"/>
      <c r="L5619" s="2"/>
    </row>
    <row r="5620" spans="1:12" x14ac:dyDescent="0.2">
      <c r="A5620" s="103"/>
      <c r="B5620" s="104"/>
      <c r="C5620" s="105"/>
      <c r="K5620" s="1"/>
      <c r="L5620" s="2"/>
    </row>
    <row r="5621" spans="1:12" x14ac:dyDescent="0.2">
      <c r="A5621" s="103"/>
      <c r="B5621" s="104"/>
      <c r="C5621" s="105"/>
      <c r="K5621" s="1"/>
      <c r="L5621" s="2"/>
    </row>
    <row r="5622" spans="1:12" x14ac:dyDescent="0.2">
      <c r="A5622" s="103"/>
      <c r="B5622" s="104"/>
      <c r="C5622" s="105"/>
      <c r="K5622" s="1"/>
      <c r="L5622" s="2"/>
    </row>
    <row r="5623" spans="1:12" x14ac:dyDescent="0.2">
      <c r="A5623" s="103"/>
      <c r="B5623" s="104"/>
      <c r="C5623" s="105"/>
      <c r="K5623" s="1"/>
      <c r="L5623" s="2"/>
    </row>
    <row r="5624" spans="1:12" x14ac:dyDescent="0.2">
      <c r="A5624" s="103"/>
      <c r="B5624" s="104"/>
      <c r="C5624" s="105"/>
      <c r="K5624" s="1"/>
      <c r="L5624" s="2"/>
    </row>
    <row r="5625" spans="1:12" x14ac:dyDescent="0.2">
      <c r="A5625" s="103"/>
      <c r="B5625" s="104"/>
      <c r="C5625" s="105"/>
      <c r="K5625" s="1"/>
      <c r="L5625" s="2"/>
    </row>
    <row r="5626" spans="1:12" x14ac:dyDescent="0.2">
      <c r="A5626" s="103"/>
      <c r="B5626" s="104"/>
      <c r="C5626" s="105"/>
      <c r="K5626" s="1"/>
      <c r="L5626" s="2"/>
    </row>
    <row r="5627" spans="1:12" x14ac:dyDescent="0.2">
      <c r="A5627" s="103"/>
      <c r="B5627" s="104"/>
      <c r="C5627" s="105"/>
      <c r="K5627" s="1"/>
      <c r="L5627" s="2"/>
    </row>
    <row r="5628" spans="1:12" x14ac:dyDescent="0.2">
      <c r="A5628" s="103"/>
      <c r="B5628" s="104"/>
      <c r="C5628" s="105"/>
      <c r="K5628" s="1"/>
      <c r="L5628" s="2"/>
    </row>
    <row r="5629" spans="1:12" x14ac:dyDescent="0.2">
      <c r="A5629" s="103"/>
      <c r="B5629" s="104"/>
      <c r="C5629" s="105"/>
      <c r="K5629" s="1"/>
      <c r="L5629" s="2"/>
    </row>
    <row r="5630" spans="1:12" x14ac:dyDescent="0.2">
      <c r="A5630" s="103"/>
      <c r="B5630" s="104"/>
      <c r="C5630" s="105"/>
      <c r="K5630" s="1"/>
      <c r="L5630" s="2"/>
    </row>
    <row r="5631" spans="1:12" x14ac:dyDescent="0.2">
      <c r="A5631" s="103"/>
      <c r="B5631" s="104"/>
      <c r="C5631" s="105"/>
      <c r="K5631" s="1"/>
      <c r="L5631" s="2"/>
    </row>
    <row r="5632" spans="1:12" x14ac:dyDescent="0.2">
      <c r="A5632" s="103"/>
      <c r="B5632" s="104"/>
      <c r="C5632" s="105"/>
      <c r="K5632" s="1"/>
      <c r="L5632" s="2"/>
    </row>
    <row r="5633" spans="1:12" x14ac:dyDescent="0.2">
      <c r="A5633" s="103"/>
      <c r="B5633" s="104"/>
      <c r="C5633" s="105"/>
      <c r="K5633" s="1"/>
      <c r="L5633" s="2"/>
    </row>
    <row r="5634" spans="1:12" x14ac:dyDescent="0.2">
      <c r="A5634" s="103"/>
      <c r="B5634" s="104"/>
      <c r="C5634" s="105"/>
      <c r="K5634" s="1"/>
      <c r="L5634" s="2"/>
    </row>
    <row r="5635" spans="1:12" x14ac:dyDescent="0.2">
      <c r="A5635" s="103"/>
      <c r="B5635" s="104"/>
      <c r="C5635" s="105"/>
      <c r="K5635" s="1"/>
      <c r="L5635" s="2"/>
    </row>
    <row r="5636" spans="1:12" x14ac:dyDescent="0.2">
      <c r="A5636" s="103"/>
      <c r="B5636" s="104"/>
      <c r="C5636" s="105"/>
      <c r="K5636" s="1"/>
      <c r="L5636" s="2"/>
    </row>
    <row r="5637" spans="1:12" x14ac:dyDescent="0.2">
      <c r="A5637" s="103"/>
      <c r="B5637" s="104"/>
      <c r="C5637" s="105"/>
      <c r="K5637" s="1"/>
      <c r="L5637" s="2"/>
    </row>
    <row r="5638" spans="1:12" x14ac:dyDescent="0.2">
      <c r="A5638" s="103"/>
      <c r="B5638" s="104"/>
      <c r="C5638" s="105"/>
      <c r="K5638" s="1"/>
      <c r="L5638" s="2"/>
    </row>
    <row r="5639" spans="1:12" x14ac:dyDescent="0.2">
      <c r="A5639" s="103"/>
      <c r="B5639" s="104"/>
      <c r="C5639" s="105"/>
      <c r="K5639" s="1"/>
      <c r="L5639" s="2"/>
    </row>
    <row r="5640" spans="1:12" x14ac:dyDescent="0.2">
      <c r="A5640" s="103"/>
      <c r="B5640" s="104"/>
      <c r="C5640" s="105"/>
      <c r="K5640" s="1"/>
      <c r="L5640" s="2"/>
    </row>
    <row r="5641" spans="1:12" x14ac:dyDescent="0.2">
      <c r="A5641" s="103"/>
      <c r="B5641" s="104"/>
      <c r="C5641" s="105"/>
      <c r="K5641" s="1"/>
      <c r="L5641" s="2"/>
    </row>
    <row r="5642" spans="1:12" x14ac:dyDescent="0.2">
      <c r="A5642" s="103"/>
      <c r="B5642" s="104"/>
      <c r="C5642" s="105"/>
      <c r="K5642" s="1"/>
      <c r="L5642" s="2"/>
    </row>
    <row r="5643" spans="1:12" x14ac:dyDescent="0.2">
      <c r="A5643" s="103"/>
      <c r="B5643" s="104"/>
      <c r="C5643" s="105"/>
      <c r="K5643" s="1"/>
      <c r="L5643" s="2"/>
    </row>
    <row r="5644" spans="1:12" x14ac:dyDescent="0.2">
      <c r="A5644" s="103"/>
      <c r="B5644" s="104"/>
      <c r="C5644" s="105"/>
      <c r="K5644" s="1"/>
      <c r="L5644" s="2"/>
    </row>
    <row r="5645" spans="1:12" x14ac:dyDescent="0.2">
      <c r="A5645" s="103"/>
      <c r="B5645" s="104"/>
      <c r="C5645" s="105"/>
      <c r="K5645" s="1"/>
      <c r="L5645" s="2"/>
    </row>
    <row r="5646" spans="1:12" x14ac:dyDescent="0.2">
      <c r="A5646" s="103"/>
      <c r="B5646" s="104"/>
      <c r="C5646" s="105"/>
      <c r="K5646" s="1"/>
      <c r="L5646" s="2"/>
    </row>
    <row r="5647" spans="1:12" x14ac:dyDescent="0.2">
      <c r="A5647" s="103"/>
      <c r="B5647" s="104"/>
      <c r="C5647" s="105"/>
      <c r="K5647" s="1"/>
      <c r="L5647" s="2"/>
    </row>
    <row r="5648" spans="1:12" x14ac:dyDescent="0.2">
      <c r="A5648" s="103"/>
      <c r="B5648" s="104"/>
      <c r="C5648" s="105"/>
      <c r="K5648" s="1"/>
      <c r="L5648" s="2"/>
    </row>
    <row r="5649" spans="1:12" x14ac:dyDescent="0.2">
      <c r="A5649" s="103"/>
      <c r="B5649" s="104"/>
      <c r="C5649" s="105"/>
      <c r="K5649" s="1"/>
      <c r="L5649" s="2"/>
    </row>
    <row r="5650" spans="1:12" x14ac:dyDescent="0.2">
      <c r="A5650" s="103"/>
      <c r="B5650" s="104"/>
      <c r="C5650" s="105"/>
      <c r="K5650" s="1"/>
      <c r="L5650" s="2"/>
    </row>
    <row r="5651" spans="1:12" x14ac:dyDescent="0.2">
      <c r="A5651" s="103"/>
      <c r="B5651" s="104"/>
      <c r="C5651" s="105"/>
      <c r="K5651" s="1"/>
      <c r="L5651" s="2"/>
    </row>
    <row r="5652" spans="1:12" x14ac:dyDescent="0.2">
      <c r="A5652" s="103"/>
      <c r="B5652" s="104"/>
      <c r="C5652" s="105"/>
      <c r="K5652" s="1"/>
      <c r="L5652" s="2"/>
    </row>
    <row r="5653" spans="1:12" x14ac:dyDescent="0.2">
      <c r="A5653" s="103"/>
      <c r="B5653" s="104"/>
      <c r="C5653" s="105"/>
      <c r="K5653" s="1"/>
      <c r="L5653" s="2"/>
    </row>
    <row r="5654" spans="1:12" x14ac:dyDescent="0.2">
      <c r="A5654" s="103"/>
      <c r="B5654" s="104"/>
      <c r="C5654" s="105"/>
      <c r="K5654" s="1"/>
      <c r="L5654" s="2"/>
    </row>
    <row r="5655" spans="1:12" x14ac:dyDescent="0.2">
      <c r="A5655" s="103"/>
      <c r="B5655" s="104"/>
      <c r="C5655" s="105"/>
      <c r="K5655" s="1"/>
      <c r="L5655" s="2"/>
    </row>
    <row r="5656" spans="1:12" x14ac:dyDescent="0.2">
      <c r="A5656" s="103"/>
      <c r="B5656" s="104"/>
      <c r="C5656" s="105"/>
      <c r="K5656" s="1"/>
      <c r="L5656" s="2"/>
    </row>
    <row r="5657" spans="1:12" x14ac:dyDescent="0.2">
      <c r="A5657" s="103"/>
      <c r="B5657" s="104"/>
      <c r="C5657" s="105"/>
      <c r="K5657" s="1"/>
      <c r="L5657" s="2"/>
    </row>
    <row r="5658" spans="1:12" x14ac:dyDescent="0.2">
      <c r="A5658" s="103"/>
      <c r="B5658" s="104"/>
      <c r="C5658" s="105"/>
      <c r="K5658" s="1"/>
      <c r="L5658" s="2"/>
    </row>
    <row r="5659" spans="1:12" x14ac:dyDescent="0.2">
      <c r="A5659" s="103"/>
      <c r="B5659" s="104"/>
      <c r="C5659" s="105"/>
      <c r="K5659" s="1"/>
      <c r="L5659" s="2"/>
    </row>
    <row r="5660" spans="1:12" x14ac:dyDescent="0.2">
      <c r="A5660" s="103"/>
      <c r="B5660" s="104"/>
      <c r="C5660" s="105"/>
      <c r="K5660" s="1"/>
      <c r="L5660" s="2"/>
    </row>
    <row r="5661" spans="1:12" x14ac:dyDescent="0.2">
      <c r="A5661" s="103"/>
      <c r="B5661" s="104"/>
      <c r="C5661" s="105"/>
      <c r="K5661" s="1"/>
      <c r="L5661" s="2"/>
    </row>
    <row r="5662" spans="1:12" x14ac:dyDescent="0.2">
      <c r="A5662" s="103"/>
      <c r="B5662" s="104"/>
      <c r="C5662" s="105"/>
      <c r="K5662" s="1"/>
      <c r="L5662" s="2"/>
    </row>
    <row r="5663" spans="1:12" x14ac:dyDescent="0.2">
      <c r="A5663" s="103"/>
      <c r="B5663" s="104"/>
      <c r="C5663" s="105"/>
      <c r="K5663" s="1"/>
      <c r="L5663" s="2"/>
    </row>
    <row r="5664" spans="1:12" x14ac:dyDescent="0.2">
      <c r="A5664" s="103"/>
      <c r="B5664" s="104"/>
      <c r="C5664" s="105"/>
      <c r="K5664" s="1"/>
      <c r="L5664" s="2"/>
    </row>
    <row r="5665" spans="1:12" x14ac:dyDescent="0.2">
      <c r="A5665" s="103"/>
      <c r="B5665" s="104"/>
      <c r="C5665" s="105"/>
      <c r="K5665" s="1"/>
      <c r="L5665" s="2"/>
    </row>
    <row r="5666" spans="1:12" x14ac:dyDescent="0.2">
      <c r="A5666" s="103"/>
      <c r="B5666" s="104"/>
      <c r="C5666" s="105"/>
      <c r="K5666" s="1"/>
      <c r="L5666" s="2"/>
    </row>
    <row r="5667" spans="1:12" x14ac:dyDescent="0.2">
      <c r="A5667" s="103"/>
      <c r="B5667" s="104"/>
      <c r="C5667" s="105"/>
      <c r="K5667" s="1"/>
      <c r="L5667" s="2"/>
    </row>
    <row r="5668" spans="1:12" x14ac:dyDescent="0.2">
      <c r="A5668" s="103"/>
      <c r="B5668" s="104"/>
      <c r="C5668" s="105"/>
      <c r="K5668" s="1"/>
      <c r="L5668" s="2"/>
    </row>
    <row r="5669" spans="1:12" x14ac:dyDescent="0.2">
      <c r="A5669" s="103"/>
      <c r="B5669" s="104"/>
      <c r="C5669" s="105"/>
      <c r="K5669" s="1"/>
      <c r="L5669" s="2"/>
    </row>
    <row r="5670" spans="1:12" x14ac:dyDescent="0.2">
      <c r="A5670" s="103"/>
      <c r="B5670" s="104"/>
      <c r="C5670" s="105"/>
      <c r="K5670" s="1"/>
      <c r="L5670" s="2"/>
    </row>
    <row r="5671" spans="1:12" x14ac:dyDescent="0.2">
      <c r="A5671" s="103"/>
      <c r="B5671" s="104"/>
      <c r="C5671" s="105"/>
      <c r="K5671" s="1"/>
      <c r="L5671" s="2"/>
    </row>
    <row r="5672" spans="1:12" x14ac:dyDescent="0.2">
      <c r="A5672" s="103"/>
      <c r="B5672" s="104"/>
      <c r="C5672" s="105"/>
      <c r="K5672" s="1"/>
      <c r="L5672" s="2"/>
    </row>
    <row r="5673" spans="1:12" x14ac:dyDescent="0.2">
      <c r="A5673" s="103"/>
      <c r="B5673" s="104"/>
      <c r="C5673" s="105"/>
      <c r="K5673" s="1"/>
      <c r="L5673" s="2"/>
    </row>
    <row r="5674" spans="1:12" x14ac:dyDescent="0.2">
      <c r="A5674" s="103"/>
      <c r="B5674" s="104"/>
      <c r="C5674" s="105"/>
      <c r="K5674" s="1"/>
      <c r="L5674" s="2"/>
    </row>
    <row r="5675" spans="1:12" x14ac:dyDescent="0.2">
      <c r="A5675" s="103"/>
      <c r="B5675" s="104"/>
      <c r="C5675" s="105"/>
      <c r="K5675" s="1"/>
      <c r="L5675" s="2"/>
    </row>
    <row r="5676" spans="1:12" x14ac:dyDescent="0.2">
      <c r="A5676" s="103"/>
      <c r="B5676" s="104"/>
      <c r="C5676" s="105"/>
      <c r="K5676" s="1"/>
      <c r="L5676" s="2"/>
    </row>
    <row r="5677" spans="1:12" x14ac:dyDescent="0.2">
      <c r="A5677" s="103"/>
      <c r="B5677" s="104"/>
      <c r="C5677" s="105"/>
      <c r="K5677" s="1"/>
      <c r="L5677" s="2"/>
    </row>
    <row r="5678" spans="1:12" x14ac:dyDescent="0.2">
      <c r="A5678" s="103"/>
      <c r="B5678" s="104"/>
      <c r="C5678" s="105"/>
      <c r="K5678" s="1"/>
      <c r="L5678" s="2"/>
    </row>
    <row r="5679" spans="1:12" x14ac:dyDescent="0.2">
      <c r="A5679" s="103"/>
      <c r="B5679" s="104"/>
      <c r="C5679" s="105"/>
      <c r="K5679" s="1"/>
      <c r="L5679" s="2"/>
    </row>
    <row r="5680" spans="1:12" x14ac:dyDescent="0.2">
      <c r="A5680" s="103"/>
      <c r="B5680" s="104"/>
      <c r="C5680" s="105"/>
      <c r="K5680" s="1"/>
      <c r="L5680" s="2"/>
    </row>
    <row r="5681" spans="1:12" x14ac:dyDescent="0.2">
      <c r="A5681" s="103"/>
      <c r="B5681" s="104"/>
      <c r="C5681" s="105"/>
      <c r="K5681" s="1"/>
      <c r="L5681" s="2"/>
    </row>
    <row r="5682" spans="1:12" x14ac:dyDescent="0.2">
      <c r="A5682" s="103"/>
      <c r="B5682" s="104"/>
      <c r="C5682" s="105"/>
      <c r="K5682" s="1"/>
      <c r="L5682" s="2"/>
    </row>
    <row r="5683" spans="1:12" x14ac:dyDescent="0.2">
      <c r="A5683" s="103"/>
      <c r="B5683" s="104"/>
      <c r="C5683" s="105"/>
      <c r="K5683" s="1"/>
      <c r="L5683" s="2"/>
    </row>
    <row r="5684" spans="1:12" x14ac:dyDescent="0.2">
      <c r="A5684" s="103"/>
      <c r="B5684" s="104"/>
      <c r="C5684" s="105"/>
      <c r="K5684" s="1"/>
      <c r="L5684" s="2"/>
    </row>
    <row r="5685" spans="1:12" x14ac:dyDescent="0.2">
      <c r="A5685" s="103"/>
      <c r="B5685" s="104"/>
      <c r="C5685" s="105"/>
      <c r="K5685" s="1"/>
      <c r="L5685" s="2"/>
    </row>
    <row r="5686" spans="1:12" x14ac:dyDescent="0.2">
      <c r="A5686" s="103"/>
      <c r="B5686" s="104"/>
      <c r="C5686" s="105"/>
      <c r="K5686" s="1"/>
      <c r="L5686" s="2"/>
    </row>
    <row r="5687" spans="1:12" x14ac:dyDescent="0.2">
      <c r="A5687" s="103"/>
      <c r="B5687" s="104"/>
      <c r="C5687" s="105"/>
      <c r="K5687" s="1"/>
      <c r="L5687" s="2"/>
    </row>
    <row r="5688" spans="1:12" x14ac:dyDescent="0.2">
      <c r="A5688" s="103"/>
      <c r="B5688" s="104"/>
      <c r="C5688" s="105"/>
      <c r="K5688" s="1"/>
      <c r="L5688" s="2"/>
    </row>
    <row r="5689" spans="1:12" x14ac:dyDescent="0.2">
      <c r="A5689" s="103"/>
      <c r="B5689" s="104"/>
      <c r="C5689" s="105"/>
      <c r="K5689" s="1"/>
      <c r="L5689" s="2"/>
    </row>
    <row r="5690" spans="1:12" x14ac:dyDescent="0.2">
      <c r="A5690" s="103"/>
      <c r="B5690" s="104"/>
      <c r="C5690" s="105"/>
      <c r="K5690" s="1"/>
      <c r="L5690" s="2"/>
    </row>
    <row r="5691" spans="1:12" x14ac:dyDescent="0.2">
      <c r="A5691" s="103"/>
      <c r="B5691" s="104"/>
      <c r="C5691" s="105"/>
      <c r="K5691" s="1"/>
      <c r="L5691" s="2"/>
    </row>
    <row r="5692" spans="1:12" x14ac:dyDescent="0.2">
      <c r="A5692" s="103"/>
      <c r="B5692" s="104"/>
      <c r="C5692" s="105"/>
      <c r="K5692" s="1"/>
      <c r="L5692" s="2"/>
    </row>
    <row r="5693" spans="1:12" x14ac:dyDescent="0.2">
      <c r="A5693" s="103"/>
      <c r="B5693" s="104"/>
      <c r="C5693" s="105"/>
      <c r="K5693" s="1"/>
      <c r="L5693" s="2"/>
    </row>
    <row r="5694" spans="1:12" x14ac:dyDescent="0.2">
      <c r="A5694" s="103"/>
      <c r="B5694" s="104"/>
      <c r="C5694" s="105"/>
      <c r="K5694" s="1"/>
      <c r="L5694" s="2"/>
    </row>
    <row r="5695" spans="1:12" x14ac:dyDescent="0.2">
      <c r="A5695" s="103"/>
      <c r="B5695" s="104"/>
      <c r="C5695" s="105"/>
      <c r="K5695" s="1"/>
      <c r="L5695" s="2"/>
    </row>
    <row r="5696" spans="1:12" x14ac:dyDescent="0.2">
      <c r="A5696" s="103"/>
      <c r="B5696" s="104"/>
      <c r="C5696" s="105"/>
      <c r="K5696" s="1"/>
      <c r="L5696" s="2"/>
    </row>
    <row r="5697" spans="1:12" x14ac:dyDescent="0.2">
      <c r="A5697" s="103"/>
      <c r="B5697" s="104"/>
      <c r="C5697" s="105"/>
      <c r="K5697" s="1"/>
      <c r="L5697" s="2"/>
    </row>
    <row r="5698" spans="1:12" x14ac:dyDescent="0.2">
      <c r="A5698" s="103"/>
      <c r="B5698" s="104"/>
      <c r="C5698" s="105"/>
      <c r="K5698" s="1"/>
      <c r="L5698" s="2"/>
    </row>
    <row r="5699" spans="1:12" x14ac:dyDescent="0.2">
      <c r="A5699" s="103"/>
      <c r="B5699" s="104"/>
      <c r="C5699" s="105"/>
      <c r="K5699" s="1"/>
      <c r="L5699" s="2"/>
    </row>
    <row r="5700" spans="1:12" x14ac:dyDescent="0.2">
      <c r="A5700" s="103"/>
      <c r="B5700" s="104"/>
      <c r="C5700" s="105"/>
      <c r="K5700" s="1"/>
      <c r="L5700" s="2"/>
    </row>
    <row r="5701" spans="1:12" x14ac:dyDescent="0.2">
      <c r="A5701" s="103"/>
      <c r="B5701" s="104"/>
      <c r="C5701" s="105"/>
      <c r="K5701" s="1"/>
      <c r="L5701" s="2"/>
    </row>
    <row r="5702" spans="1:12" x14ac:dyDescent="0.2">
      <c r="A5702" s="103"/>
      <c r="B5702" s="104"/>
      <c r="C5702" s="105"/>
      <c r="K5702" s="1"/>
      <c r="L5702" s="2"/>
    </row>
    <row r="5703" spans="1:12" x14ac:dyDescent="0.2">
      <c r="A5703" s="103"/>
      <c r="B5703" s="104"/>
      <c r="C5703" s="105"/>
      <c r="K5703" s="1"/>
      <c r="L5703" s="2"/>
    </row>
    <row r="5704" spans="1:12" x14ac:dyDescent="0.2">
      <c r="A5704" s="103"/>
      <c r="B5704" s="104"/>
      <c r="C5704" s="105"/>
      <c r="K5704" s="1"/>
      <c r="L5704" s="2"/>
    </row>
    <row r="5705" spans="1:12" x14ac:dyDescent="0.2">
      <c r="A5705" s="103"/>
      <c r="B5705" s="104"/>
      <c r="C5705" s="105"/>
      <c r="K5705" s="1"/>
      <c r="L5705" s="2"/>
    </row>
    <row r="5706" spans="1:12" x14ac:dyDescent="0.2">
      <c r="A5706" s="103"/>
      <c r="B5706" s="104"/>
      <c r="C5706" s="105"/>
      <c r="K5706" s="1"/>
      <c r="L5706" s="2"/>
    </row>
    <row r="5707" spans="1:12" x14ac:dyDescent="0.2">
      <c r="A5707" s="103"/>
      <c r="B5707" s="104"/>
      <c r="C5707" s="105"/>
      <c r="K5707" s="1"/>
      <c r="L5707" s="2"/>
    </row>
    <row r="5708" spans="1:12" x14ac:dyDescent="0.2">
      <c r="A5708" s="103"/>
      <c r="B5708" s="104"/>
      <c r="C5708" s="105"/>
      <c r="K5708" s="1"/>
      <c r="L5708" s="2"/>
    </row>
    <row r="5709" spans="1:12" x14ac:dyDescent="0.2">
      <c r="A5709" s="103"/>
      <c r="B5709" s="104"/>
      <c r="C5709" s="105"/>
      <c r="K5709" s="1"/>
      <c r="L5709" s="2"/>
    </row>
    <row r="5710" spans="1:12" x14ac:dyDescent="0.2">
      <c r="A5710" s="103"/>
      <c r="B5710" s="104"/>
      <c r="C5710" s="105"/>
      <c r="K5710" s="1"/>
      <c r="L5710" s="2"/>
    </row>
    <row r="5711" spans="1:12" x14ac:dyDescent="0.2">
      <c r="A5711" s="103"/>
      <c r="B5711" s="104"/>
      <c r="C5711" s="105"/>
      <c r="K5711" s="1"/>
      <c r="L5711" s="2"/>
    </row>
    <row r="5712" spans="1:12" x14ac:dyDescent="0.2">
      <c r="A5712" s="103"/>
      <c r="B5712" s="104"/>
      <c r="C5712" s="105"/>
      <c r="K5712" s="1"/>
      <c r="L5712" s="2"/>
    </row>
    <row r="5713" spans="1:12" x14ac:dyDescent="0.2">
      <c r="A5713" s="103"/>
      <c r="B5713" s="104"/>
      <c r="C5713" s="105"/>
      <c r="K5713" s="1"/>
      <c r="L5713" s="2"/>
    </row>
    <row r="5714" spans="1:12" x14ac:dyDescent="0.2">
      <c r="A5714" s="103"/>
      <c r="B5714" s="104"/>
      <c r="C5714" s="105"/>
      <c r="K5714" s="1"/>
      <c r="L5714" s="2"/>
    </row>
    <row r="5715" spans="1:12" x14ac:dyDescent="0.2">
      <c r="A5715" s="103"/>
      <c r="B5715" s="104"/>
      <c r="C5715" s="105"/>
      <c r="K5715" s="1"/>
      <c r="L5715" s="2"/>
    </row>
    <row r="5716" spans="1:12" x14ac:dyDescent="0.2">
      <c r="A5716" s="103"/>
      <c r="B5716" s="104"/>
      <c r="C5716" s="105"/>
      <c r="K5716" s="1"/>
      <c r="L5716" s="2"/>
    </row>
    <row r="5717" spans="1:12" x14ac:dyDescent="0.2">
      <c r="A5717" s="103"/>
      <c r="B5717" s="104"/>
      <c r="C5717" s="105"/>
      <c r="K5717" s="1"/>
      <c r="L5717" s="2"/>
    </row>
    <row r="5718" spans="1:12" x14ac:dyDescent="0.2">
      <c r="A5718" s="103"/>
      <c r="B5718" s="104"/>
      <c r="C5718" s="105"/>
      <c r="K5718" s="1"/>
      <c r="L5718" s="2"/>
    </row>
    <row r="5719" spans="1:12" x14ac:dyDescent="0.2">
      <c r="A5719" s="103"/>
      <c r="B5719" s="104"/>
      <c r="C5719" s="105"/>
      <c r="K5719" s="1"/>
      <c r="L5719" s="2"/>
    </row>
    <row r="5720" spans="1:12" x14ac:dyDescent="0.2">
      <c r="A5720" s="103"/>
      <c r="B5720" s="104"/>
      <c r="C5720" s="105"/>
      <c r="K5720" s="1"/>
      <c r="L5720" s="2"/>
    </row>
    <row r="5721" spans="1:12" x14ac:dyDescent="0.2">
      <c r="A5721" s="103"/>
      <c r="B5721" s="104"/>
      <c r="C5721" s="105"/>
      <c r="K5721" s="1"/>
      <c r="L5721" s="2"/>
    </row>
    <row r="5722" spans="1:12" x14ac:dyDescent="0.2">
      <c r="A5722" s="103"/>
      <c r="B5722" s="104"/>
      <c r="C5722" s="105"/>
      <c r="K5722" s="1"/>
      <c r="L5722" s="2"/>
    </row>
    <row r="5723" spans="1:12" x14ac:dyDescent="0.2">
      <c r="A5723" s="103"/>
      <c r="B5723" s="104"/>
      <c r="C5723" s="105"/>
      <c r="K5723" s="1"/>
      <c r="L5723" s="2"/>
    </row>
    <row r="5724" spans="1:12" x14ac:dyDescent="0.2">
      <c r="A5724" s="103"/>
      <c r="B5724" s="104"/>
      <c r="C5724" s="105"/>
      <c r="K5724" s="1"/>
      <c r="L5724" s="2"/>
    </row>
    <row r="5725" spans="1:12" x14ac:dyDescent="0.2">
      <c r="A5725" s="103"/>
      <c r="B5725" s="104"/>
      <c r="C5725" s="105"/>
      <c r="K5725" s="1"/>
      <c r="L5725" s="2"/>
    </row>
    <row r="5726" spans="1:12" x14ac:dyDescent="0.2">
      <c r="A5726" s="103"/>
      <c r="B5726" s="104"/>
      <c r="C5726" s="105"/>
      <c r="K5726" s="1"/>
      <c r="L5726" s="2"/>
    </row>
    <row r="5727" spans="1:12" x14ac:dyDescent="0.2">
      <c r="A5727" s="103"/>
      <c r="B5727" s="104"/>
      <c r="C5727" s="105"/>
      <c r="K5727" s="1"/>
      <c r="L5727" s="2"/>
    </row>
    <row r="5728" spans="1:12" x14ac:dyDescent="0.2">
      <c r="A5728" s="103"/>
      <c r="B5728" s="104"/>
      <c r="C5728" s="105"/>
      <c r="K5728" s="1"/>
      <c r="L5728" s="2"/>
    </row>
    <row r="5729" spans="1:12" x14ac:dyDescent="0.2">
      <c r="A5729" s="103"/>
      <c r="B5729" s="104"/>
      <c r="C5729" s="105"/>
      <c r="K5729" s="1"/>
      <c r="L5729" s="2"/>
    </row>
    <row r="5730" spans="1:12" x14ac:dyDescent="0.2">
      <c r="A5730" s="103"/>
      <c r="B5730" s="104"/>
      <c r="C5730" s="105"/>
      <c r="K5730" s="1"/>
      <c r="L5730" s="2"/>
    </row>
    <row r="5731" spans="1:12" x14ac:dyDescent="0.2">
      <c r="A5731" s="103"/>
      <c r="B5731" s="104"/>
      <c r="C5731" s="105"/>
      <c r="K5731" s="1"/>
      <c r="L5731" s="2"/>
    </row>
    <row r="5732" spans="1:12" x14ac:dyDescent="0.2">
      <c r="A5732" s="103"/>
      <c r="B5732" s="104"/>
      <c r="C5732" s="105"/>
      <c r="K5732" s="1"/>
      <c r="L5732" s="2"/>
    </row>
    <row r="5733" spans="1:12" x14ac:dyDescent="0.2">
      <c r="A5733" s="103"/>
      <c r="B5733" s="104"/>
      <c r="C5733" s="105"/>
      <c r="K5733" s="1"/>
      <c r="L5733" s="2"/>
    </row>
    <row r="5734" spans="1:12" x14ac:dyDescent="0.2">
      <c r="A5734" s="103"/>
      <c r="B5734" s="104"/>
      <c r="C5734" s="105"/>
      <c r="K5734" s="1"/>
      <c r="L5734" s="2"/>
    </row>
    <row r="5735" spans="1:12" x14ac:dyDescent="0.2">
      <c r="A5735" s="103"/>
      <c r="B5735" s="104"/>
      <c r="C5735" s="105"/>
      <c r="K5735" s="1"/>
      <c r="L5735" s="2"/>
    </row>
    <row r="5736" spans="1:12" x14ac:dyDescent="0.2">
      <c r="A5736" s="103"/>
      <c r="B5736" s="104"/>
      <c r="C5736" s="105"/>
      <c r="K5736" s="1"/>
      <c r="L5736" s="2"/>
    </row>
    <row r="5737" spans="1:12" x14ac:dyDescent="0.2">
      <c r="A5737" s="103"/>
      <c r="B5737" s="104"/>
      <c r="C5737" s="105"/>
      <c r="K5737" s="1"/>
      <c r="L5737" s="2"/>
    </row>
    <row r="5738" spans="1:12" x14ac:dyDescent="0.2">
      <c r="A5738" s="103"/>
      <c r="B5738" s="104"/>
      <c r="C5738" s="105"/>
      <c r="K5738" s="1"/>
      <c r="L5738" s="2"/>
    </row>
    <row r="5739" spans="1:12" x14ac:dyDescent="0.2">
      <c r="A5739" s="103"/>
      <c r="B5739" s="104"/>
      <c r="C5739" s="105"/>
      <c r="K5739" s="1"/>
      <c r="L5739" s="2"/>
    </row>
    <row r="5740" spans="1:12" x14ac:dyDescent="0.2">
      <c r="A5740" s="103"/>
      <c r="B5740" s="104"/>
      <c r="C5740" s="105"/>
      <c r="K5740" s="1"/>
      <c r="L5740" s="2"/>
    </row>
    <row r="5741" spans="1:12" x14ac:dyDescent="0.2">
      <c r="A5741" s="103"/>
      <c r="B5741" s="104"/>
      <c r="C5741" s="105"/>
      <c r="K5741" s="1"/>
      <c r="L5741" s="2"/>
    </row>
    <row r="5742" spans="1:12" x14ac:dyDescent="0.2">
      <c r="A5742" s="103"/>
      <c r="B5742" s="104"/>
      <c r="C5742" s="105"/>
      <c r="K5742" s="1"/>
      <c r="L5742" s="2"/>
    </row>
    <row r="5743" spans="1:12" x14ac:dyDescent="0.2">
      <c r="A5743" s="103"/>
      <c r="B5743" s="104"/>
      <c r="C5743" s="105"/>
      <c r="K5743" s="1"/>
      <c r="L5743" s="2"/>
    </row>
    <row r="5744" spans="1:12" x14ac:dyDescent="0.2">
      <c r="A5744" s="103"/>
      <c r="B5744" s="104"/>
      <c r="C5744" s="105"/>
      <c r="K5744" s="1"/>
      <c r="L5744" s="2"/>
    </row>
    <row r="5745" spans="1:12" x14ac:dyDescent="0.2">
      <c r="A5745" s="103"/>
      <c r="B5745" s="104"/>
      <c r="C5745" s="105"/>
      <c r="K5745" s="1"/>
      <c r="L5745" s="2"/>
    </row>
    <row r="5746" spans="1:12" x14ac:dyDescent="0.2">
      <c r="A5746" s="103"/>
      <c r="B5746" s="104"/>
      <c r="C5746" s="105"/>
      <c r="K5746" s="1"/>
      <c r="L5746" s="2"/>
    </row>
    <row r="5747" spans="1:12" x14ac:dyDescent="0.2">
      <c r="A5747" s="103"/>
      <c r="B5747" s="104"/>
      <c r="C5747" s="105"/>
      <c r="K5747" s="1"/>
      <c r="L5747" s="2"/>
    </row>
    <row r="5748" spans="1:12" x14ac:dyDescent="0.2">
      <c r="A5748" s="103"/>
      <c r="B5748" s="104"/>
      <c r="C5748" s="105"/>
      <c r="K5748" s="1"/>
      <c r="L5748" s="2"/>
    </row>
    <row r="5749" spans="1:12" x14ac:dyDescent="0.2">
      <c r="A5749" s="103"/>
      <c r="B5749" s="104"/>
      <c r="C5749" s="105"/>
      <c r="K5749" s="1"/>
      <c r="L5749" s="2"/>
    </row>
    <row r="5750" spans="1:12" x14ac:dyDescent="0.2">
      <c r="A5750" s="103"/>
      <c r="B5750" s="104"/>
      <c r="C5750" s="105"/>
      <c r="K5750" s="1"/>
      <c r="L5750" s="2"/>
    </row>
    <row r="5751" spans="1:12" x14ac:dyDescent="0.2">
      <c r="A5751" s="103"/>
      <c r="B5751" s="104"/>
      <c r="C5751" s="105"/>
      <c r="K5751" s="1"/>
      <c r="L5751" s="2"/>
    </row>
    <row r="5752" spans="1:12" x14ac:dyDescent="0.2">
      <c r="A5752" s="103"/>
      <c r="B5752" s="104"/>
      <c r="C5752" s="105"/>
      <c r="K5752" s="1"/>
      <c r="L5752" s="2"/>
    </row>
    <row r="5753" spans="1:12" x14ac:dyDescent="0.2">
      <c r="A5753" s="103"/>
      <c r="B5753" s="104"/>
      <c r="C5753" s="105"/>
      <c r="K5753" s="1"/>
      <c r="L5753" s="2"/>
    </row>
    <row r="5754" spans="1:12" x14ac:dyDescent="0.2">
      <c r="A5754" s="103"/>
      <c r="B5754" s="104"/>
      <c r="C5754" s="105"/>
      <c r="K5754" s="1"/>
      <c r="L5754" s="2"/>
    </row>
    <row r="5755" spans="1:12" x14ac:dyDescent="0.2">
      <c r="A5755" s="103"/>
      <c r="B5755" s="104"/>
      <c r="C5755" s="105"/>
      <c r="K5755" s="1"/>
      <c r="L5755" s="2"/>
    </row>
    <row r="5756" spans="1:12" x14ac:dyDescent="0.2">
      <c r="A5756" s="103"/>
      <c r="B5756" s="104"/>
      <c r="C5756" s="105"/>
      <c r="K5756" s="1"/>
      <c r="L5756" s="2"/>
    </row>
    <row r="5757" spans="1:12" x14ac:dyDescent="0.2">
      <c r="A5757" s="103"/>
      <c r="B5757" s="104"/>
      <c r="C5757" s="105"/>
      <c r="K5757" s="1"/>
      <c r="L5757" s="2"/>
    </row>
    <row r="5758" spans="1:12" x14ac:dyDescent="0.2">
      <c r="A5758" s="103"/>
      <c r="B5758" s="104"/>
      <c r="C5758" s="105"/>
      <c r="K5758" s="1"/>
      <c r="L5758" s="2"/>
    </row>
    <row r="5759" spans="1:12" x14ac:dyDescent="0.2">
      <c r="A5759" s="103"/>
      <c r="B5759" s="104"/>
      <c r="C5759" s="105"/>
      <c r="K5759" s="1"/>
      <c r="L5759" s="2"/>
    </row>
    <row r="5760" spans="1:12" x14ac:dyDescent="0.2">
      <c r="A5760" s="103"/>
      <c r="B5760" s="104"/>
      <c r="C5760" s="105"/>
      <c r="K5760" s="1"/>
      <c r="L5760" s="2"/>
    </row>
    <row r="5761" spans="1:12" x14ac:dyDescent="0.2">
      <c r="A5761" s="103"/>
      <c r="B5761" s="104"/>
      <c r="C5761" s="105"/>
      <c r="K5761" s="1"/>
      <c r="L5761" s="2"/>
    </row>
    <row r="5762" spans="1:12" x14ac:dyDescent="0.2">
      <c r="A5762" s="103"/>
      <c r="B5762" s="104"/>
      <c r="C5762" s="105"/>
      <c r="K5762" s="1"/>
      <c r="L5762" s="2"/>
    </row>
    <row r="5763" spans="1:12" x14ac:dyDescent="0.2">
      <c r="A5763" s="103"/>
      <c r="B5763" s="104"/>
      <c r="C5763" s="105"/>
      <c r="K5763" s="1"/>
      <c r="L5763" s="2"/>
    </row>
    <row r="5764" spans="1:12" x14ac:dyDescent="0.2">
      <c r="A5764" s="103"/>
      <c r="B5764" s="104"/>
      <c r="C5764" s="105"/>
      <c r="K5764" s="1"/>
      <c r="L5764" s="2"/>
    </row>
    <row r="5765" spans="1:12" x14ac:dyDescent="0.2">
      <c r="A5765" s="103"/>
      <c r="B5765" s="104"/>
      <c r="C5765" s="105"/>
      <c r="K5765" s="1"/>
      <c r="L5765" s="2"/>
    </row>
    <row r="5766" spans="1:12" x14ac:dyDescent="0.2">
      <c r="A5766" s="103"/>
      <c r="B5766" s="104"/>
      <c r="C5766" s="105"/>
      <c r="K5766" s="1"/>
      <c r="L5766" s="2"/>
    </row>
    <row r="5767" spans="1:12" x14ac:dyDescent="0.2">
      <c r="A5767" s="103"/>
      <c r="B5767" s="104"/>
      <c r="C5767" s="105"/>
      <c r="K5767" s="1"/>
      <c r="L5767" s="2"/>
    </row>
    <row r="5768" spans="1:12" x14ac:dyDescent="0.2">
      <c r="A5768" s="103"/>
      <c r="B5768" s="104"/>
      <c r="C5768" s="105"/>
      <c r="K5768" s="1"/>
      <c r="L5768" s="2"/>
    </row>
    <row r="5769" spans="1:12" x14ac:dyDescent="0.2">
      <c r="A5769" s="103"/>
      <c r="B5769" s="104"/>
      <c r="C5769" s="105"/>
      <c r="K5769" s="1"/>
      <c r="L5769" s="2"/>
    </row>
    <row r="5770" spans="1:12" x14ac:dyDescent="0.2">
      <c r="A5770" s="103"/>
      <c r="B5770" s="104"/>
      <c r="C5770" s="105"/>
      <c r="K5770" s="1"/>
      <c r="L5770" s="2"/>
    </row>
    <row r="5771" spans="1:12" x14ac:dyDescent="0.2">
      <c r="A5771" s="103"/>
      <c r="B5771" s="104"/>
      <c r="C5771" s="105"/>
      <c r="K5771" s="1"/>
      <c r="L5771" s="2"/>
    </row>
    <row r="5772" spans="1:12" x14ac:dyDescent="0.2">
      <c r="A5772" s="103"/>
      <c r="B5772" s="104"/>
      <c r="C5772" s="105"/>
      <c r="K5772" s="1"/>
      <c r="L5772" s="2"/>
    </row>
    <row r="5773" spans="1:12" x14ac:dyDescent="0.2">
      <c r="A5773" s="103"/>
      <c r="B5773" s="104"/>
      <c r="C5773" s="105"/>
      <c r="K5773" s="1"/>
      <c r="L5773" s="2"/>
    </row>
    <row r="5774" spans="1:12" x14ac:dyDescent="0.2">
      <c r="A5774" s="103"/>
      <c r="B5774" s="104"/>
      <c r="C5774" s="105"/>
      <c r="K5774" s="1"/>
      <c r="L5774" s="2"/>
    </row>
    <row r="5775" spans="1:12" x14ac:dyDescent="0.2">
      <c r="A5775" s="103"/>
      <c r="B5775" s="104"/>
      <c r="C5775" s="105"/>
      <c r="K5775" s="1"/>
      <c r="L5775" s="2"/>
    </row>
    <row r="5776" spans="1:12" x14ac:dyDescent="0.2">
      <c r="A5776" s="103"/>
      <c r="B5776" s="104"/>
      <c r="C5776" s="105"/>
      <c r="K5776" s="1"/>
      <c r="L5776" s="2"/>
    </row>
    <row r="5777" spans="1:12" x14ac:dyDescent="0.2">
      <c r="A5777" s="103"/>
      <c r="B5777" s="104"/>
      <c r="C5777" s="105"/>
      <c r="K5777" s="1"/>
      <c r="L5777" s="2"/>
    </row>
    <row r="5778" spans="1:12" x14ac:dyDescent="0.2">
      <c r="A5778" s="103"/>
      <c r="B5778" s="104"/>
      <c r="C5778" s="105"/>
      <c r="K5778" s="1"/>
      <c r="L5778" s="2"/>
    </row>
    <row r="5779" spans="1:12" x14ac:dyDescent="0.2">
      <c r="A5779" s="103"/>
      <c r="B5779" s="104"/>
      <c r="C5779" s="105"/>
      <c r="K5779" s="1"/>
      <c r="L5779" s="2"/>
    </row>
    <row r="5780" spans="1:12" x14ac:dyDescent="0.2">
      <c r="A5780" s="103"/>
      <c r="B5780" s="104"/>
      <c r="C5780" s="105"/>
      <c r="K5780" s="1"/>
      <c r="L5780" s="2"/>
    </row>
    <row r="5781" spans="1:12" x14ac:dyDescent="0.2">
      <c r="A5781" s="103"/>
      <c r="B5781" s="104"/>
      <c r="C5781" s="105"/>
      <c r="K5781" s="1"/>
      <c r="L5781" s="2"/>
    </row>
    <row r="5782" spans="1:12" x14ac:dyDescent="0.2">
      <c r="A5782" s="103"/>
      <c r="B5782" s="104"/>
      <c r="C5782" s="105"/>
      <c r="K5782" s="1"/>
      <c r="L5782" s="2"/>
    </row>
    <row r="5783" spans="1:12" x14ac:dyDescent="0.2">
      <c r="A5783" s="103"/>
      <c r="B5783" s="104"/>
      <c r="C5783" s="105"/>
      <c r="K5783" s="1"/>
      <c r="L5783" s="2"/>
    </row>
    <row r="5784" spans="1:12" x14ac:dyDescent="0.2">
      <c r="A5784" s="103"/>
      <c r="B5784" s="104"/>
      <c r="C5784" s="105"/>
      <c r="K5784" s="1"/>
      <c r="L5784" s="2"/>
    </row>
    <row r="5785" spans="1:12" x14ac:dyDescent="0.2">
      <c r="A5785" s="103"/>
      <c r="B5785" s="104"/>
      <c r="C5785" s="105"/>
      <c r="K5785" s="1"/>
      <c r="L5785" s="2"/>
    </row>
    <row r="5786" spans="1:12" x14ac:dyDescent="0.2">
      <c r="A5786" s="103"/>
      <c r="B5786" s="104"/>
      <c r="C5786" s="105"/>
      <c r="K5786" s="1"/>
      <c r="L5786" s="2"/>
    </row>
    <row r="5787" spans="1:12" x14ac:dyDescent="0.2">
      <c r="A5787" s="103"/>
      <c r="B5787" s="104"/>
      <c r="C5787" s="105"/>
      <c r="K5787" s="1"/>
      <c r="L5787" s="2"/>
    </row>
    <row r="5788" spans="1:12" x14ac:dyDescent="0.2">
      <c r="A5788" s="103"/>
      <c r="B5788" s="104"/>
      <c r="C5788" s="105"/>
      <c r="K5788" s="1"/>
      <c r="L5788" s="2"/>
    </row>
    <row r="5789" spans="1:12" x14ac:dyDescent="0.2">
      <c r="A5789" s="103"/>
      <c r="B5789" s="104"/>
      <c r="C5789" s="105"/>
      <c r="K5789" s="1"/>
      <c r="L5789" s="2"/>
    </row>
    <row r="5790" spans="1:12" x14ac:dyDescent="0.2">
      <c r="A5790" s="103"/>
      <c r="B5790" s="104"/>
      <c r="C5790" s="105"/>
      <c r="K5790" s="1"/>
      <c r="L5790" s="2"/>
    </row>
    <row r="5791" spans="1:12" x14ac:dyDescent="0.2">
      <c r="A5791" s="103"/>
      <c r="B5791" s="104"/>
      <c r="C5791" s="105"/>
      <c r="K5791" s="1"/>
      <c r="L5791" s="2"/>
    </row>
    <row r="5792" spans="1:12" x14ac:dyDescent="0.2">
      <c r="A5792" s="103"/>
      <c r="B5792" s="104"/>
      <c r="C5792" s="105"/>
      <c r="K5792" s="1"/>
      <c r="L5792" s="2"/>
    </row>
    <row r="5793" spans="1:12" x14ac:dyDescent="0.2">
      <c r="A5793" s="103"/>
      <c r="B5793" s="104"/>
      <c r="C5793" s="105"/>
      <c r="K5793" s="1"/>
      <c r="L5793" s="2"/>
    </row>
    <row r="5794" spans="1:12" x14ac:dyDescent="0.2">
      <c r="A5794" s="103"/>
      <c r="B5794" s="104"/>
      <c r="C5794" s="105"/>
      <c r="K5794" s="1"/>
      <c r="L5794" s="2"/>
    </row>
    <row r="5795" spans="1:12" x14ac:dyDescent="0.2">
      <c r="A5795" s="103"/>
      <c r="B5795" s="104"/>
      <c r="C5795" s="105"/>
      <c r="K5795" s="1"/>
      <c r="L5795" s="2"/>
    </row>
    <row r="5796" spans="1:12" x14ac:dyDescent="0.2">
      <c r="A5796" s="103"/>
      <c r="B5796" s="104"/>
      <c r="C5796" s="105"/>
      <c r="K5796" s="1"/>
      <c r="L5796" s="2"/>
    </row>
    <row r="5797" spans="1:12" x14ac:dyDescent="0.2">
      <c r="A5797" s="103"/>
      <c r="B5797" s="104"/>
      <c r="C5797" s="105"/>
      <c r="K5797" s="1"/>
      <c r="L5797" s="2"/>
    </row>
    <row r="5798" spans="1:12" x14ac:dyDescent="0.2">
      <c r="A5798" s="103"/>
      <c r="B5798" s="104"/>
      <c r="C5798" s="105"/>
      <c r="K5798" s="1"/>
      <c r="L5798" s="2"/>
    </row>
    <row r="5799" spans="1:12" x14ac:dyDescent="0.2">
      <c r="A5799" s="103"/>
      <c r="B5799" s="104"/>
      <c r="C5799" s="105"/>
      <c r="K5799" s="1"/>
      <c r="L5799" s="2"/>
    </row>
    <row r="5800" spans="1:12" x14ac:dyDescent="0.2">
      <c r="A5800" s="103"/>
      <c r="B5800" s="104"/>
      <c r="C5800" s="105"/>
      <c r="K5800" s="1"/>
      <c r="L5800" s="2"/>
    </row>
    <row r="5801" spans="1:12" x14ac:dyDescent="0.2">
      <c r="A5801" s="103"/>
      <c r="B5801" s="104"/>
      <c r="C5801" s="105"/>
      <c r="K5801" s="1"/>
      <c r="L5801" s="2"/>
    </row>
    <row r="5802" spans="1:12" x14ac:dyDescent="0.2">
      <c r="A5802" s="103"/>
      <c r="B5802" s="104"/>
      <c r="C5802" s="105"/>
      <c r="K5802" s="1"/>
      <c r="L5802" s="2"/>
    </row>
    <row r="5803" spans="1:12" x14ac:dyDescent="0.2">
      <c r="A5803" s="103"/>
      <c r="B5803" s="104"/>
      <c r="C5803" s="105"/>
      <c r="K5803" s="1"/>
      <c r="L5803" s="2"/>
    </row>
    <row r="5804" spans="1:12" x14ac:dyDescent="0.2">
      <c r="A5804" s="103"/>
      <c r="B5804" s="104"/>
      <c r="C5804" s="105"/>
      <c r="K5804" s="1"/>
      <c r="L5804" s="2"/>
    </row>
    <row r="5805" spans="1:12" x14ac:dyDescent="0.2">
      <c r="A5805" s="103"/>
      <c r="B5805" s="104"/>
      <c r="C5805" s="105"/>
      <c r="K5805" s="1"/>
      <c r="L5805" s="2"/>
    </row>
    <row r="5806" spans="1:12" x14ac:dyDescent="0.2">
      <c r="A5806" s="103"/>
      <c r="B5806" s="104"/>
      <c r="C5806" s="105"/>
      <c r="K5806" s="1"/>
      <c r="L5806" s="2"/>
    </row>
    <row r="5807" spans="1:12" x14ac:dyDescent="0.2">
      <c r="A5807" s="103"/>
      <c r="B5807" s="104"/>
      <c r="C5807" s="105"/>
      <c r="K5807" s="1"/>
      <c r="L5807" s="2"/>
    </row>
    <row r="5808" spans="1:12" x14ac:dyDescent="0.2">
      <c r="A5808" s="103"/>
      <c r="B5808" s="104"/>
      <c r="C5808" s="105"/>
      <c r="K5808" s="1"/>
      <c r="L5808" s="2"/>
    </row>
    <row r="5809" spans="1:12" x14ac:dyDescent="0.2">
      <c r="A5809" s="103"/>
      <c r="B5809" s="104"/>
      <c r="C5809" s="105"/>
      <c r="K5809" s="1"/>
      <c r="L5809" s="2"/>
    </row>
    <row r="5810" spans="1:12" x14ac:dyDescent="0.2">
      <c r="A5810" s="103"/>
      <c r="B5810" s="104"/>
      <c r="C5810" s="105"/>
      <c r="K5810" s="1"/>
      <c r="L5810" s="2"/>
    </row>
    <row r="5811" spans="1:12" x14ac:dyDescent="0.2">
      <c r="A5811" s="103"/>
      <c r="B5811" s="104"/>
      <c r="C5811" s="105"/>
      <c r="K5811" s="1"/>
      <c r="L5811" s="2"/>
    </row>
    <row r="5812" spans="1:12" x14ac:dyDescent="0.2">
      <c r="A5812" s="103"/>
      <c r="B5812" s="104"/>
      <c r="C5812" s="105"/>
      <c r="K5812" s="1"/>
      <c r="L5812" s="2"/>
    </row>
    <row r="5813" spans="1:12" x14ac:dyDescent="0.2">
      <c r="A5813" s="103"/>
      <c r="B5813" s="104"/>
      <c r="C5813" s="105"/>
      <c r="K5813" s="1"/>
      <c r="L5813" s="2"/>
    </row>
    <row r="5814" spans="1:12" x14ac:dyDescent="0.2">
      <c r="A5814" s="103"/>
      <c r="B5814" s="104"/>
      <c r="C5814" s="105"/>
      <c r="K5814" s="1"/>
      <c r="L5814" s="2"/>
    </row>
    <row r="5815" spans="1:12" x14ac:dyDescent="0.2">
      <c r="A5815" s="103"/>
      <c r="B5815" s="104"/>
      <c r="C5815" s="105"/>
      <c r="K5815" s="1"/>
      <c r="L5815" s="2"/>
    </row>
    <row r="5816" spans="1:12" x14ac:dyDescent="0.2">
      <c r="A5816" s="103"/>
      <c r="B5816" s="104"/>
      <c r="C5816" s="105"/>
      <c r="K5816" s="1"/>
      <c r="L5816" s="2"/>
    </row>
    <row r="5817" spans="1:12" x14ac:dyDescent="0.2">
      <c r="A5817" s="103"/>
      <c r="B5817" s="104"/>
      <c r="C5817" s="105"/>
      <c r="K5817" s="1"/>
      <c r="L5817" s="2"/>
    </row>
    <row r="5818" spans="1:12" x14ac:dyDescent="0.2">
      <c r="A5818" s="103"/>
      <c r="B5818" s="104"/>
      <c r="C5818" s="105"/>
      <c r="K5818" s="1"/>
      <c r="L5818" s="2"/>
    </row>
    <row r="5819" spans="1:12" x14ac:dyDescent="0.2">
      <c r="A5819" s="103"/>
      <c r="B5819" s="104"/>
      <c r="C5819" s="105"/>
      <c r="K5819" s="1"/>
      <c r="L5819" s="2"/>
    </row>
    <row r="5820" spans="1:12" x14ac:dyDescent="0.2">
      <c r="A5820" s="103"/>
      <c r="B5820" s="104"/>
      <c r="C5820" s="105"/>
      <c r="K5820" s="1"/>
      <c r="L5820" s="2"/>
    </row>
    <row r="5821" spans="1:12" x14ac:dyDescent="0.2">
      <c r="A5821" s="103"/>
      <c r="B5821" s="104"/>
      <c r="C5821" s="105"/>
      <c r="K5821" s="1"/>
      <c r="L5821" s="2"/>
    </row>
    <row r="5822" spans="1:12" x14ac:dyDescent="0.2">
      <c r="A5822" s="103"/>
      <c r="B5822" s="104"/>
      <c r="C5822" s="105"/>
      <c r="K5822" s="1"/>
      <c r="L5822" s="2"/>
    </row>
    <row r="5823" spans="1:12" x14ac:dyDescent="0.2">
      <c r="A5823" s="103"/>
      <c r="B5823" s="104"/>
      <c r="C5823" s="105"/>
      <c r="K5823" s="1"/>
      <c r="L5823" s="2"/>
    </row>
    <row r="5824" spans="1:12" x14ac:dyDescent="0.2">
      <c r="A5824" s="103"/>
      <c r="B5824" s="104"/>
      <c r="C5824" s="105"/>
      <c r="K5824" s="1"/>
      <c r="L5824" s="2"/>
    </row>
    <row r="5825" spans="1:12" x14ac:dyDescent="0.2">
      <c r="A5825" s="103"/>
      <c r="B5825" s="104"/>
      <c r="C5825" s="105"/>
      <c r="K5825" s="1"/>
      <c r="L5825" s="2"/>
    </row>
    <row r="5826" spans="1:12" x14ac:dyDescent="0.2">
      <c r="A5826" s="103"/>
      <c r="B5826" s="104"/>
      <c r="C5826" s="105"/>
      <c r="K5826" s="1"/>
      <c r="L5826" s="2"/>
    </row>
    <row r="5827" spans="1:12" x14ac:dyDescent="0.2">
      <c r="A5827" s="103"/>
      <c r="B5827" s="104"/>
      <c r="C5827" s="105"/>
      <c r="K5827" s="1"/>
      <c r="L5827" s="2"/>
    </row>
    <row r="5828" spans="1:12" x14ac:dyDescent="0.2">
      <c r="A5828" s="103"/>
      <c r="B5828" s="104"/>
      <c r="C5828" s="105"/>
      <c r="K5828" s="1"/>
      <c r="L5828" s="2"/>
    </row>
    <row r="5829" spans="1:12" x14ac:dyDescent="0.2">
      <c r="A5829" s="103"/>
      <c r="B5829" s="104"/>
      <c r="C5829" s="105"/>
      <c r="K5829" s="1"/>
      <c r="L5829" s="2"/>
    </row>
    <row r="5830" spans="1:12" x14ac:dyDescent="0.2">
      <c r="A5830" s="103"/>
      <c r="B5830" s="104"/>
      <c r="C5830" s="105"/>
      <c r="K5830" s="1"/>
      <c r="L5830" s="2"/>
    </row>
    <row r="5831" spans="1:12" x14ac:dyDescent="0.2">
      <c r="A5831" s="103"/>
      <c r="B5831" s="104"/>
      <c r="C5831" s="105"/>
      <c r="K5831" s="1"/>
      <c r="L5831" s="2"/>
    </row>
    <row r="5832" spans="1:12" x14ac:dyDescent="0.2">
      <c r="A5832" s="103"/>
      <c r="B5832" s="104"/>
      <c r="C5832" s="105"/>
      <c r="K5832" s="1"/>
      <c r="L5832" s="2"/>
    </row>
    <row r="5833" spans="1:12" x14ac:dyDescent="0.2">
      <c r="A5833" s="103"/>
      <c r="B5833" s="104"/>
      <c r="C5833" s="105"/>
      <c r="K5833" s="1"/>
      <c r="L5833" s="2"/>
    </row>
    <row r="5834" spans="1:12" x14ac:dyDescent="0.2">
      <c r="A5834" s="103"/>
      <c r="B5834" s="104"/>
      <c r="C5834" s="105"/>
      <c r="K5834" s="1"/>
      <c r="L5834" s="2"/>
    </row>
    <row r="5835" spans="1:12" x14ac:dyDescent="0.2">
      <c r="A5835" s="103"/>
      <c r="B5835" s="104"/>
      <c r="C5835" s="105"/>
      <c r="K5835" s="1"/>
      <c r="L5835" s="2"/>
    </row>
    <row r="5836" spans="1:12" x14ac:dyDescent="0.2">
      <c r="A5836" s="103"/>
      <c r="B5836" s="104"/>
      <c r="C5836" s="105"/>
      <c r="K5836" s="1"/>
      <c r="L5836" s="2"/>
    </row>
    <row r="5837" spans="1:12" x14ac:dyDescent="0.2">
      <c r="A5837" s="103"/>
      <c r="B5837" s="104"/>
      <c r="C5837" s="105"/>
      <c r="K5837" s="1"/>
      <c r="L5837" s="2"/>
    </row>
    <row r="5838" spans="1:12" x14ac:dyDescent="0.2">
      <c r="A5838" s="103"/>
      <c r="B5838" s="104"/>
      <c r="C5838" s="105"/>
      <c r="K5838" s="1"/>
      <c r="L5838" s="2"/>
    </row>
    <row r="5839" spans="1:12" x14ac:dyDescent="0.2">
      <c r="A5839" s="103"/>
      <c r="B5839" s="104"/>
      <c r="C5839" s="105"/>
      <c r="K5839" s="1"/>
      <c r="L5839" s="2"/>
    </row>
    <row r="5840" spans="1:12" x14ac:dyDescent="0.2">
      <c r="A5840" s="103"/>
      <c r="B5840" s="104"/>
      <c r="C5840" s="105"/>
      <c r="K5840" s="1"/>
      <c r="L5840" s="2"/>
    </row>
    <row r="5841" spans="1:12" x14ac:dyDescent="0.2">
      <c r="A5841" s="103"/>
      <c r="B5841" s="104"/>
      <c r="C5841" s="105"/>
      <c r="K5841" s="1"/>
      <c r="L5841" s="2"/>
    </row>
    <row r="5842" spans="1:12" x14ac:dyDescent="0.2">
      <c r="A5842" s="103"/>
      <c r="B5842" s="104"/>
      <c r="C5842" s="105"/>
      <c r="K5842" s="1"/>
      <c r="L5842" s="2"/>
    </row>
    <row r="5843" spans="1:12" x14ac:dyDescent="0.2">
      <c r="A5843" s="103"/>
      <c r="B5843" s="104"/>
      <c r="C5843" s="105"/>
      <c r="K5843" s="1"/>
      <c r="L5843" s="2"/>
    </row>
    <row r="5844" spans="1:12" x14ac:dyDescent="0.2">
      <c r="A5844" s="103"/>
      <c r="B5844" s="104"/>
      <c r="C5844" s="105"/>
      <c r="K5844" s="1"/>
      <c r="L5844" s="2"/>
    </row>
    <row r="5845" spans="1:12" x14ac:dyDescent="0.2">
      <c r="A5845" s="103"/>
      <c r="B5845" s="104"/>
      <c r="C5845" s="105"/>
      <c r="K5845" s="1"/>
      <c r="L5845" s="2"/>
    </row>
    <row r="5846" spans="1:12" x14ac:dyDescent="0.2">
      <c r="A5846" s="103"/>
      <c r="B5846" s="104"/>
      <c r="C5846" s="105"/>
      <c r="K5846" s="1"/>
      <c r="L5846" s="2"/>
    </row>
    <row r="5847" spans="1:12" x14ac:dyDescent="0.2">
      <c r="A5847" s="103"/>
      <c r="B5847" s="104"/>
      <c r="C5847" s="105"/>
      <c r="K5847" s="1"/>
      <c r="L5847" s="2"/>
    </row>
    <row r="5848" spans="1:12" x14ac:dyDescent="0.2">
      <c r="A5848" s="103"/>
      <c r="B5848" s="104"/>
      <c r="C5848" s="105"/>
      <c r="K5848" s="1"/>
      <c r="L5848" s="2"/>
    </row>
    <row r="5849" spans="1:12" x14ac:dyDescent="0.2">
      <c r="A5849" s="103"/>
      <c r="B5849" s="104"/>
      <c r="C5849" s="105"/>
      <c r="K5849" s="1"/>
      <c r="L5849" s="2"/>
    </row>
    <row r="5850" spans="1:12" x14ac:dyDescent="0.2">
      <c r="A5850" s="103"/>
      <c r="B5850" s="104"/>
      <c r="C5850" s="105"/>
      <c r="K5850" s="1"/>
      <c r="L5850" s="2"/>
    </row>
    <row r="5851" spans="1:12" x14ac:dyDescent="0.2">
      <c r="A5851" s="103"/>
      <c r="B5851" s="104"/>
      <c r="C5851" s="105"/>
      <c r="K5851" s="1"/>
      <c r="L5851" s="2"/>
    </row>
    <row r="5852" spans="1:12" x14ac:dyDescent="0.2">
      <c r="A5852" s="103"/>
      <c r="B5852" s="104"/>
      <c r="C5852" s="105"/>
      <c r="K5852" s="1"/>
      <c r="L5852" s="2"/>
    </row>
    <row r="5853" spans="1:12" x14ac:dyDescent="0.2">
      <c r="A5853" s="103"/>
      <c r="B5853" s="104"/>
      <c r="C5853" s="105"/>
      <c r="K5853" s="1"/>
      <c r="L5853" s="2"/>
    </row>
    <row r="5854" spans="1:12" x14ac:dyDescent="0.2">
      <c r="A5854" s="103"/>
      <c r="B5854" s="104"/>
      <c r="C5854" s="105"/>
      <c r="K5854" s="1"/>
      <c r="L5854" s="2"/>
    </row>
    <row r="5855" spans="1:12" x14ac:dyDescent="0.2">
      <c r="A5855" s="103"/>
      <c r="B5855" s="104"/>
      <c r="C5855" s="105"/>
      <c r="K5855" s="1"/>
      <c r="L5855" s="2"/>
    </row>
    <row r="5856" spans="1:12" x14ac:dyDescent="0.2">
      <c r="A5856" s="103"/>
      <c r="B5856" s="104"/>
      <c r="C5856" s="105"/>
      <c r="K5856" s="1"/>
      <c r="L5856" s="2"/>
    </row>
    <row r="5857" spans="1:12" x14ac:dyDescent="0.2">
      <c r="A5857" s="103"/>
      <c r="B5857" s="104"/>
      <c r="C5857" s="105"/>
      <c r="K5857" s="1"/>
      <c r="L5857" s="2"/>
    </row>
    <row r="5858" spans="1:12" x14ac:dyDescent="0.2">
      <c r="A5858" s="103"/>
      <c r="B5858" s="104"/>
      <c r="C5858" s="105"/>
      <c r="K5858" s="1"/>
      <c r="L5858" s="2"/>
    </row>
    <row r="5859" spans="1:12" x14ac:dyDescent="0.2">
      <c r="A5859" s="103"/>
      <c r="B5859" s="104"/>
      <c r="C5859" s="105"/>
      <c r="K5859" s="1"/>
      <c r="L5859" s="2"/>
    </row>
    <row r="5860" spans="1:12" x14ac:dyDescent="0.2">
      <c r="A5860" s="103"/>
      <c r="B5860" s="104"/>
      <c r="C5860" s="105"/>
      <c r="K5860" s="1"/>
      <c r="L5860" s="2"/>
    </row>
    <row r="5861" spans="1:12" x14ac:dyDescent="0.2">
      <c r="A5861" s="103"/>
      <c r="B5861" s="104"/>
      <c r="C5861" s="105"/>
      <c r="K5861" s="1"/>
      <c r="L5861" s="2"/>
    </row>
    <row r="5862" spans="1:12" x14ac:dyDescent="0.2">
      <c r="A5862" s="103"/>
      <c r="B5862" s="104"/>
      <c r="C5862" s="105"/>
      <c r="K5862" s="1"/>
      <c r="L5862" s="2"/>
    </row>
    <row r="5863" spans="1:12" x14ac:dyDescent="0.2">
      <c r="A5863" s="103"/>
      <c r="B5863" s="104"/>
      <c r="C5863" s="105"/>
      <c r="K5863" s="1"/>
      <c r="L5863" s="2"/>
    </row>
    <row r="5864" spans="1:12" x14ac:dyDescent="0.2">
      <c r="A5864" s="103"/>
      <c r="B5864" s="104"/>
      <c r="C5864" s="105"/>
      <c r="K5864" s="1"/>
      <c r="L5864" s="2"/>
    </row>
    <row r="5865" spans="1:12" x14ac:dyDescent="0.2">
      <c r="A5865" s="103"/>
      <c r="B5865" s="104"/>
      <c r="C5865" s="105"/>
      <c r="K5865" s="1"/>
      <c r="L5865" s="2"/>
    </row>
    <row r="5866" spans="1:12" x14ac:dyDescent="0.2">
      <c r="A5866" s="103"/>
      <c r="B5866" s="104"/>
      <c r="C5866" s="105"/>
      <c r="K5866" s="1"/>
      <c r="L5866" s="2"/>
    </row>
    <row r="5867" spans="1:12" x14ac:dyDescent="0.2">
      <c r="A5867" s="103"/>
      <c r="B5867" s="104"/>
      <c r="C5867" s="105"/>
      <c r="K5867" s="1"/>
      <c r="L5867" s="2"/>
    </row>
    <row r="5868" spans="1:12" x14ac:dyDescent="0.2">
      <c r="A5868" s="103"/>
      <c r="B5868" s="104"/>
      <c r="C5868" s="105"/>
      <c r="K5868" s="1"/>
      <c r="L5868" s="2"/>
    </row>
    <row r="5869" spans="1:12" x14ac:dyDescent="0.2">
      <c r="A5869" s="103"/>
      <c r="B5869" s="104"/>
      <c r="C5869" s="105"/>
      <c r="K5869" s="1"/>
      <c r="L5869" s="2"/>
    </row>
    <row r="5870" spans="1:12" x14ac:dyDescent="0.2">
      <c r="A5870" s="103"/>
      <c r="B5870" s="104"/>
      <c r="C5870" s="105"/>
      <c r="K5870" s="1"/>
      <c r="L5870" s="2"/>
    </row>
    <row r="5871" spans="1:12" x14ac:dyDescent="0.2">
      <c r="A5871" s="103"/>
      <c r="B5871" s="104"/>
      <c r="C5871" s="105"/>
      <c r="K5871" s="1"/>
      <c r="L5871" s="2"/>
    </row>
    <row r="5872" spans="1:12" x14ac:dyDescent="0.2">
      <c r="A5872" s="103"/>
      <c r="B5872" s="104"/>
      <c r="C5872" s="105"/>
      <c r="K5872" s="1"/>
      <c r="L5872" s="2"/>
    </row>
    <row r="5873" spans="1:12" x14ac:dyDescent="0.2">
      <c r="A5873" s="103"/>
      <c r="B5873" s="104"/>
      <c r="C5873" s="105"/>
      <c r="K5873" s="1"/>
      <c r="L5873" s="2"/>
    </row>
    <row r="5874" spans="1:12" x14ac:dyDescent="0.2">
      <c r="A5874" s="103"/>
      <c r="B5874" s="104"/>
      <c r="C5874" s="105"/>
      <c r="K5874" s="1"/>
      <c r="L5874" s="2"/>
    </row>
    <row r="5875" spans="1:12" x14ac:dyDescent="0.2">
      <c r="A5875" s="103"/>
      <c r="B5875" s="104"/>
      <c r="C5875" s="105"/>
      <c r="K5875" s="1"/>
      <c r="L5875" s="2"/>
    </row>
    <row r="5876" spans="1:12" x14ac:dyDescent="0.2">
      <c r="A5876" s="103"/>
      <c r="B5876" s="104"/>
      <c r="C5876" s="105"/>
      <c r="K5876" s="1"/>
      <c r="L5876" s="2"/>
    </row>
    <row r="5877" spans="1:12" x14ac:dyDescent="0.2">
      <c r="A5877" s="103"/>
      <c r="B5877" s="104"/>
      <c r="C5877" s="105"/>
      <c r="K5877" s="1"/>
      <c r="L5877" s="2"/>
    </row>
    <row r="5878" spans="1:12" x14ac:dyDescent="0.2">
      <c r="A5878" s="103"/>
      <c r="B5878" s="104"/>
      <c r="C5878" s="105"/>
      <c r="K5878" s="1"/>
      <c r="L5878" s="2"/>
    </row>
    <row r="5879" spans="1:12" x14ac:dyDescent="0.2">
      <c r="A5879" s="103"/>
      <c r="B5879" s="104"/>
      <c r="C5879" s="105"/>
      <c r="K5879" s="1"/>
      <c r="L5879" s="2"/>
    </row>
    <row r="5880" spans="1:12" x14ac:dyDescent="0.2">
      <c r="A5880" s="103"/>
      <c r="B5880" s="104"/>
      <c r="C5880" s="105"/>
      <c r="K5880" s="1"/>
      <c r="L5880" s="2"/>
    </row>
    <row r="5881" spans="1:12" x14ac:dyDescent="0.2">
      <c r="A5881" s="103"/>
      <c r="B5881" s="104"/>
      <c r="C5881" s="105"/>
      <c r="K5881" s="1"/>
      <c r="L5881" s="2"/>
    </row>
    <row r="5882" spans="1:12" x14ac:dyDescent="0.2">
      <c r="A5882" s="103"/>
      <c r="B5882" s="104"/>
      <c r="C5882" s="105"/>
      <c r="K5882" s="1"/>
      <c r="L5882" s="2"/>
    </row>
    <row r="5883" spans="1:12" x14ac:dyDescent="0.2">
      <c r="A5883" s="103"/>
      <c r="B5883" s="104"/>
      <c r="C5883" s="105"/>
      <c r="K5883" s="1"/>
      <c r="L5883" s="2"/>
    </row>
    <row r="5884" spans="1:12" x14ac:dyDescent="0.2">
      <c r="A5884" s="103"/>
      <c r="B5884" s="104"/>
      <c r="C5884" s="105"/>
      <c r="K5884" s="1"/>
      <c r="L5884" s="2"/>
    </row>
    <row r="5885" spans="1:12" x14ac:dyDescent="0.2">
      <c r="A5885" s="103"/>
      <c r="B5885" s="104"/>
      <c r="C5885" s="105"/>
      <c r="K5885" s="1"/>
      <c r="L5885" s="2"/>
    </row>
    <row r="5886" spans="1:12" x14ac:dyDescent="0.2">
      <c r="A5886" s="103"/>
      <c r="B5886" s="104"/>
      <c r="C5886" s="105"/>
      <c r="K5886" s="1"/>
      <c r="L5886" s="2"/>
    </row>
    <row r="5887" spans="1:12" x14ac:dyDescent="0.2">
      <c r="A5887" s="103"/>
      <c r="B5887" s="104"/>
      <c r="C5887" s="105"/>
      <c r="K5887" s="1"/>
      <c r="L5887" s="2"/>
    </row>
    <row r="5888" spans="1:12" x14ac:dyDescent="0.2">
      <c r="A5888" s="103"/>
      <c r="B5888" s="104"/>
      <c r="C5888" s="105"/>
      <c r="K5888" s="1"/>
      <c r="L5888" s="2"/>
    </row>
    <row r="5889" spans="1:12" x14ac:dyDescent="0.2">
      <c r="A5889" s="103"/>
      <c r="B5889" s="104"/>
      <c r="C5889" s="105"/>
      <c r="K5889" s="1"/>
      <c r="L5889" s="2"/>
    </row>
    <row r="5890" spans="1:12" x14ac:dyDescent="0.2">
      <c r="A5890" s="103"/>
      <c r="B5890" s="104"/>
      <c r="C5890" s="105"/>
      <c r="K5890" s="1"/>
      <c r="L5890" s="2"/>
    </row>
    <row r="5891" spans="1:12" x14ac:dyDescent="0.2">
      <c r="A5891" s="103"/>
      <c r="B5891" s="104"/>
      <c r="C5891" s="105"/>
      <c r="K5891" s="1"/>
      <c r="L5891" s="2"/>
    </row>
    <row r="5892" spans="1:12" x14ac:dyDescent="0.2">
      <c r="A5892" s="103"/>
      <c r="B5892" s="104"/>
      <c r="C5892" s="105"/>
      <c r="K5892" s="1"/>
      <c r="L5892" s="2"/>
    </row>
    <row r="5893" spans="1:12" x14ac:dyDescent="0.2">
      <c r="A5893" s="103"/>
      <c r="B5893" s="104"/>
      <c r="C5893" s="105"/>
      <c r="K5893" s="1"/>
      <c r="L5893" s="2"/>
    </row>
    <row r="5894" spans="1:12" x14ac:dyDescent="0.2">
      <c r="A5894" s="103"/>
      <c r="B5894" s="104"/>
      <c r="C5894" s="105"/>
      <c r="K5894" s="1"/>
      <c r="L5894" s="2"/>
    </row>
    <row r="5895" spans="1:12" x14ac:dyDescent="0.2">
      <c r="A5895" s="103"/>
      <c r="B5895" s="104"/>
      <c r="C5895" s="105"/>
      <c r="K5895" s="1"/>
      <c r="L5895" s="2"/>
    </row>
    <row r="5896" spans="1:12" x14ac:dyDescent="0.2">
      <c r="A5896" s="103"/>
      <c r="B5896" s="104"/>
      <c r="C5896" s="105"/>
      <c r="K5896" s="1"/>
      <c r="L5896" s="2"/>
    </row>
    <row r="5897" spans="1:12" x14ac:dyDescent="0.2">
      <c r="A5897" s="103"/>
      <c r="B5897" s="104"/>
      <c r="C5897" s="105"/>
      <c r="K5897" s="1"/>
      <c r="L5897" s="2"/>
    </row>
    <row r="5898" spans="1:12" x14ac:dyDescent="0.2">
      <c r="A5898" s="103"/>
      <c r="B5898" s="104"/>
      <c r="C5898" s="105"/>
      <c r="K5898" s="1"/>
      <c r="L5898" s="2"/>
    </row>
    <row r="5899" spans="1:12" x14ac:dyDescent="0.2">
      <c r="A5899" s="103"/>
      <c r="B5899" s="104"/>
      <c r="C5899" s="105"/>
      <c r="K5899" s="1"/>
      <c r="L5899" s="2"/>
    </row>
    <row r="5900" spans="1:12" x14ac:dyDescent="0.2">
      <c r="A5900" s="103"/>
      <c r="B5900" s="104"/>
      <c r="C5900" s="105"/>
      <c r="K5900" s="1"/>
      <c r="L5900" s="2"/>
    </row>
    <row r="5901" spans="1:12" x14ac:dyDescent="0.2">
      <c r="A5901" s="103"/>
      <c r="B5901" s="104"/>
      <c r="C5901" s="105"/>
      <c r="K5901" s="1"/>
      <c r="L5901" s="2"/>
    </row>
    <row r="5902" spans="1:12" x14ac:dyDescent="0.2">
      <c r="A5902" s="103"/>
      <c r="B5902" s="104"/>
      <c r="C5902" s="105"/>
      <c r="K5902" s="1"/>
      <c r="L5902" s="2"/>
    </row>
    <row r="5903" spans="1:12" x14ac:dyDescent="0.2">
      <c r="A5903" s="103"/>
      <c r="B5903" s="104"/>
      <c r="C5903" s="105"/>
      <c r="K5903" s="1"/>
      <c r="L5903" s="2"/>
    </row>
    <row r="5904" spans="1:12" x14ac:dyDescent="0.2">
      <c r="A5904" s="103"/>
      <c r="B5904" s="104"/>
      <c r="C5904" s="105"/>
      <c r="K5904" s="1"/>
      <c r="L5904" s="2"/>
    </row>
    <row r="5905" spans="1:12" x14ac:dyDescent="0.2">
      <c r="A5905" s="103"/>
      <c r="B5905" s="104"/>
      <c r="C5905" s="105"/>
      <c r="K5905" s="1"/>
      <c r="L5905" s="2"/>
    </row>
    <row r="5906" spans="1:12" x14ac:dyDescent="0.2">
      <c r="A5906" s="103"/>
      <c r="B5906" s="104"/>
      <c r="C5906" s="105"/>
      <c r="K5906" s="1"/>
      <c r="L5906" s="2"/>
    </row>
    <row r="5907" spans="1:12" x14ac:dyDescent="0.2">
      <c r="A5907" s="103"/>
      <c r="B5907" s="104"/>
      <c r="C5907" s="105"/>
      <c r="K5907" s="1"/>
      <c r="L5907" s="2"/>
    </row>
    <row r="5908" spans="1:12" x14ac:dyDescent="0.2">
      <c r="A5908" s="103"/>
      <c r="B5908" s="104"/>
      <c r="C5908" s="105"/>
      <c r="K5908" s="1"/>
      <c r="L5908" s="2"/>
    </row>
    <row r="5909" spans="1:12" x14ac:dyDescent="0.2">
      <c r="A5909" s="103"/>
      <c r="B5909" s="104"/>
      <c r="C5909" s="105"/>
      <c r="K5909" s="1"/>
      <c r="L5909" s="2"/>
    </row>
    <row r="5910" spans="1:12" x14ac:dyDescent="0.2">
      <c r="A5910" s="103"/>
      <c r="B5910" s="104"/>
      <c r="C5910" s="105"/>
      <c r="K5910" s="1"/>
      <c r="L5910" s="2"/>
    </row>
    <row r="5911" spans="1:12" x14ac:dyDescent="0.2">
      <c r="A5911" s="103"/>
      <c r="B5911" s="104"/>
      <c r="C5911" s="105"/>
      <c r="K5911" s="1"/>
      <c r="L5911" s="2"/>
    </row>
    <row r="5912" spans="1:12" x14ac:dyDescent="0.2">
      <c r="A5912" s="103"/>
      <c r="B5912" s="104"/>
      <c r="C5912" s="105"/>
      <c r="K5912" s="1"/>
      <c r="L5912" s="2"/>
    </row>
    <row r="5913" spans="1:12" x14ac:dyDescent="0.2">
      <c r="A5913" s="103"/>
      <c r="B5913" s="104"/>
      <c r="C5913" s="105"/>
      <c r="K5913" s="1"/>
      <c r="L5913" s="2"/>
    </row>
    <row r="5914" spans="1:12" x14ac:dyDescent="0.2">
      <c r="A5914" s="103"/>
      <c r="B5914" s="104"/>
      <c r="C5914" s="105"/>
      <c r="K5914" s="1"/>
      <c r="L5914" s="2"/>
    </row>
    <row r="5915" spans="1:12" x14ac:dyDescent="0.2">
      <c r="A5915" s="103"/>
      <c r="B5915" s="104"/>
      <c r="C5915" s="105"/>
      <c r="K5915" s="1"/>
      <c r="L5915" s="2"/>
    </row>
    <row r="5916" spans="1:12" x14ac:dyDescent="0.2">
      <c r="A5916" s="103"/>
      <c r="B5916" s="104"/>
      <c r="C5916" s="105"/>
      <c r="K5916" s="1"/>
      <c r="L5916" s="2"/>
    </row>
    <row r="5917" spans="1:12" x14ac:dyDescent="0.2">
      <c r="A5917" s="103"/>
      <c r="B5917" s="104"/>
      <c r="C5917" s="105"/>
      <c r="K5917" s="1"/>
      <c r="L5917" s="2"/>
    </row>
    <row r="5918" spans="1:12" x14ac:dyDescent="0.2">
      <c r="A5918" s="103"/>
      <c r="B5918" s="104"/>
      <c r="C5918" s="105"/>
      <c r="K5918" s="1"/>
      <c r="L5918" s="2"/>
    </row>
    <row r="5919" spans="1:12" x14ac:dyDescent="0.2">
      <c r="A5919" s="103"/>
      <c r="B5919" s="104"/>
      <c r="C5919" s="105"/>
      <c r="K5919" s="1"/>
      <c r="L5919" s="2"/>
    </row>
    <row r="5920" spans="1:12" x14ac:dyDescent="0.2">
      <c r="A5920" s="103"/>
      <c r="B5920" s="104"/>
      <c r="C5920" s="105"/>
      <c r="K5920" s="1"/>
      <c r="L5920" s="2"/>
    </row>
    <row r="5921" spans="1:12" x14ac:dyDescent="0.2">
      <c r="A5921" s="103"/>
      <c r="B5921" s="104"/>
      <c r="C5921" s="105"/>
      <c r="K5921" s="1"/>
      <c r="L5921" s="2"/>
    </row>
    <row r="5922" spans="1:12" x14ac:dyDescent="0.2">
      <c r="A5922" s="103"/>
      <c r="B5922" s="104"/>
      <c r="C5922" s="105"/>
      <c r="K5922" s="1"/>
      <c r="L5922" s="2"/>
    </row>
    <row r="5923" spans="1:12" x14ac:dyDescent="0.2">
      <c r="A5923" s="103"/>
      <c r="B5923" s="104"/>
      <c r="C5923" s="105"/>
      <c r="K5923" s="1"/>
      <c r="L5923" s="2"/>
    </row>
    <row r="5924" spans="1:12" x14ac:dyDescent="0.2">
      <c r="A5924" s="103"/>
      <c r="B5924" s="104"/>
      <c r="C5924" s="105"/>
      <c r="K5924" s="1"/>
      <c r="L5924" s="2"/>
    </row>
    <row r="5925" spans="1:12" x14ac:dyDescent="0.2">
      <c r="A5925" s="103"/>
      <c r="B5925" s="104"/>
      <c r="C5925" s="105"/>
      <c r="K5925" s="1"/>
      <c r="L5925" s="2"/>
    </row>
    <row r="5926" spans="1:12" x14ac:dyDescent="0.2">
      <c r="A5926" s="103"/>
      <c r="B5926" s="104"/>
      <c r="C5926" s="105"/>
      <c r="K5926" s="1"/>
      <c r="L5926" s="2"/>
    </row>
    <row r="5927" spans="1:12" x14ac:dyDescent="0.2">
      <c r="A5927" s="103"/>
      <c r="B5927" s="104"/>
      <c r="C5927" s="105"/>
      <c r="K5927" s="1"/>
      <c r="L5927" s="2"/>
    </row>
    <row r="5928" spans="1:12" x14ac:dyDescent="0.2">
      <c r="A5928" s="103"/>
      <c r="B5928" s="104"/>
      <c r="C5928" s="105"/>
      <c r="K5928" s="1"/>
      <c r="L5928" s="2"/>
    </row>
    <row r="5929" spans="1:12" x14ac:dyDescent="0.2">
      <c r="A5929" s="103"/>
      <c r="B5929" s="104"/>
      <c r="C5929" s="105"/>
      <c r="K5929" s="1"/>
      <c r="L5929" s="2"/>
    </row>
    <row r="5930" spans="1:12" x14ac:dyDescent="0.2">
      <c r="A5930" s="103"/>
      <c r="B5930" s="104"/>
      <c r="C5930" s="105"/>
      <c r="K5930" s="1"/>
      <c r="L5930" s="2"/>
    </row>
    <row r="5931" spans="1:12" x14ac:dyDescent="0.2">
      <c r="A5931" s="103"/>
      <c r="B5931" s="104"/>
      <c r="C5931" s="105"/>
      <c r="K5931" s="1"/>
      <c r="L5931" s="2"/>
    </row>
    <row r="5932" spans="1:12" x14ac:dyDescent="0.2">
      <c r="A5932" s="103"/>
      <c r="B5932" s="104"/>
      <c r="C5932" s="105"/>
      <c r="K5932" s="1"/>
      <c r="L5932" s="2"/>
    </row>
    <row r="5933" spans="1:12" x14ac:dyDescent="0.2">
      <c r="A5933" s="103"/>
      <c r="B5933" s="104"/>
      <c r="C5933" s="105"/>
      <c r="K5933" s="1"/>
      <c r="L5933" s="2"/>
    </row>
    <row r="5934" spans="1:12" x14ac:dyDescent="0.2">
      <c r="A5934" s="103"/>
      <c r="B5934" s="104"/>
      <c r="C5934" s="105"/>
      <c r="K5934" s="1"/>
      <c r="L5934" s="2"/>
    </row>
    <row r="5935" spans="1:12" x14ac:dyDescent="0.2">
      <c r="A5935" s="103"/>
      <c r="B5935" s="104"/>
      <c r="C5935" s="105"/>
      <c r="K5935" s="1"/>
      <c r="L5935" s="2"/>
    </row>
    <row r="5936" spans="1:12" x14ac:dyDescent="0.2">
      <c r="A5936" s="103"/>
      <c r="B5936" s="104"/>
      <c r="C5936" s="105"/>
      <c r="K5936" s="1"/>
      <c r="L5936" s="2"/>
    </row>
    <row r="5937" spans="1:12" x14ac:dyDescent="0.2">
      <c r="A5937" s="103"/>
      <c r="B5937" s="104"/>
      <c r="C5937" s="105"/>
      <c r="K5937" s="1"/>
      <c r="L5937" s="2"/>
    </row>
    <row r="5938" spans="1:12" x14ac:dyDescent="0.2">
      <c r="A5938" s="103"/>
      <c r="B5938" s="104"/>
      <c r="C5938" s="105"/>
      <c r="K5938" s="1"/>
      <c r="L5938" s="2"/>
    </row>
    <row r="5939" spans="1:12" x14ac:dyDescent="0.2">
      <c r="A5939" s="103"/>
      <c r="B5939" s="104"/>
      <c r="C5939" s="105"/>
      <c r="K5939" s="1"/>
      <c r="L5939" s="2"/>
    </row>
    <row r="5940" spans="1:12" x14ac:dyDescent="0.2">
      <c r="A5940" s="103"/>
      <c r="B5940" s="104"/>
      <c r="C5940" s="105"/>
      <c r="K5940" s="1"/>
      <c r="L5940" s="2"/>
    </row>
    <row r="5941" spans="1:12" x14ac:dyDescent="0.2">
      <c r="A5941" s="103"/>
      <c r="B5941" s="104"/>
      <c r="C5941" s="105"/>
      <c r="K5941" s="1"/>
      <c r="L5941" s="2"/>
    </row>
    <row r="5942" spans="1:12" x14ac:dyDescent="0.2">
      <c r="A5942" s="103"/>
      <c r="B5942" s="104"/>
      <c r="C5942" s="105"/>
      <c r="K5942" s="1"/>
      <c r="L5942" s="2"/>
    </row>
    <row r="5943" spans="1:12" x14ac:dyDescent="0.2">
      <c r="A5943" s="103"/>
      <c r="B5943" s="104"/>
      <c r="C5943" s="105"/>
      <c r="K5943" s="1"/>
      <c r="L5943" s="2"/>
    </row>
    <row r="5944" spans="1:12" x14ac:dyDescent="0.2">
      <c r="A5944" s="103"/>
      <c r="B5944" s="104"/>
      <c r="C5944" s="105"/>
      <c r="K5944" s="1"/>
      <c r="L5944" s="2"/>
    </row>
    <row r="5945" spans="1:12" x14ac:dyDescent="0.2">
      <c r="A5945" s="103"/>
      <c r="B5945" s="104"/>
      <c r="C5945" s="105"/>
      <c r="K5945" s="1"/>
      <c r="L5945" s="2"/>
    </row>
    <row r="5946" spans="1:12" x14ac:dyDescent="0.2">
      <c r="A5946" s="103"/>
      <c r="B5946" s="104"/>
      <c r="C5946" s="105"/>
      <c r="K5946" s="1"/>
      <c r="L5946" s="2"/>
    </row>
    <row r="5947" spans="1:12" x14ac:dyDescent="0.2">
      <c r="A5947" s="103"/>
      <c r="B5947" s="104"/>
      <c r="C5947" s="105"/>
      <c r="K5947" s="1"/>
      <c r="L5947" s="2"/>
    </row>
    <row r="5948" spans="1:12" x14ac:dyDescent="0.2">
      <c r="A5948" s="103"/>
      <c r="B5948" s="104"/>
      <c r="C5948" s="105"/>
      <c r="K5948" s="1"/>
      <c r="L5948" s="2"/>
    </row>
    <row r="5949" spans="1:12" x14ac:dyDescent="0.2">
      <c r="A5949" s="103"/>
      <c r="B5949" s="104"/>
      <c r="C5949" s="105"/>
      <c r="K5949" s="1"/>
      <c r="L5949" s="2"/>
    </row>
    <row r="5950" spans="1:12" x14ac:dyDescent="0.2">
      <c r="A5950" s="103"/>
      <c r="B5950" s="104"/>
      <c r="C5950" s="105"/>
      <c r="K5950" s="1"/>
      <c r="L5950" s="2"/>
    </row>
    <row r="5951" spans="1:12" x14ac:dyDescent="0.2">
      <c r="A5951" s="103"/>
      <c r="B5951" s="104"/>
      <c r="C5951" s="105"/>
      <c r="K5951" s="1"/>
      <c r="L5951" s="2"/>
    </row>
    <row r="5952" spans="1:12" x14ac:dyDescent="0.2">
      <c r="A5952" s="103"/>
      <c r="B5952" s="104"/>
      <c r="C5952" s="105"/>
      <c r="K5952" s="1"/>
      <c r="L5952" s="2"/>
    </row>
    <row r="5953" spans="1:12" x14ac:dyDescent="0.2">
      <c r="A5953" s="103"/>
      <c r="B5953" s="104"/>
      <c r="C5953" s="105"/>
      <c r="K5953" s="1"/>
      <c r="L5953" s="2"/>
    </row>
    <row r="5954" spans="1:12" x14ac:dyDescent="0.2">
      <c r="A5954" s="103"/>
      <c r="B5954" s="104"/>
      <c r="C5954" s="105"/>
      <c r="K5954" s="1"/>
      <c r="L5954" s="2"/>
    </row>
    <row r="5955" spans="1:12" x14ac:dyDescent="0.2">
      <c r="A5955" s="103"/>
      <c r="B5955" s="104"/>
      <c r="C5955" s="105"/>
      <c r="K5955" s="1"/>
      <c r="L5955" s="2"/>
    </row>
    <row r="5956" spans="1:12" x14ac:dyDescent="0.2">
      <c r="A5956" s="103"/>
      <c r="B5956" s="104"/>
      <c r="C5956" s="105"/>
      <c r="K5956" s="1"/>
      <c r="L5956" s="2"/>
    </row>
    <row r="5957" spans="1:12" x14ac:dyDescent="0.2">
      <c r="A5957" s="103"/>
      <c r="B5957" s="104"/>
      <c r="C5957" s="105"/>
      <c r="K5957" s="1"/>
      <c r="L5957" s="2"/>
    </row>
    <row r="5958" spans="1:12" x14ac:dyDescent="0.2">
      <c r="A5958" s="103"/>
      <c r="B5958" s="104"/>
      <c r="C5958" s="105"/>
      <c r="K5958" s="1"/>
      <c r="L5958" s="2"/>
    </row>
    <row r="5959" spans="1:12" x14ac:dyDescent="0.2">
      <c r="A5959" s="103"/>
      <c r="B5959" s="104"/>
      <c r="C5959" s="105"/>
      <c r="K5959" s="1"/>
      <c r="L5959" s="2"/>
    </row>
    <row r="5960" spans="1:12" x14ac:dyDescent="0.2">
      <c r="A5960" s="103"/>
      <c r="B5960" s="104"/>
      <c r="C5960" s="105"/>
      <c r="K5960" s="1"/>
      <c r="L5960" s="2"/>
    </row>
    <row r="5961" spans="1:12" x14ac:dyDescent="0.2">
      <c r="A5961" s="103"/>
      <c r="B5961" s="104"/>
      <c r="C5961" s="105"/>
      <c r="K5961" s="1"/>
      <c r="L5961" s="2"/>
    </row>
    <row r="5962" spans="1:12" x14ac:dyDescent="0.2">
      <c r="A5962" s="103"/>
      <c r="B5962" s="104"/>
      <c r="C5962" s="105"/>
      <c r="K5962" s="1"/>
      <c r="L5962" s="2"/>
    </row>
    <row r="5963" spans="1:12" x14ac:dyDescent="0.2">
      <c r="A5963" s="103"/>
      <c r="B5963" s="104"/>
      <c r="C5963" s="105"/>
      <c r="K5963" s="1"/>
      <c r="L5963" s="2"/>
    </row>
    <row r="5964" spans="1:12" x14ac:dyDescent="0.2">
      <c r="A5964" s="103"/>
      <c r="B5964" s="104"/>
      <c r="C5964" s="105"/>
      <c r="K5964" s="1"/>
      <c r="L5964" s="2"/>
    </row>
    <row r="5965" spans="1:12" x14ac:dyDescent="0.2">
      <c r="A5965" s="103"/>
      <c r="B5965" s="104"/>
      <c r="C5965" s="105"/>
      <c r="K5965" s="1"/>
      <c r="L5965" s="2"/>
    </row>
    <row r="5966" spans="1:12" x14ac:dyDescent="0.2">
      <c r="A5966" s="103"/>
      <c r="B5966" s="104"/>
      <c r="C5966" s="105"/>
      <c r="K5966" s="1"/>
      <c r="L5966" s="2"/>
    </row>
    <row r="5967" spans="1:12" x14ac:dyDescent="0.2">
      <c r="A5967" s="103"/>
      <c r="B5967" s="104"/>
      <c r="C5967" s="105"/>
      <c r="K5967" s="1"/>
      <c r="L5967" s="2"/>
    </row>
    <row r="5968" spans="1:12" x14ac:dyDescent="0.2">
      <c r="A5968" s="103"/>
      <c r="B5968" s="104"/>
      <c r="C5968" s="105"/>
      <c r="K5968" s="1"/>
      <c r="L5968" s="2"/>
    </row>
    <row r="5969" spans="1:12" x14ac:dyDescent="0.2">
      <c r="A5969" s="103"/>
      <c r="B5969" s="104"/>
      <c r="C5969" s="105"/>
      <c r="K5969" s="1"/>
      <c r="L5969" s="2"/>
    </row>
    <row r="5970" spans="1:12" x14ac:dyDescent="0.2">
      <c r="A5970" s="103"/>
      <c r="B5970" s="104"/>
      <c r="C5970" s="105"/>
      <c r="K5970" s="1"/>
      <c r="L5970" s="2"/>
    </row>
    <row r="5971" spans="1:12" x14ac:dyDescent="0.2">
      <c r="A5971" s="103"/>
      <c r="B5971" s="104"/>
      <c r="C5971" s="105"/>
      <c r="K5971" s="1"/>
      <c r="L5971" s="2"/>
    </row>
    <row r="5972" spans="1:12" x14ac:dyDescent="0.2">
      <c r="A5972" s="103"/>
      <c r="B5972" s="104"/>
      <c r="C5972" s="105"/>
      <c r="K5972" s="1"/>
      <c r="L5972" s="2"/>
    </row>
    <row r="5973" spans="1:12" x14ac:dyDescent="0.2">
      <c r="A5973" s="103"/>
      <c r="B5973" s="104"/>
      <c r="C5973" s="105"/>
      <c r="K5973" s="1"/>
      <c r="L5973" s="2"/>
    </row>
    <row r="5974" spans="1:12" x14ac:dyDescent="0.2">
      <c r="A5974" s="103"/>
      <c r="B5974" s="104"/>
      <c r="C5974" s="105"/>
      <c r="K5974" s="1"/>
      <c r="L5974" s="2"/>
    </row>
    <row r="5975" spans="1:12" x14ac:dyDescent="0.2">
      <c r="A5975" s="103"/>
      <c r="B5975" s="104"/>
      <c r="C5975" s="105"/>
      <c r="K5975" s="1"/>
      <c r="L5975" s="2"/>
    </row>
    <row r="5976" spans="1:12" x14ac:dyDescent="0.2">
      <c r="A5976" s="103"/>
      <c r="B5976" s="104"/>
      <c r="C5976" s="105"/>
      <c r="K5976" s="1"/>
      <c r="L5976" s="2"/>
    </row>
    <row r="5977" spans="1:12" x14ac:dyDescent="0.2">
      <c r="A5977" s="103"/>
      <c r="B5977" s="104"/>
      <c r="C5977" s="105"/>
      <c r="K5977" s="1"/>
      <c r="L5977" s="2"/>
    </row>
    <row r="5978" spans="1:12" x14ac:dyDescent="0.2">
      <c r="A5978" s="103"/>
      <c r="B5978" s="104"/>
      <c r="C5978" s="105"/>
      <c r="K5978" s="1"/>
      <c r="L5978" s="2"/>
    </row>
    <row r="5979" spans="1:12" x14ac:dyDescent="0.2">
      <c r="A5979" s="103"/>
      <c r="B5979" s="104"/>
      <c r="C5979" s="105"/>
      <c r="K5979" s="1"/>
      <c r="L5979" s="2"/>
    </row>
    <row r="5980" spans="1:12" x14ac:dyDescent="0.2">
      <c r="A5980" s="103"/>
      <c r="B5980" s="104"/>
      <c r="C5980" s="105"/>
      <c r="K5980" s="1"/>
      <c r="L5980" s="2"/>
    </row>
    <row r="5981" spans="1:12" x14ac:dyDescent="0.2">
      <c r="A5981" s="103"/>
      <c r="B5981" s="104"/>
      <c r="C5981" s="105"/>
      <c r="K5981" s="1"/>
      <c r="L5981" s="2"/>
    </row>
    <row r="5982" spans="1:12" x14ac:dyDescent="0.2">
      <c r="A5982" s="103"/>
      <c r="B5982" s="104"/>
      <c r="C5982" s="105"/>
      <c r="K5982" s="1"/>
      <c r="L5982" s="2"/>
    </row>
    <row r="5983" spans="1:12" x14ac:dyDescent="0.2">
      <c r="A5983" s="103"/>
      <c r="B5983" s="104"/>
      <c r="C5983" s="105"/>
      <c r="K5983" s="1"/>
      <c r="L5983" s="2"/>
    </row>
    <row r="5984" spans="1:12" x14ac:dyDescent="0.2">
      <c r="A5984" s="103"/>
      <c r="B5984" s="104"/>
      <c r="C5984" s="105"/>
      <c r="K5984" s="1"/>
      <c r="L5984" s="2"/>
    </row>
    <row r="5985" spans="1:12" x14ac:dyDescent="0.2">
      <c r="A5985" s="103"/>
      <c r="B5985" s="104"/>
      <c r="C5985" s="105"/>
      <c r="K5985" s="1"/>
      <c r="L5985" s="2"/>
    </row>
    <row r="5986" spans="1:12" x14ac:dyDescent="0.2">
      <c r="A5986" s="103"/>
      <c r="B5986" s="104"/>
      <c r="C5986" s="105"/>
      <c r="K5986" s="1"/>
      <c r="L5986" s="2"/>
    </row>
    <row r="5987" spans="1:12" x14ac:dyDescent="0.2">
      <c r="A5987" s="103"/>
      <c r="B5987" s="104"/>
      <c r="C5987" s="105"/>
      <c r="K5987" s="1"/>
      <c r="L5987" s="2"/>
    </row>
    <row r="5988" spans="1:12" x14ac:dyDescent="0.2">
      <c r="A5988" s="103"/>
      <c r="B5988" s="104"/>
      <c r="C5988" s="105"/>
      <c r="K5988" s="1"/>
      <c r="L5988" s="2"/>
    </row>
    <row r="5989" spans="1:12" x14ac:dyDescent="0.2">
      <c r="A5989" s="103"/>
      <c r="B5989" s="104"/>
      <c r="C5989" s="105"/>
      <c r="K5989" s="1"/>
      <c r="L5989" s="2"/>
    </row>
    <row r="5990" spans="1:12" x14ac:dyDescent="0.2">
      <c r="A5990" s="103"/>
      <c r="B5990" s="104"/>
      <c r="C5990" s="105"/>
      <c r="K5990" s="1"/>
      <c r="L5990" s="2"/>
    </row>
    <row r="5991" spans="1:12" x14ac:dyDescent="0.2">
      <c r="A5991" s="103"/>
      <c r="B5991" s="104"/>
      <c r="C5991" s="105"/>
      <c r="K5991" s="1"/>
      <c r="L5991" s="2"/>
    </row>
    <row r="5992" spans="1:12" x14ac:dyDescent="0.2">
      <c r="A5992" s="103"/>
      <c r="B5992" s="104"/>
      <c r="C5992" s="105"/>
      <c r="K5992" s="1"/>
      <c r="L5992" s="2"/>
    </row>
    <row r="5993" spans="1:12" x14ac:dyDescent="0.2">
      <c r="A5993" s="103"/>
      <c r="B5993" s="104"/>
      <c r="C5993" s="105"/>
      <c r="K5993" s="1"/>
      <c r="L5993" s="2"/>
    </row>
    <row r="5994" spans="1:12" x14ac:dyDescent="0.2">
      <c r="A5994" s="103"/>
      <c r="B5994" s="104"/>
      <c r="C5994" s="105"/>
      <c r="K5994" s="1"/>
      <c r="L5994" s="2"/>
    </row>
    <row r="5995" spans="1:12" x14ac:dyDescent="0.2">
      <c r="A5995" s="103"/>
      <c r="B5995" s="104"/>
      <c r="C5995" s="105"/>
      <c r="K5995" s="1"/>
      <c r="L5995" s="2"/>
    </row>
    <row r="5996" spans="1:12" x14ac:dyDescent="0.2">
      <c r="A5996" s="103"/>
      <c r="B5996" s="104"/>
      <c r="C5996" s="105"/>
      <c r="K5996" s="1"/>
      <c r="L5996" s="2"/>
    </row>
    <row r="5997" spans="1:12" x14ac:dyDescent="0.2">
      <c r="A5997" s="103"/>
      <c r="B5997" s="104"/>
      <c r="C5997" s="105"/>
      <c r="K5997" s="1"/>
      <c r="L5997" s="2"/>
    </row>
    <row r="5998" spans="1:12" x14ac:dyDescent="0.2">
      <c r="A5998" s="103"/>
      <c r="B5998" s="104"/>
      <c r="C5998" s="105"/>
      <c r="K5998" s="1"/>
      <c r="L5998" s="2"/>
    </row>
    <row r="5999" spans="1:12" x14ac:dyDescent="0.2">
      <c r="A5999" s="103"/>
      <c r="B5999" s="104"/>
      <c r="C5999" s="105"/>
      <c r="K5999" s="1"/>
      <c r="L5999" s="2"/>
    </row>
    <row r="6000" spans="1:12" x14ac:dyDescent="0.2">
      <c r="A6000" s="103"/>
      <c r="B6000" s="104"/>
      <c r="C6000" s="105"/>
      <c r="K6000" s="1"/>
      <c r="L6000" s="2"/>
    </row>
    <row r="6001" spans="1:12" x14ac:dyDescent="0.2">
      <c r="A6001" s="103"/>
      <c r="B6001" s="104"/>
      <c r="C6001" s="105"/>
      <c r="K6001" s="1"/>
      <c r="L6001" s="2"/>
    </row>
    <row r="6002" spans="1:12" x14ac:dyDescent="0.2">
      <c r="A6002" s="103"/>
      <c r="B6002" s="104"/>
      <c r="C6002" s="105"/>
      <c r="K6002" s="1"/>
      <c r="L6002" s="2"/>
    </row>
    <row r="6003" spans="1:12" x14ac:dyDescent="0.2">
      <c r="A6003" s="103"/>
      <c r="B6003" s="104"/>
      <c r="C6003" s="105"/>
      <c r="K6003" s="1"/>
      <c r="L6003" s="2"/>
    </row>
    <row r="6004" spans="1:12" x14ac:dyDescent="0.2">
      <c r="A6004" s="103"/>
      <c r="B6004" s="104"/>
      <c r="C6004" s="105"/>
      <c r="K6004" s="1"/>
      <c r="L6004" s="2"/>
    </row>
    <row r="6005" spans="1:12" x14ac:dyDescent="0.2">
      <c r="A6005" s="103"/>
      <c r="B6005" s="104"/>
      <c r="C6005" s="105"/>
      <c r="K6005" s="1"/>
      <c r="L6005" s="2"/>
    </row>
    <row r="6006" spans="1:12" x14ac:dyDescent="0.2">
      <c r="A6006" s="103"/>
      <c r="B6006" s="104"/>
      <c r="C6006" s="105"/>
      <c r="K6006" s="1"/>
      <c r="L6006" s="2"/>
    </row>
    <row r="6007" spans="1:12" x14ac:dyDescent="0.2">
      <c r="A6007" s="103"/>
      <c r="B6007" s="104"/>
      <c r="C6007" s="105"/>
      <c r="K6007" s="1"/>
      <c r="L6007" s="2"/>
    </row>
    <row r="6008" spans="1:12" x14ac:dyDescent="0.2">
      <c r="A6008" s="103"/>
      <c r="B6008" s="104"/>
      <c r="C6008" s="105"/>
      <c r="K6008" s="1"/>
      <c r="L6008" s="2"/>
    </row>
    <row r="6009" spans="1:12" x14ac:dyDescent="0.2">
      <c r="A6009" s="103"/>
      <c r="B6009" s="104"/>
      <c r="C6009" s="105"/>
      <c r="K6009" s="1"/>
      <c r="L6009" s="2"/>
    </row>
    <row r="6010" spans="1:12" x14ac:dyDescent="0.2">
      <c r="A6010" s="103"/>
      <c r="B6010" s="104"/>
      <c r="C6010" s="105"/>
      <c r="K6010" s="1"/>
      <c r="L6010" s="2"/>
    </row>
    <row r="6011" spans="1:12" x14ac:dyDescent="0.2">
      <c r="A6011" s="103"/>
      <c r="B6011" s="104"/>
      <c r="C6011" s="105"/>
      <c r="K6011" s="1"/>
      <c r="L6011" s="2"/>
    </row>
    <row r="6012" spans="1:12" x14ac:dyDescent="0.2">
      <c r="A6012" s="103"/>
      <c r="B6012" s="104"/>
      <c r="C6012" s="105"/>
      <c r="K6012" s="1"/>
      <c r="L6012" s="2"/>
    </row>
    <row r="6013" spans="1:12" x14ac:dyDescent="0.2">
      <c r="A6013" s="103"/>
      <c r="B6013" s="104"/>
      <c r="C6013" s="105"/>
      <c r="K6013" s="1"/>
      <c r="L6013" s="2"/>
    </row>
    <row r="6014" spans="1:12" x14ac:dyDescent="0.2">
      <c r="A6014" s="103"/>
      <c r="B6014" s="104"/>
      <c r="C6014" s="105"/>
      <c r="K6014" s="1"/>
      <c r="L6014" s="2"/>
    </row>
    <row r="6015" spans="1:12" x14ac:dyDescent="0.2">
      <c r="A6015" s="103"/>
      <c r="B6015" s="104"/>
      <c r="C6015" s="105"/>
      <c r="K6015" s="1"/>
      <c r="L6015" s="2"/>
    </row>
    <row r="6016" spans="1:12" x14ac:dyDescent="0.2">
      <c r="A6016" s="103"/>
      <c r="B6016" s="104"/>
      <c r="C6016" s="105"/>
      <c r="K6016" s="1"/>
      <c r="L6016" s="2"/>
    </row>
    <row r="6017" spans="1:12" x14ac:dyDescent="0.2">
      <c r="A6017" s="103"/>
      <c r="B6017" s="104"/>
      <c r="C6017" s="105"/>
      <c r="K6017" s="1"/>
      <c r="L6017" s="2"/>
    </row>
    <row r="6018" spans="1:12" x14ac:dyDescent="0.2">
      <c r="A6018" s="103"/>
      <c r="B6018" s="104"/>
      <c r="C6018" s="105"/>
      <c r="K6018" s="1"/>
      <c r="L6018" s="2"/>
    </row>
    <row r="6019" spans="1:12" x14ac:dyDescent="0.2">
      <c r="A6019" s="103"/>
      <c r="B6019" s="104"/>
      <c r="C6019" s="105"/>
      <c r="K6019" s="1"/>
      <c r="L6019" s="2"/>
    </row>
    <row r="6020" spans="1:12" x14ac:dyDescent="0.2">
      <c r="A6020" s="103"/>
      <c r="B6020" s="104"/>
      <c r="C6020" s="105"/>
      <c r="K6020" s="1"/>
      <c r="L6020" s="2"/>
    </row>
    <row r="6021" spans="1:12" x14ac:dyDescent="0.2">
      <c r="A6021" s="103"/>
      <c r="B6021" s="104"/>
      <c r="C6021" s="105"/>
      <c r="K6021" s="1"/>
      <c r="L6021" s="2"/>
    </row>
    <row r="6022" spans="1:12" x14ac:dyDescent="0.2">
      <c r="A6022" s="103"/>
      <c r="B6022" s="104"/>
      <c r="C6022" s="105"/>
      <c r="K6022" s="1"/>
      <c r="L6022" s="2"/>
    </row>
    <row r="6023" spans="1:12" x14ac:dyDescent="0.2">
      <c r="A6023" s="103"/>
      <c r="B6023" s="104"/>
      <c r="C6023" s="105"/>
      <c r="K6023" s="1"/>
      <c r="L6023" s="2"/>
    </row>
    <row r="6024" spans="1:12" x14ac:dyDescent="0.2">
      <c r="A6024" s="103"/>
      <c r="B6024" s="104"/>
      <c r="C6024" s="105"/>
      <c r="K6024" s="1"/>
      <c r="L6024" s="2"/>
    </row>
    <row r="6025" spans="1:12" x14ac:dyDescent="0.2">
      <c r="A6025" s="103"/>
      <c r="B6025" s="104"/>
      <c r="C6025" s="105"/>
      <c r="K6025" s="1"/>
      <c r="L6025" s="2"/>
    </row>
    <row r="6026" spans="1:12" x14ac:dyDescent="0.2">
      <c r="A6026" s="103"/>
      <c r="B6026" s="104"/>
      <c r="C6026" s="105"/>
      <c r="K6026" s="1"/>
      <c r="L6026" s="2"/>
    </row>
    <row r="6027" spans="1:12" x14ac:dyDescent="0.2">
      <c r="A6027" s="103"/>
      <c r="B6027" s="104"/>
      <c r="C6027" s="105"/>
      <c r="K6027" s="1"/>
      <c r="L6027" s="2"/>
    </row>
    <row r="6028" spans="1:12" x14ac:dyDescent="0.2">
      <c r="A6028" s="103"/>
      <c r="B6028" s="104"/>
      <c r="C6028" s="105"/>
      <c r="K6028" s="1"/>
      <c r="L6028" s="2"/>
    </row>
    <row r="6029" spans="1:12" x14ac:dyDescent="0.2">
      <c r="A6029" s="103"/>
      <c r="B6029" s="104"/>
      <c r="C6029" s="105"/>
      <c r="K6029" s="1"/>
      <c r="L6029" s="2"/>
    </row>
    <row r="6030" spans="1:12" x14ac:dyDescent="0.2">
      <c r="A6030" s="103"/>
      <c r="B6030" s="104"/>
      <c r="C6030" s="105"/>
      <c r="K6030" s="1"/>
      <c r="L6030" s="2"/>
    </row>
    <row r="6031" spans="1:12" x14ac:dyDescent="0.2">
      <c r="A6031" s="103"/>
      <c r="B6031" s="104"/>
      <c r="C6031" s="105"/>
      <c r="K6031" s="1"/>
      <c r="L6031" s="2"/>
    </row>
    <row r="6032" spans="1:12" x14ac:dyDescent="0.2">
      <c r="A6032" s="103"/>
      <c r="B6032" s="104"/>
      <c r="C6032" s="105"/>
      <c r="K6032" s="1"/>
      <c r="L6032" s="2"/>
    </row>
    <row r="6033" spans="1:12" x14ac:dyDescent="0.2">
      <c r="A6033" s="103"/>
      <c r="B6033" s="104"/>
      <c r="C6033" s="105"/>
      <c r="K6033" s="1"/>
      <c r="L6033" s="2"/>
    </row>
    <row r="6034" spans="1:12" x14ac:dyDescent="0.2">
      <c r="A6034" s="103"/>
      <c r="B6034" s="104"/>
      <c r="C6034" s="105"/>
      <c r="K6034" s="1"/>
      <c r="L6034" s="2"/>
    </row>
    <row r="6035" spans="1:12" x14ac:dyDescent="0.2">
      <c r="A6035" s="103"/>
      <c r="B6035" s="104"/>
      <c r="C6035" s="105"/>
      <c r="K6035" s="1"/>
      <c r="L6035" s="2"/>
    </row>
    <row r="6036" spans="1:12" x14ac:dyDescent="0.2">
      <c r="A6036" s="103"/>
      <c r="B6036" s="104"/>
      <c r="C6036" s="105"/>
      <c r="K6036" s="1"/>
      <c r="L6036" s="2"/>
    </row>
    <row r="6037" spans="1:12" x14ac:dyDescent="0.2">
      <c r="A6037" s="103"/>
      <c r="B6037" s="104"/>
      <c r="C6037" s="105"/>
      <c r="K6037" s="1"/>
      <c r="L6037" s="2"/>
    </row>
    <row r="6038" spans="1:12" x14ac:dyDescent="0.2">
      <c r="A6038" s="103"/>
      <c r="B6038" s="104"/>
      <c r="C6038" s="105"/>
      <c r="K6038" s="1"/>
      <c r="L6038" s="2"/>
    </row>
    <row r="6039" spans="1:12" x14ac:dyDescent="0.2">
      <c r="A6039" s="103"/>
      <c r="B6039" s="104"/>
      <c r="C6039" s="105"/>
      <c r="K6039" s="1"/>
      <c r="L6039" s="2"/>
    </row>
    <row r="6040" spans="1:12" x14ac:dyDescent="0.2">
      <c r="A6040" s="103"/>
      <c r="B6040" s="104"/>
      <c r="C6040" s="105"/>
      <c r="K6040" s="1"/>
      <c r="L6040" s="2"/>
    </row>
    <row r="6041" spans="1:12" x14ac:dyDescent="0.2">
      <c r="A6041" s="103"/>
      <c r="B6041" s="104"/>
      <c r="C6041" s="105"/>
      <c r="K6041" s="1"/>
      <c r="L6041" s="2"/>
    </row>
    <row r="6042" spans="1:12" x14ac:dyDescent="0.2">
      <c r="A6042" s="103"/>
      <c r="B6042" s="104"/>
      <c r="C6042" s="105"/>
      <c r="K6042" s="1"/>
      <c r="L6042" s="2"/>
    </row>
    <row r="6043" spans="1:12" x14ac:dyDescent="0.2">
      <c r="A6043" s="103"/>
      <c r="B6043" s="104"/>
      <c r="C6043" s="105"/>
      <c r="K6043" s="1"/>
      <c r="L6043" s="2"/>
    </row>
    <row r="6044" spans="1:12" x14ac:dyDescent="0.2">
      <c r="A6044" s="103"/>
      <c r="B6044" s="104"/>
      <c r="C6044" s="105"/>
      <c r="K6044" s="1"/>
      <c r="L6044" s="2"/>
    </row>
    <row r="6045" spans="1:12" x14ac:dyDescent="0.2">
      <c r="A6045" s="103"/>
      <c r="B6045" s="104"/>
      <c r="C6045" s="105"/>
      <c r="K6045" s="1"/>
      <c r="L6045" s="2"/>
    </row>
    <row r="6046" spans="1:12" x14ac:dyDescent="0.2">
      <c r="A6046" s="103"/>
      <c r="B6046" s="104"/>
      <c r="C6046" s="105"/>
      <c r="K6046" s="1"/>
      <c r="L6046" s="2"/>
    </row>
    <row r="6047" spans="1:12" x14ac:dyDescent="0.2">
      <c r="A6047" s="103"/>
      <c r="B6047" s="104"/>
      <c r="C6047" s="105"/>
      <c r="K6047" s="1"/>
      <c r="L6047" s="2"/>
    </row>
    <row r="6048" spans="1:12" x14ac:dyDescent="0.2">
      <c r="A6048" s="103"/>
      <c r="B6048" s="104"/>
      <c r="C6048" s="105"/>
      <c r="K6048" s="1"/>
      <c r="L6048" s="2"/>
    </row>
    <row r="6049" spans="1:12" x14ac:dyDescent="0.2">
      <c r="A6049" s="103"/>
      <c r="B6049" s="104"/>
      <c r="C6049" s="105"/>
      <c r="K6049" s="1"/>
      <c r="L6049" s="2"/>
    </row>
    <row r="6050" spans="1:12" x14ac:dyDescent="0.2">
      <c r="A6050" s="103"/>
      <c r="B6050" s="104"/>
      <c r="C6050" s="105"/>
      <c r="K6050" s="1"/>
      <c r="L6050" s="2"/>
    </row>
    <row r="6051" spans="1:12" x14ac:dyDescent="0.2">
      <c r="A6051" s="103"/>
      <c r="B6051" s="104"/>
      <c r="C6051" s="105"/>
      <c r="K6051" s="1"/>
      <c r="L6051" s="2"/>
    </row>
    <row r="6052" spans="1:12" x14ac:dyDescent="0.2">
      <c r="A6052" s="103"/>
      <c r="B6052" s="104"/>
      <c r="C6052" s="105"/>
      <c r="K6052" s="1"/>
      <c r="L6052" s="2"/>
    </row>
    <row r="6053" spans="1:12" x14ac:dyDescent="0.2">
      <c r="A6053" s="103"/>
      <c r="B6053" s="104"/>
      <c r="C6053" s="105"/>
      <c r="K6053" s="1"/>
      <c r="L6053" s="2"/>
    </row>
    <row r="6054" spans="1:12" x14ac:dyDescent="0.2">
      <c r="A6054" s="103"/>
      <c r="B6054" s="104"/>
      <c r="C6054" s="105"/>
      <c r="K6054" s="1"/>
      <c r="L6054" s="2"/>
    </row>
    <row r="6055" spans="1:12" x14ac:dyDescent="0.2">
      <c r="A6055" s="103"/>
      <c r="B6055" s="104"/>
      <c r="C6055" s="105"/>
      <c r="K6055" s="1"/>
      <c r="L6055" s="2"/>
    </row>
    <row r="6056" spans="1:12" x14ac:dyDescent="0.2">
      <c r="A6056" s="103"/>
      <c r="B6056" s="104"/>
      <c r="C6056" s="105"/>
      <c r="K6056" s="1"/>
      <c r="L6056" s="2"/>
    </row>
    <row r="6057" spans="1:12" x14ac:dyDescent="0.2">
      <c r="A6057" s="103"/>
      <c r="B6057" s="104"/>
      <c r="C6057" s="105"/>
      <c r="K6057" s="1"/>
      <c r="L6057" s="2"/>
    </row>
    <row r="6058" spans="1:12" x14ac:dyDescent="0.2">
      <c r="A6058" s="103"/>
      <c r="B6058" s="104"/>
      <c r="C6058" s="105"/>
      <c r="K6058" s="1"/>
      <c r="L6058" s="2"/>
    </row>
    <row r="6059" spans="1:12" x14ac:dyDescent="0.2">
      <c r="A6059" s="103"/>
      <c r="B6059" s="104"/>
      <c r="C6059" s="105"/>
      <c r="K6059" s="1"/>
      <c r="L6059" s="2"/>
    </row>
    <row r="6060" spans="1:12" x14ac:dyDescent="0.2">
      <c r="A6060" s="103"/>
      <c r="B6060" s="104"/>
      <c r="C6060" s="105"/>
      <c r="K6060" s="1"/>
      <c r="L6060" s="2"/>
    </row>
    <row r="6061" spans="1:12" x14ac:dyDescent="0.2">
      <c r="A6061" s="103"/>
      <c r="B6061" s="104"/>
      <c r="C6061" s="105"/>
      <c r="K6061" s="1"/>
      <c r="L6061" s="2"/>
    </row>
    <row r="6062" spans="1:12" x14ac:dyDescent="0.2">
      <c r="A6062" s="103"/>
      <c r="B6062" s="104"/>
      <c r="C6062" s="105"/>
      <c r="K6062" s="1"/>
      <c r="L6062" s="2"/>
    </row>
    <row r="6063" spans="1:12" x14ac:dyDescent="0.2">
      <c r="A6063" s="103"/>
      <c r="B6063" s="104"/>
      <c r="C6063" s="105"/>
      <c r="K6063" s="1"/>
      <c r="L6063" s="2"/>
    </row>
    <row r="6064" spans="1:12" x14ac:dyDescent="0.2">
      <c r="A6064" s="103"/>
      <c r="B6064" s="104"/>
      <c r="C6064" s="105"/>
      <c r="K6064" s="1"/>
      <c r="L6064" s="2"/>
    </row>
    <row r="6065" spans="1:12" x14ac:dyDescent="0.2">
      <c r="A6065" s="103"/>
      <c r="B6065" s="104"/>
      <c r="C6065" s="105"/>
      <c r="K6065" s="1"/>
      <c r="L6065" s="2"/>
    </row>
    <row r="6066" spans="1:12" x14ac:dyDescent="0.2">
      <c r="A6066" s="103"/>
      <c r="B6066" s="104"/>
      <c r="C6066" s="105"/>
      <c r="K6066" s="1"/>
      <c r="L6066" s="2"/>
    </row>
    <row r="6067" spans="1:12" x14ac:dyDescent="0.2">
      <c r="A6067" s="103"/>
      <c r="B6067" s="104"/>
      <c r="C6067" s="105"/>
      <c r="K6067" s="1"/>
      <c r="L6067" s="2"/>
    </row>
    <row r="6068" spans="1:12" x14ac:dyDescent="0.2">
      <c r="A6068" s="103"/>
      <c r="B6068" s="104"/>
      <c r="C6068" s="105"/>
      <c r="K6068" s="1"/>
      <c r="L6068" s="2"/>
    </row>
    <row r="6069" spans="1:12" x14ac:dyDescent="0.2">
      <c r="A6069" s="103"/>
      <c r="B6069" s="104"/>
      <c r="C6069" s="105"/>
      <c r="K6069" s="1"/>
      <c r="L6069" s="2"/>
    </row>
    <row r="6070" spans="1:12" x14ac:dyDescent="0.2">
      <c r="A6070" s="103"/>
      <c r="B6070" s="104"/>
      <c r="C6070" s="105"/>
      <c r="K6070" s="1"/>
      <c r="L6070" s="2"/>
    </row>
    <row r="6071" spans="1:12" x14ac:dyDescent="0.2">
      <c r="A6071" s="103"/>
      <c r="B6071" s="104"/>
      <c r="C6071" s="105"/>
      <c r="K6071" s="1"/>
      <c r="L6071" s="2"/>
    </row>
    <row r="6072" spans="1:12" x14ac:dyDescent="0.2">
      <c r="A6072" s="103"/>
      <c r="B6072" s="104"/>
      <c r="C6072" s="105"/>
      <c r="K6072" s="1"/>
      <c r="L6072" s="2"/>
    </row>
    <row r="6073" spans="1:12" x14ac:dyDescent="0.2">
      <c r="A6073" s="103"/>
      <c r="B6073" s="104"/>
      <c r="C6073" s="105"/>
      <c r="K6073" s="1"/>
      <c r="L6073" s="2"/>
    </row>
    <row r="6074" spans="1:12" x14ac:dyDescent="0.2">
      <c r="A6074" s="103"/>
      <c r="B6074" s="104"/>
      <c r="C6074" s="105"/>
      <c r="K6074" s="1"/>
      <c r="L6074" s="2"/>
    </row>
    <row r="6075" spans="1:12" x14ac:dyDescent="0.2">
      <c r="A6075" s="103"/>
      <c r="B6075" s="104"/>
      <c r="C6075" s="105"/>
      <c r="K6075" s="1"/>
      <c r="L6075" s="2"/>
    </row>
    <row r="6076" spans="1:12" x14ac:dyDescent="0.2">
      <c r="A6076" s="103"/>
      <c r="B6076" s="104"/>
      <c r="C6076" s="105"/>
      <c r="K6076" s="1"/>
      <c r="L6076" s="2"/>
    </row>
    <row r="6077" spans="1:12" x14ac:dyDescent="0.2">
      <c r="A6077" s="103"/>
      <c r="B6077" s="104"/>
      <c r="C6077" s="105"/>
      <c r="K6077" s="1"/>
      <c r="L6077" s="2"/>
    </row>
    <row r="6078" spans="1:12" x14ac:dyDescent="0.2">
      <c r="A6078" s="103"/>
      <c r="B6078" s="104"/>
      <c r="C6078" s="105"/>
      <c r="K6078" s="1"/>
      <c r="L6078" s="2"/>
    </row>
    <row r="6079" spans="1:12" x14ac:dyDescent="0.2">
      <c r="A6079" s="103"/>
      <c r="B6079" s="104"/>
      <c r="C6079" s="105"/>
      <c r="K6079" s="1"/>
      <c r="L6079" s="2"/>
    </row>
    <row r="6080" spans="1:12" x14ac:dyDescent="0.2">
      <c r="A6080" s="103"/>
      <c r="B6080" s="104"/>
      <c r="C6080" s="105"/>
      <c r="K6080" s="1"/>
      <c r="L6080" s="2"/>
    </row>
    <row r="6081" spans="1:12" x14ac:dyDescent="0.2">
      <c r="A6081" s="103"/>
      <c r="B6081" s="104"/>
      <c r="C6081" s="105"/>
      <c r="K6081" s="1"/>
      <c r="L6081" s="2"/>
    </row>
    <row r="6082" spans="1:12" x14ac:dyDescent="0.2">
      <c r="A6082" s="103"/>
      <c r="B6082" s="104"/>
      <c r="C6082" s="105"/>
      <c r="K6082" s="1"/>
      <c r="L6082" s="2"/>
    </row>
    <row r="6083" spans="1:12" x14ac:dyDescent="0.2">
      <c r="A6083" s="103"/>
      <c r="B6083" s="104"/>
      <c r="C6083" s="105"/>
      <c r="K6083" s="1"/>
      <c r="L6083" s="2"/>
    </row>
    <row r="6084" spans="1:12" x14ac:dyDescent="0.2">
      <c r="A6084" s="103"/>
      <c r="B6084" s="104"/>
      <c r="C6084" s="105"/>
      <c r="K6084" s="1"/>
      <c r="L6084" s="2"/>
    </row>
    <row r="6085" spans="1:12" x14ac:dyDescent="0.2">
      <c r="A6085" s="103"/>
      <c r="B6085" s="104"/>
      <c r="C6085" s="105"/>
      <c r="K6085" s="1"/>
      <c r="L6085" s="2"/>
    </row>
    <row r="6086" spans="1:12" x14ac:dyDescent="0.2">
      <c r="A6086" s="103"/>
      <c r="B6086" s="104"/>
      <c r="C6086" s="105"/>
      <c r="K6086" s="1"/>
      <c r="L6086" s="2"/>
    </row>
    <row r="6087" spans="1:12" x14ac:dyDescent="0.2">
      <c r="A6087" s="103"/>
      <c r="B6087" s="104"/>
      <c r="C6087" s="105"/>
      <c r="K6087" s="1"/>
      <c r="L6087" s="2"/>
    </row>
    <row r="6088" spans="1:12" x14ac:dyDescent="0.2">
      <c r="A6088" s="103"/>
      <c r="B6088" s="104"/>
      <c r="C6088" s="105"/>
      <c r="K6088" s="1"/>
      <c r="L6088" s="2"/>
    </row>
    <row r="6089" spans="1:12" x14ac:dyDescent="0.2">
      <c r="A6089" s="103"/>
      <c r="B6089" s="104"/>
      <c r="C6089" s="105"/>
      <c r="K6089" s="1"/>
      <c r="L6089" s="2"/>
    </row>
    <row r="6090" spans="1:12" x14ac:dyDescent="0.2">
      <c r="A6090" s="103"/>
      <c r="B6090" s="104"/>
      <c r="C6090" s="105"/>
      <c r="K6090" s="1"/>
      <c r="L6090" s="2"/>
    </row>
    <row r="6091" spans="1:12" x14ac:dyDescent="0.2">
      <c r="A6091" s="103"/>
      <c r="B6091" s="104"/>
      <c r="C6091" s="105"/>
      <c r="K6091" s="1"/>
      <c r="L6091" s="2"/>
    </row>
    <row r="6092" spans="1:12" x14ac:dyDescent="0.2">
      <c r="A6092" s="103"/>
      <c r="B6092" s="104"/>
      <c r="C6092" s="105"/>
      <c r="K6092" s="1"/>
      <c r="L6092" s="2"/>
    </row>
    <row r="6093" spans="1:12" x14ac:dyDescent="0.2">
      <c r="A6093" s="103"/>
      <c r="B6093" s="104"/>
      <c r="C6093" s="105"/>
      <c r="K6093" s="1"/>
      <c r="L6093" s="2"/>
    </row>
    <row r="6094" spans="1:12" x14ac:dyDescent="0.2">
      <c r="A6094" s="103"/>
      <c r="B6094" s="104"/>
      <c r="C6094" s="105"/>
      <c r="K6094" s="1"/>
      <c r="L6094" s="2"/>
    </row>
    <row r="6095" spans="1:12" x14ac:dyDescent="0.2">
      <c r="A6095" s="103"/>
      <c r="B6095" s="104"/>
      <c r="C6095" s="105"/>
      <c r="K6095" s="1"/>
      <c r="L6095" s="2"/>
    </row>
    <row r="6096" spans="1:12" x14ac:dyDescent="0.2">
      <c r="A6096" s="101"/>
      <c r="B6096" s="102"/>
      <c r="K6096" s="1"/>
      <c r="L6096" s="2"/>
    </row>
    <row r="6097" spans="1:12" x14ac:dyDescent="0.2">
      <c r="K6097" s="1"/>
      <c r="L6097" s="2"/>
    </row>
    <row r="6098" spans="1:12" x14ac:dyDescent="0.2">
      <c r="K6098" s="1"/>
      <c r="L6098" s="2"/>
    </row>
    <row r="6099" spans="1:12" x14ac:dyDescent="0.2">
      <c r="K6099" s="1"/>
      <c r="L6099" s="2"/>
    </row>
    <row r="6100" spans="1:12" x14ac:dyDescent="0.2">
      <c r="K6100" s="1"/>
      <c r="L6100" s="2"/>
    </row>
    <row r="6101" spans="1:12" x14ac:dyDescent="0.2">
      <c r="K6101" s="1"/>
      <c r="L6101" s="2"/>
    </row>
    <row r="6102" spans="1:12" x14ac:dyDescent="0.2">
      <c r="K6102" s="1"/>
      <c r="L6102" s="2"/>
    </row>
    <row r="6103" spans="1:12" x14ac:dyDescent="0.2">
      <c r="K6103" s="1"/>
      <c r="L6103" s="2"/>
    </row>
    <row r="6104" spans="1:12" x14ac:dyDescent="0.2">
      <c r="K6104" s="1"/>
      <c r="L6104" s="2"/>
    </row>
    <row r="6105" spans="1:12" x14ac:dyDescent="0.2">
      <c r="K6105" s="1"/>
      <c r="L6105" s="2"/>
    </row>
    <row r="6106" spans="1:12" x14ac:dyDescent="0.2">
      <c r="K6106" s="1"/>
      <c r="L6106" s="2"/>
    </row>
    <row r="6107" spans="1:12" x14ac:dyDescent="0.2">
      <c r="K6107" s="1"/>
      <c r="L6107" s="2"/>
    </row>
    <row r="6108" spans="1:12" x14ac:dyDescent="0.2">
      <c r="K6108" s="1"/>
      <c r="L6108" s="2"/>
    </row>
    <row r="6109" spans="1:12" x14ac:dyDescent="0.2">
      <c r="K6109" s="1"/>
      <c r="L6109" s="2"/>
    </row>
    <row r="6110" spans="1:12" x14ac:dyDescent="0.2">
      <c r="K6110" s="1"/>
      <c r="L6110" s="2"/>
    </row>
    <row r="6111" spans="1:12" x14ac:dyDescent="0.2">
      <c r="K6111" s="1"/>
      <c r="L6111" s="2"/>
    </row>
    <row r="6112" spans="1:12" x14ac:dyDescent="0.2">
      <c r="A6112"/>
      <c r="B6112"/>
      <c r="C6112"/>
      <c r="D6112"/>
      <c r="E6112"/>
      <c r="F6112"/>
      <c r="G6112"/>
      <c r="H6112"/>
      <c r="I6112"/>
      <c r="J6112"/>
      <c r="K6112" s="1"/>
      <c r="L6112" s="2"/>
    </row>
    <row r="6113" spans="1:12" x14ac:dyDescent="0.2">
      <c r="A6113"/>
      <c r="B6113"/>
      <c r="C6113"/>
      <c r="D6113"/>
      <c r="E6113"/>
      <c r="F6113"/>
      <c r="G6113"/>
      <c r="H6113"/>
      <c r="I6113"/>
      <c r="J6113"/>
      <c r="K6113" s="1"/>
      <c r="L6113" s="2"/>
    </row>
    <row r="6114" spans="1:12" x14ac:dyDescent="0.2">
      <c r="A6114"/>
      <c r="B6114"/>
      <c r="C6114"/>
      <c r="D6114"/>
      <c r="E6114"/>
      <c r="F6114"/>
      <c r="G6114"/>
      <c r="H6114"/>
      <c r="I6114"/>
      <c r="J6114"/>
      <c r="K6114" s="1"/>
      <c r="L6114" s="2"/>
    </row>
    <row r="6115" spans="1:12" x14ac:dyDescent="0.2">
      <c r="A6115"/>
      <c r="B6115"/>
      <c r="C6115"/>
      <c r="D6115"/>
      <c r="E6115"/>
      <c r="F6115"/>
      <c r="G6115"/>
      <c r="H6115"/>
      <c r="I6115"/>
      <c r="J6115"/>
      <c r="K6115" s="1"/>
      <c r="L6115" s="2"/>
    </row>
    <row r="6116" spans="1:12" x14ac:dyDescent="0.2">
      <c r="A6116"/>
      <c r="B6116"/>
      <c r="C6116"/>
      <c r="D6116"/>
      <c r="E6116"/>
      <c r="F6116"/>
      <c r="G6116"/>
      <c r="H6116"/>
      <c r="I6116"/>
      <c r="J6116"/>
      <c r="K6116" s="1"/>
      <c r="L6116" s="2"/>
    </row>
    <row r="6117" spans="1:12" x14ac:dyDescent="0.2">
      <c r="A6117"/>
      <c r="B6117"/>
      <c r="C6117"/>
      <c r="D6117"/>
      <c r="E6117"/>
      <c r="F6117"/>
      <c r="G6117"/>
      <c r="H6117"/>
      <c r="I6117"/>
      <c r="J6117"/>
      <c r="K6117" s="1"/>
      <c r="L6117" s="2"/>
    </row>
    <row r="6118" spans="1:12" x14ac:dyDescent="0.2">
      <c r="A6118"/>
      <c r="B6118"/>
      <c r="C6118"/>
      <c r="D6118"/>
      <c r="E6118"/>
      <c r="F6118"/>
      <c r="G6118"/>
      <c r="H6118"/>
      <c r="I6118"/>
      <c r="J6118"/>
      <c r="K6118" s="1"/>
      <c r="L6118" s="2"/>
    </row>
    <row r="6119" spans="1:12" x14ac:dyDescent="0.2">
      <c r="A6119"/>
      <c r="B6119"/>
      <c r="C6119"/>
      <c r="D6119"/>
      <c r="E6119"/>
      <c r="F6119"/>
      <c r="G6119"/>
      <c r="H6119"/>
      <c r="I6119"/>
      <c r="J6119"/>
      <c r="K6119" s="1"/>
      <c r="L6119" s="2"/>
    </row>
    <row r="6120" spans="1:12" x14ac:dyDescent="0.2">
      <c r="A6120"/>
      <c r="B6120"/>
      <c r="C6120"/>
      <c r="D6120"/>
      <c r="E6120"/>
      <c r="F6120"/>
      <c r="G6120"/>
      <c r="H6120"/>
      <c r="I6120"/>
      <c r="J6120"/>
      <c r="K6120" s="1"/>
      <c r="L6120" s="2"/>
    </row>
    <row r="6121" spans="1:12" x14ac:dyDescent="0.2">
      <c r="A6121"/>
      <c r="B6121"/>
      <c r="C6121"/>
      <c r="D6121"/>
      <c r="E6121"/>
      <c r="F6121"/>
      <c r="G6121"/>
      <c r="H6121"/>
      <c r="I6121"/>
      <c r="J6121"/>
      <c r="K6121" s="1"/>
      <c r="L6121" s="2"/>
    </row>
    <row r="6122" spans="1:12" x14ac:dyDescent="0.2">
      <c r="A6122"/>
      <c r="B6122"/>
      <c r="C6122"/>
      <c r="D6122"/>
      <c r="E6122"/>
      <c r="F6122"/>
      <c r="G6122"/>
      <c r="H6122"/>
      <c r="I6122"/>
      <c r="J6122"/>
      <c r="K6122" s="1"/>
      <c r="L6122" s="2"/>
    </row>
    <row r="6123" spans="1:12" x14ac:dyDescent="0.2">
      <c r="A6123"/>
      <c r="B6123"/>
      <c r="C6123"/>
      <c r="D6123"/>
      <c r="E6123"/>
      <c r="F6123"/>
      <c r="G6123"/>
      <c r="H6123"/>
      <c r="I6123"/>
      <c r="J6123"/>
      <c r="K6123" s="1"/>
      <c r="L6123" s="2"/>
    </row>
    <row r="6124" spans="1:12" x14ac:dyDescent="0.2">
      <c r="A6124"/>
      <c r="B6124"/>
      <c r="C6124"/>
      <c r="D6124"/>
      <c r="E6124"/>
      <c r="F6124"/>
      <c r="G6124"/>
      <c r="H6124"/>
      <c r="I6124"/>
      <c r="J6124"/>
      <c r="K6124" s="1"/>
      <c r="L6124" s="2"/>
    </row>
    <row r="6125" spans="1:12" x14ac:dyDescent="0.2">
      <c r="A6125"/>
      <c r="B6125"/>
      <c r="C6125"/>
      <c r="D6125"/>
      <c r="E6125"/>
      <c r="F6125"/>
      <c r="G6125"/>
      <c r="H6125"/>
      <c r="I6125"/>
      <c r="J6125"/>
      <c r="K6125" s="1"/>
      <c r="L6125" s="2"/>
    </row>
    <row r="6126" spans="1:12" x14ac:dyDescent="0.2">
      <c r="A6126"/>
      <c r="B6126"/>
      <c r="C6126"/>
      <c r="D6126"/>
      <c r="E6126"/>
      <c r="F6126"/>
      <c r="G6126"/>
      <c r="H6126"/>
      <c r="I6126"/>
      <c r="J6126"/>
      <c r="K6126" s="1"/>
      <c r="L6126" s="2"/>
    </row>
    <row r="6127" spans="1:12" x14ac:dyDescent="0.2">
      <c r="A6127"/>
      <c r="B6127"/>
      <c r="C6127"/>
      <c r="D6127"/>
      <c r="E6127"/>
      <c r="F6127"/>
      <c r="G6127"/>
      <c r="H6127"/>
      <c r="I6127"/>
      <c r="J6127"/>
      <c r="K6127" s="1"/>
      <c r="L6127" s="2"/>
    </row>
    <row r="6128" spans="1:12" x14ac:dyDescent="0.2">
      <c r="A6128"/>
      <c r="B6128"/>
      <c r="C6128"/>
      <c r="D6128"/>
      <c r="E6128"/>
      <c r="F6128"/>
      <c r="G6128"/>
      <c r="H6128"/>
      <c r="I6128"/>
      <c r="J6128"/>
      <c r="K6128" s="1"/>
      <c r="L6128" s="2"/>
    </row>
    <row r="6129" spans="1:12" x14ac:dyDescent="0.2">
      <c r="A6129"/>
      <c r="B6129"/>
      <c r="C6129"/>
      <c r="D6129"/>
      <c r="E6129"/>
      <c r="F6129"/>
      <c r="G6129"/>
      <c r="H6129"/>
      <c r="I6129"/>
      <c r="J6129"/>
      <c r="K6129" s="1"/>
      <c r="L6129" s="2"/>
    </row>
    <row r="6130" spans="1:12" x14ac:dyDescent="0.2">
      <c r="A6130"/>
      <c r="B6130"/>
      <c r="C6130"/>
      <c r="D6130"/>
      <c r="E6130"/>
      <c r="F6130"/>
      <c r="G6130"/>
      <c r="H6130"/>
      <c r="I6130"/>
      <c r="J6130"/>
      <c r="K6130" s="1"/>
      <c r="L6130" s="2"/>
    </row>
    <row r="6131" spans="1:12" x14ac:dyDescent="0.2">
      <c r="A6131"/>
      <c r="B6131"/>
      <c r="C6131"/>
      <c r="D6131"/>
      <c r="E6131"/>
      <c r="F6131"/>
      <c r="G6131"/>
      <c r="H6131"/>
      <c r="I6131"/>
      <c r="J6131"/>
      <c r="K6131" s="1"/>
      <c r="L6131" s="2"/>
    </row>
    <row r="6132" spans="1:12" x14ac:dyDescent="0.2">
      <c r="A6132"/>
      <c r="B6132"/>
      <c r="C6132"/>
      <c r="D6132"/>
      <c r="E6132"/>
      <c r="F6132"/>
      <c r="G6132"/>
      <c r="H6132"/>
      <c r="I6132"/>
      <c r="J6132"/>
      <c r="K6132" s="1"/>
      <c r="L6132" s="2"/>
    </row>
    <row r="6133" spans="1:12" x14ac:dyDescent="0.2">
      <c r="A6133"/>
      <c r="B6133"/>
      <c r="C6133"/>
      <c r="D6133"/>
      <c r="E6133"/>
      <c r="F6133"/>
      <c r="G6133"/>
      <c r="H6133"/>
      <c r="I6133"/>
      <c r="J6133"/>
      <c r="K6133" s="1"/>
      <c r="L6133" s="2"/>
    </row>
    <row r="6134" spans="1:12" x14ac:dyDescent="0.2">
      <c r="A6134"/>
      <c r="B6134"/>
      <c r="C6134"/>
      <c r="D6134"/>
      <c r="E6134"/>
      <c r="F6134"/>
      <c r="G6134"/>
      <c r="H6134"/>
      <c r="I6134"/>
      <c r="J6134"/>
      <c r="K6134" s="1"/>
      <c r="L6134" s="2"/>
    </row>
    <row r="6135" spans="1:12" x14ac:dyDescent="0.2">
      <c r="A6135"/>
      <c r="B6135"/>
      <c r="C6135"/>
      <c r="D6135"/>
      <c r="E6135"/>
      <c r="F6135"/>
      <c r="G6135"/>
      <c r="H6135"/>
      <c r="I6135"/>
      <c r="J6135"/>
      <c r="K6135" s="1"/>
      <c r="L6135" s="2"/>
    </row>
    <row r="6136" spans="1:12" x14ac:dyDescent="0.2">
      <c r="A6136"/>
      <c r="B6136"/>
      <c r="C6136"/>
      <c r="D6136"/>
      <c r="E6136"/>
      <c r="F6136"/>
      <c r="G6136"/>
      <c r="H6136"/>
      <c r="I6136"/>
      <c r="J6136"/>
      <c r="K6136" s="1"/>
      <c r="L6136" s="2"/>
    </row>
    <row r="6137" spans="1:12" x14ac:dyDescent="0.2">
      <c r="A6137"/>
      <c r="B6137"/>
      <c r="C6137"/>
      <c r="D6137"/>
      <c r="E6137"/>
      <c r="F6137"/>
      <c r="G6137"/>
      <c r="H6137"/>
      <c r="I6137"/>
      <c r="J6137"/>
      <c r="K6137" s="1"/>
      <c r="L6137" s="2"/>
    </row>
    <row r="6138" spans="1:12" x14ac:dyDescent="0.2">
      <c r="A6138"/>
      <c r="B6138"/>
      <c r="C6138"/>
      <c r="D6138"/>
      <c r="E6138"/>
      <c r="F6138"/>
      <c r="G6138"/>
      <c r="H6138"/>
      <c r="I6138"/>
      <c r="J6138"/>
      <c r="K6138" s="1"/>
      <c r="L6138" s="2"/>
    </row>
    <row r="6139" spans="1:12" x14ac:dyDescent="0.2">
      <c r="A6139"/>
      <c r="B6139"/>
      <c r="C6139"/>
      <c r="D6139"/>
      <c r="E6139"/>
      <c r="F6139"/>
      <c r="G6139"/>
      <c r="H6139"/>
      <c r="I6139"/>
      <c r="J6139"/>
      <c r="K6139" s="1"/>
      <c r="L6139" s="2"/>
    </row>
    <row r="6140" spans="1:12" x14ac:dyDescent="0.2">
      <c r="A6140"/>
      <c r="B6140"/>
      <c r="C6140"/>
      <c r="D6140"/>
      <c r="E6140"/>
      <c r="F6140"/>
      <c r="G6140"/>
      <c r="H6140"/>
      <c r="I6140"/>
      <c r="J6140"/>
      <c r="K6140" s="1"/>
      <c r="L6140" s="2"/>
    </row>
    <row r="6141" spans="1:12" x14ac:dyDescent="0.2">
      <c r="A6141"/>
      <c r="B6141"/>
      <c r="C6141"/>
      <c r="D6141"/>
      <c r="E6141"/>
      <c r="F6141"/>
      <c r="G6141"/>
      <c r="H6141"/>
      <c r="I6141"/>
      <c r="J6141"/>
      <c r="K6141" s="1"/>
      <c r="L6141" s="2"/>
    </row>
    <row r="6142" spans="1:12" x14ac:dyDescent="0.2">
      <c r="A6142"/>
      <c r="B6142"/>
      <c r="C6142"/>
      <c r="D6142"/>
      <c r="E6142"/>
      <c r="F6142"/>
      <c r="G6142"/>
      <c r="H6142"/>
      <c r="I6142"/>
      <c r="J6142"/>
      <c r="K6142" s="1"/>
      <c r="L6142" s="2"/>
    </row>
    <row r="6143" spans="1:12" x14ac:dyDescent="0.2">
      <c r="A6143"/>
      <c r="B6143"/>
      <c r="C6143"/>
      <c r="D6143"/>
      <c r="E6143"/>
      <c r="F6143"/>
      <c r="G6143"/>
      <c r="H6143"/>
      <c r="I6143"/>
      <c r="J6143"/>
      <c r="K6143" s="1"/>
      <c r="L6143" s="2"/>
    </row>
    <row r="6144" spans="1:12" x14ac:dyDescent="0.2">
      <c r="A6144"/>
      <c r="B6144"/>
      <c r="C6144"/>
      <c r="D6144"/>
      <c r="E6144"/>
      <c r="F6144"/>
      <c r="G6144"/>
      <c r="H6144"/>
      <c r="I6144"/>
      <c r="J6144"/>
      <c r="K6144" s="1"/>
      <c r="L6144" s="2"/>
    </row>
    <row r="6145" spans="1:12" x14ac:dyDescent="0.2">
      <c r="A6145"/>
      <c r="B6145"/>
      <c r="C6145"/>
      <c r="D6145"/>
      <c r="E6145"/>
      <c r="F6145"/>
      <c r="G6145"/>
      <c r="H6145"/>
      <c r="I6145"/>
      <c r="J6145"/>
      <c r="K6145" s="1"/>
      <c r="L6145" s="2"/>
    </row>
    <row r="6146" spans="1:12" x14ac:dyDescent="0.2">
      <c r="A6146"/>
      <c r="B6146"/>
      <c r="C6146"/>
      <c r="D6146"/>
      <c r="E6146"/>
      <c r="F6146"/>
      <c r="G6146"/>
      <c r="H6146"/>
      <c r="I6146"/>
      <c r="J6146"/>
      <c r="K6146" s="1"/>
      <c r="L6146" s="2"/>
    </row>
    <row r="6147" spans="1:12" x14ac:dyDescent="0.2">
      <c r="A6147"/>
      <c r="B6147"/>
      <c r="C6147"/>
      <c r="D6147"/>
      <c r="E6147"/>
      <c r="F6147"/>
      <c r="G6147"/>
      <c r="H6147"/>
      <c r="I6147"/>
      <c r="J6147"/>
      <c r="K6147" s="1"/>
      <c r="L6147" s="2"/>
    </row>
    <row r="6148" spans="1:12" x14ac:dyDescent="0.2">
      <c r="A6148"/>
      <c r="B6148"/>
      <c r="C6148"/>
      <c r="D6148"/>
      <c r="E6148"/>
      <c r="F6148"/>
      <c r="G6148"/>
      <c r="H6148"/>
      <c r="I6148"/>
      <c r="J6148"/>
      <c r="K6148" s="1"/>
      <c r="L6148" s="2"/>
    </row>
    <row r="6149" spans="1:12" x14ac:dyDescent="0.2">
      <c r="A6149"/>
      <c r="B6149"/>
      <c r="C6149"/>
      <c r="D6149"/>
      <c r="E6149"/>
      <c r="F6149"/>
      <c r="G6149"/>
      <c r="H6149"/>
      <c r="I6149"/>
      <c r="J6149"/>
      <c r="K6149" s="1"/>
      <c r="L6149" s="2"/>
    </row>
    <row r="6150" spans="1:12" x14ac:dyDescent="0.2">
      <c r="A6150"/>
      <c r="B6150"/>
      <c r="C6150"/>
      <c r="D6150"/>
      <c r="E6150"/>
      <c r="F6150"/>
      <c r="G6150"/>
      <c r="H6150"/>
      <c r="I6150"/>
      <c r="J6150"/>
      <c r="K6150" s="1"/>
      <c r="L6150" s="2"/>
    </row>
    <row r="6151" spans="1:12" x14ac:dyDescent="0.2">
      <c r="A6151"/>
      <c r="B6151"/>
      <c r="C6151"/>
      <c r="D6151"/>
      <c r="E6151"/>
      <c r="F6151"/>
      <c r="G6151"/>
      <c r="H6151"/>
      <c r="I6151"/>
      <c r="J6151"/>
      <c r="K6151" s="1"/>
      <c r="L6151" s="2"/>
    </row>
    <row r="6152" spans="1:12" x14ac:dyDescent="0.2">
      <c r="A6152"/>
      <c r="B6152"/>
      <c r="C6152"/>
      <c r="D6152"/>
      <c r="E6152"/>
      <c r="F6152"/>
      <c r="G6152"/>
      <c r="H6152"/>
      <c r="I6152"/>
      <c r="J6152"/>
      <c r="K6152" s="1"/>
      <c r="L6152" s="2"/>
    </row>
    <row r="6153" spans="1:12" x14ac:dyDescent="0.2">
      <c r="A6153"/>
      <c r="B6153"/>
      <c r="C6153"/>
      <c r="D6153"/>
      <c r="E6153"/>
      <c r="F6153"/>
      <c r="G6153"/>
      <c r="H6153"/>
      <c r="I6153"/>
      <c r="J6153"/>
      <c r="K6153" s="1"/>
      <c r="L6153" s="2"/>
    </row>
    <row r="6154" spans="1:12" x14ac:dyDescent="0.2">
      <c r="A6154"/>
      <c r="B6154"/>
      <c r="C6154"/>
      <c r="D6154"/>
      <c r="E6154"/>
      <c r="F6154"/>
      <c r="G6154"/>
      <c r="H6154"/>
      <c r="I6154"/>
      <c r="J6154"/>
      <c r="K6154" s="1"/>
      <c r="L6154" s="2"/>
    </row>
    <row r="6155" spans="1:12" x14ac:dyDescent="0.2">
      <c r="A6155"/>
      <c r="B6155"/>
      <c r="C6155"/>
      <c r="D6155"/>
      <c r="E6155"/>
      <c r="F6155"/>
      <c r="G6155"/>
      <c r="H6155"/>
      <c r="I6155"/>
      <c r="J6155"/>
      <c r="K6155" s="1"/>
      <c r="L6155" s="2"/>
    </row>
    <row r="6156" spans="1:12" x14ac:dyDescent="0.2">
      <c r="A6156"/>
      <c r="B6156"/>
      <c r="C6156"/>
      <c r="D6156"/>
      <c r="E6156"/>
      <c r="F6156"/>
      <c r="G6156"/>
      <c r="H6156"/>
      <c r="I6156"/>
      <c r="J6156"/>
      <c r="K6156" s="1"/>
      <c r="L6156" s="2"/>
    </row>
    <row r="6157" spans="1:12" x14ac:dyDescent="0.2">
      <c r="A6157"/>
      <c r="B6157"/>
      <c r="C6157"/>
      <c r="D6157"/>
      <c r="E6157"/>
      <c r="F6157"/>
      <c r="G6157"/>
      <c r="H6157"/>
      <c r="I6157"/>
      <c r="J6157"/>
      <c r="K6157" s="1"/>
      <c r="L6157" s="2"/>
    </row>
    <row r="6158" spans="1:12" x14ac:dyDescent="0.2">
      <c r="A6158"/>
      <c r="B6158"/>
      <c r="C6158"/>
      <c r="D6158"/>
      <c r="E6158"/>
      <c r="F6158"/>
      <c r="G6158"/>
      <c r="H6158"/>
      <c r="I6158"/>
      <c r="J6158"/>
      <c r="K6158" s="1"/>
      <c r="L6158" s="2"/>
    </row>
    <row r="6159" spans="1:12" x14ac:dyDescent="0.2">
      <c r="A6159"/>
      <c r="B6159"/>
      <c r="C6159"/>
      <c r="D6159"/>
      <c r="E6159"/>
      <c r="F6159"/>
      <c r="G6159"/>
      <c r="H6159"/>
      <c r="I6159"/>
      <c r="J6159"/>
      <c r="K6159" s="1"/>
      <c r="L6159" s="2"/>
    </row>
    <row r="6160" spans="1:12" x14ac:dyDescent="0.2">
      <c r="A6160"/>
      <c r="B6160"/>
      <c r="C6160"/>
      <c r="D6160"/>
      <c r="E6160"/>
      <c r="F6160"/>
      <c r="G6160"/>
      <c r="H6160"/>
      <c r="I6160"/>
      <c r="J6160"/>
      <c r="K6160" s="1"/>
      <c r="L6160" s="2"/>
    </row>
    <row r="6161" spans="1:12" x14ac:dyDescent="0.2">
      <c r="A6161"/>
      <c r="B6161"/>
      <c r="C6161"/>
      <c r="D6161"/>
      <c r="E6161"/>
      <c r="F6161"/>
      <c r="G6161"/>
      <c r="H6161"/>
      <c r="I6161"/>
      <c r="J6161"/>
      <c r="K6161" s="1"/>
      <c r="L6161" s="2"/>
    </row>
    <row r="6162" spans="1:12" x14ac:dyDescent="0.2">
      <c r="A6162"/>
      <c r="B6162"/>
      <c r="C6162"/>
      <c r="D6162"/>
      <c r="E6162"/>
      <c r="F6162"/>
      <c r="G6162"/>
      <c r="H6162"/>
      <c r="I6162"/>
      <c r="J6162"/>
      <c r="K6162" s="1"/>
      <c r="L6162" s="2"/>
    </row>
    <row r="6163" spans="1:12" x14ac:dyDescent="0.2">
      <c r="A6163"/>
      <c r="B6163"/>
      <c r="C6163"/>
      <c r="D6163"/>
      <c r="E6163"/>
      <c r="F6163"/>
      <c r="G6163"/>
      <c r="H6163"/>
      <c r="I6163"/>
      <c r="J6163"/>
      <c r="K6163" s="1"/>
      <c r="L6163" s="2"/>
    </row>
    <row r="6164" spans="1:12" x14ac:dyDescent="0.2">
      <c r="A6164"/>
      <c r="B6164"/>
      <c r="C6164"/>
      <c r="D6164"/>
      <c r="E6164"/>
      <c r="F6164"/>
      <c r="G6164"/>
      <c r="H6164"/>
      <c r="I6164"/>
      <c r="J6164"/>
      <c r="K6164" s="1"/>
      <c r="L6164" s="2"/>
    </row>
    <row r="6165" spans="1:12" x14ac:dyDescent="0.2">
      <c r="A6165"/>
      <c r="B6165"/>
      <c r="C6165"/>
      <c r="D6165"/>
      <c r="E6165"/>
      <c r="F6165"/>
      <c r="G6165"/>
      <c r="H6165"/>
      <c r="I6165"/>
      <c r="J6165"/>
      <c r="K6165" s="1"/>
      <c r="L6165" s="2"/>
    </row>
    <row r="6166" spans="1:12" x14ac:dyDescent="0.2">
      <c r="A6166"/>
      <c r="B6166"/>
      <c r="C6166"/>
      <c r="D6166"/>
      <c r="E6166"/>
      <c r="F6166"/>
      <c r="G6166"/>
      <c r="H6166"/>
      <c r="I6166"/>
      <c r="J6166"/>
      <c r="K6166" s="1"/>
      <c r="L6166" s="2"/>
    </row>
    <row r="6167" spans="1:12" x14ac:dyDescent="0.2">
      <c r="A6167"/>
      <c r="B6167"/>
      <c r="C6167"/>
      <c r="D6167"/>
      <c r="E6167"/>
      <c r="F6167"/>
      <c r="G6167"/>
      <c r="H6167"/>
      <c r="I6167"/>
      <c r="J6167"/>
      <c r="K6167" s="1"/>
      <c r="L6167" s="2"/>
    </row>
    <row r="6168" spans="1:12" x14ac:dyDescent="0.2">
      <c r="A6168"/>
      <c r="B6168"/>
      <c r="C6168"/>
      <c r="D6168"/>
      <c r="E6168"/>
      <c r="F6168"/>
      <c r="G6168"/>
      <c r="H6168"/>
      <c r="I6168"/>
      <c r="J6168"/>
      <c r="K6168" s="1"/>
      <c r="L6168" s="2"/>
    </row>
    <row r="6169" spans="1:12" x14ac:dyDescent="0.2">
      <c r="A6169"/>
      <c r="B6169"/>
      <c r="C6169"/>
      <c r="D6169"/>
      <c r="E6169"/>
      <c r="F6169"/>
      <c r="G6169"/>
      <c r="H6169"/>
      <c r="I6169"/>
      <c r="J6169"/>
      <c r="K6169" s="1"/>
      <c r="L6169" s="2"/>
    </row>
    <row r="6170" spans="1:12" x14ac:dyDescent="0.2">
      <c r="A6170"/>
      <c r="B6170"/>
      <c r="C6170"/>
      <c r="D6170"/>
      <c r="E6170"/>
      <c r="F6170"/>
      <c r="G6170"/>
      <c r="H6170"/>
      <c r="I6170"/>
      <c r="J6170"/>
      <c r="K6170" s="1"/>
      <c r="L6170" s="2"/>
    </row>
    <row r="6171" spans="1:12" x14ac:dyDescent="0.2">
      <c r="A6171"/>
      <c r="B6171"/>
      <c r="C6171"/>
      <c r="D6171"/>
      <c r="E6171"/>
      <c r="F6171"/>
      <c r="G6171"/>
      <c r="H6171"/>
      <c r="I6171"/>
      <c r="J6171"/>
      <c r="K6171" s="1"/>
      <c r="L6171" s="2"/>
    </row>
    <row r="6172" spans="1:12" x14ac:dyDescent="0.2">
      <c r="A6172"/>
      <c r="B6172"/>
      <c r="C6172"/>
      <c r="D6172"/>
      <c r="E6172"/>
      <c r="F6172"/>
      <c r="G6172"/>
      <c r="H6172"/>
      <c r="I6172"/>
      <c r="J6172"/>
      <c r="K6172" s="1"/>
      <c r="L6172" s="2"/>
    </row>
    <row r="6173" spans="1:12" x14ac:dyDescent="0.2">
      <c r="A6173"/>
      <c r="B6173"/>
      <c r="C6173"/>
      <c r="D6173"/>
      <c r="E6173"/>
      <c r="F6173"/>
      <c r="G6173"/>
      <c r="H6173"/>
      <c r="I6173"/>
      <c r="J6173"/>
      <c r="K6173" s="1"/>
      <c r="L6173" s="2"/>
    </row>
    <row r="6174" spans="1:12" x14ac:dyDescent="0.2">
      <c r="A6174"/>
      <c r="B6174"/>
      <c r="C6174"/>
      <c r="D6174"/>
      <c r="E6174"/>
      <c r="F6174"/>
      <c r="G6174"/>
      <c r="H6174"/>
      <c r="I6174"/>
      <c r="J6174"/>
      <c r="K6174" s="1"/>
      <c r="L6174" s="2"/>
    </row>
    <row r="6175" spans="1:12" x14ac:dyDescent="0.2">
      <c r="A6175"/>
      <c r="B6175"/>
      <c r="C6175"/>
      <c r="D6175"/>
      <c r="E6175"/>
      <c r="F6175"/>
      <c r="G6175"/>
      <c r="H6175"/>
      <c r="I6175"/>
      <c r="J6175"/>
      <c r="K6175" s="1"/>
      <c r="L6175" s="2"/>
    </row>
    <row r="6176" spans="1:12" x14ac:dyDescent="0.2">
      <c r="A6176"/>
      <c r="B6176"/>
      <c r="C6176"/>
      <c r="D6176"/>
      <c r="E6176"/>
      <c r="F6176"/>
      <c r="G6176"/>
      <c r="H6176"/>
      <c r="I6176"/>
      <c r="J6176"/>
      <c r="K6176" s="1"/>
      <c r="L6176" s="2"/>
    </row>
    <row r="6177" spans="1:12" x14ac:dyDescent="0.2">
      <c r="A6177"/>
      <c r="B6177"/>
      <c r="C6177"/>
      <c r="D6177"/>
      <c r="E6177"/>
      <c r="F6177"/>
      <c r="G6177"/>
      <c r="H6177"/>
      <c r="I6177"/>
      <c r="J6177"/>
      <c r="K6177" s="1"/>
      <c r="L6177" s="2"/>
    </row>
    <row r="6178" spans="1:12" x14ac:dyDescent="0.2">
      <c r="A6178"/>
      <c r="B6178"/>
      <c r="C6178"/>
      <c r="D6178"/>
      <c r="E6178"/>
      <c r="F6178"/>
      <c r="G6178"/>
      <c r="H6178"/>
      <c r="I6178"/>
      <c r="J6178"/>
      <c r="K6178" s="1"/>
      <c r="L6178" s="2"/>
    </row>
    <row r="6179" spans="1:12" x14ac:dyDescent="0.2">
      <c r="A6179"/>
      <c r="B6179"/>
      <c r="C6179"/>
      <c r="D6179"/>
      <c r="E6179"/>
      <c r="F6179"/>
      <c r="G6179"/>
      <c r="H6179"/>
      <c r="I6179"/>
      <c r="J6179"/>
      <c r="K6179" s="1"/>
      <c r="L6179" s="2"/>
    </row>
    <row r="6180" spans="1:12" x14ac:dyDescent="0.2">
      <c r="A6180"/>
      <c r="B6180"/>
      <c r="C6180"/>
      <c r="D6180"/>
      <c r="E6180"/>
      <c r="F6180"/>
      <c r="G6180"/>
      <c r="H6180"/>
      <c r="I6180"/>
      <c r="J6180"/>
      <c r="K6180" s="1"/>
      <c r="L6180" s="2"/>
    </row>
    <row r="6181" spans="1:12" x14ac:dyDescent="0.2">
      <c r="A6181"/>
      <c r="B6181"/>
      <c r="C6181"/>
      <c r="D6181"/>
      <c r="E6181"/>
      <c r="F6181"/>
      <c r="G6181"/>
      <c r="H6181"/>
      <c r="I6181"/>
      <c r="J6181"/>
      <c r="K6181" s="1"/>
      <c r="L6181" s="2"/>
    </row>
    <row r="6182" spans="1:12" x14ac:dyDescent="0.2">
      <c r="A6182"/>
      <c r="B6182"/>
      <c r="C6182"/>
      <c r="D6182"/>
      <c r="E6182"/>
      <c r="F6182"/>
      <c r="G6182"/>
      <c r="H6182"/>
      <c r="I6182"/>
      <c r="J6182"/>
      <c r="K6182" s="1"/>
      <c r="L6182" s="2"/>
    </row>
    <row r="6183" spans="1:12" x14ac:dyDescent="0.2">
      <c r="A6183"/>
      <c r="B6183"/>
      <c r="C6183"/>
      <c r="D6183"/>
      <c r="E6183"/>
      <c r="F6183"/>
      <c r="G6183"/>
      <c r="H6183"/>
      <c r="I6183"/>
      <c r="J6183"/>
      <c r="K6183" s="1"/>
      <c r="L6183" s="2"/>
    </row>
    <row r="6184" spans="1:12" x14ac:dyDescent="0.2">
      <c r="A6184"/>
      <c r="B6184"/>
      <c r="C6184"/>
      <c r="D6184"/>
      <c r="E6184"/>
      <c r="F6184"/>
      <c r="G6184"/>
      <c r="H6184"/>
      <c r="I6184"/>
      <c r="J6184"/>
      <c r="K6184" s="1"/>
      <c r="L6184" s="2"/>
    </row>
    <row r="6185" spans="1:12" x14ac:dyDescent="0.2">
      <c r="A6185"/>
      <c r="B6185"/>
      <c r="C6185"/>
      <c r="D6185"/>
      <c r="E6185"/>
      <c r="F6185"/>
      <c r="G6185"/>
      <c r="H6185"/>
      <c r="I6185"/>
      <c r="J6185"/>
      <c r="K6185" s="1"/>
      <c r="L6185" s="2"/>
    </row>
    <row r="6186" spans="1:12" x14ac:dyDescent="0.2">
      <c r="A6186"/>
      <c r="B6186"/>
      <c r="C6186"/>
      <c r="D6186"/>
      <c r="E6186"/>
      <c r="F6186"/>
      <c r="G6186"/>
      <c r="H6186"/>
      <c r="I6186"/>
      <c r="J6186"/>
      <c r="K6186" s="1"/>
      <c r="L6186" s="2"/>
    </row>
    <row r="6187" spans="1:12" x14ac:dyDescent="0.2">
      <c r="A6187"/>
      <c r="B6187"/>
      <c r="C6187"/>
      <c r="D6187"/>
      <c r="E6187"/>
      <c r="F6187"/>
      <c r="G6187"/>
      <c r="H6187"/>
      <c r="I6187"/>
      <c r="J6187"/>
      <c r="K6187" s="1"/>
      <c r="L6187" s="2"/>
    </row>
    <row r="6188" spans="1:12" x14ac:dyDescent="0.2">
      <c r="A6188"/>
      <c r="B6188"/>
      <c r="C6188"/>
      <c r="D6188"/>
      <c r="E6188"/>
      <c r="F6188"/>
      <c r="G6188"/>
      <c r="H6188"/>
      <c r="I6188"/>
      <c r="J6188"/>
      <c r="K6188" s="1"/>
      <c r="L6188" s="2"/>
    </row>
    <row r="6189" spans="1:12" x14ac:dyDescent="0.2">
      <c r="A6189"/>
      <c r="B6189"/>
      <c r="C6189"/>
      <c r="D6189"/>
      <c r="E6189"/>
      <c r="F6189"/>
      <c r="G6189"/>
      <c r="H6189"/>
      <c r="I6189"/>
      <c r="J6189"/>
      <c r="K6189" s="1"/>
      <c r="L6189" s="2"/>
    </row>
    <row r="6190" spans="1:12" x14ac:dyDescent="0.2">
      <c r="A6190"/>
      <c r="B6190"/>
      <c r="C6190"/>
      <c r="D6190"/>
      <c r="E6190"/>
      <c r="F6190"/>
      <c r="G6190"/>
      <c r="H6190"/>
      <c r="I6190"/>
      <c r="J6190"/>
      <c r="K6190" s="1"/>
      <c r="L6190" s="2"/>
    </row>
    <row r="6191" spans="1:12" x14ac:dyDescent="0.2">
      <c r="A6191"/>
      <c r="B6191"/>
      <c r="C6191"/>
      <c r="D6191"/>
      <c r="E6191"/>
      <c r="F6191"/>
      <c r="G6191"/>
      <c r="H6191"/>
      <c r="I6191"/>
      <c r="J6191"/>
      <c r="K6191" s="1"/>
      <c r="L6191" s="2"/>
    </row>
    <row r="6192" spans="1:12" x14ac:dyDescent="0.2">
      <c r="A6192"/>
      <c r="B6192"/>
      <c r="C6192"/>
      <c r="D6192"/>
      <c r="E6192"/>
      <c r="F6192"/>
      <c r="G6192"/>
      <c r="H6192"/>
      <c r="I6192"/>
      <c r="J6192"/>
      <c r="K6192" s="1"/>
      <c r="L6192" s="2"/>
    </row>
    <row r="6193" spans="1:12" x14ac:dyDescent="0.2">
      <c r="A6193"/>
      <c r="B6193"/>
      <c r="C6193"/>
      <c r="D6193"/>
      <c r="E6193"/>
      <c r="F6193"/>
      <c r="G6193"/>
      <c r="H6193"/>
      <c r="I6193"/>
      <c r="J6193"/>
      <c r="K6193" s="1"/>
      <c r="L6193" s="2"/>
    </row>
    <row r="6194" spans="1:12" x14ac:dyDescent="0.2">
      <c r="A6194"/>
      <c r="B6194"/>
      <c r="C6194"/>
      <c r="D6194"/>
      <c r="E6194"/>
      <c r="F6194"/>
      <c r="G6194"/>
      <c r="H6194"/>
      <c r="I6194"/>
      <c r="J6194"/>
      <c r="K6194" s="1"/>
      <c r="L6194" s="2"/>
    </row>
    <row r="6195" spans="1:12" x14ac:dyDescent="0.2">
      <c r="A6195"/>
      <c r="B6195"/>
      <c r="C6195"/>
      <c r="D6195"/>
      <c r="E6195"/>
      <c r="F6195"/>
      <c r="G6195"/>
      <c r="H6195"/>
      <c r="I6195"/>
      <c r="J6195"/>
      <c r="K6195" s="1"/>
      <c r="L6195" s="2"/>
    </row>
    <row r="6196" spans="1:12" x14ac:dyDescent="0.2">
      <c r="A6196"/>
      <c r="B6196"/>
      <c r="C6196"/>
      <c r="D6196"/>
      <c r="E6196"/>
      <c r="F6196"/>
      <c r="G6196"/>
      <c r="H6196"/>
      <c r="I6196"/>
      <c r="J6196"/>
      <c r="K6196" s="1"/>
      <c r="L6196" s="2"/>
    </row>
    <row r="6197" spans="1:12" x14ac:dyDescent="0.2">
      <c r="A6197"/>
      <c r="B6197"/>
      <c r="C6197"/>
      <c r="D6197"/>
      <c r="E6197"/>
      <c r="F6197"/>
      <c r="G6197"/>
      <c r="H6197"/>
      <c r="I6197"/>
      <c r="J6197"/>
      <c r="K6197" s="1"/>
      <c r="L6197" s="2"/>
    </row>
    <row r="6198" spans="1:12" x14ac:dyDescent="0.2">
      <c r="A6198"/>
      <c r="B6198"/>
      <c r="C6198"/>
      <c r="D6198"/>
      <c r="E6198"/>
      <c r="F6198"/>
      <c r="G6198"/>
      <c r="H6198"/>
      <c r="I6198"/>
      <c r="J6198"/>
      <c r="K6198" s="1"/>
      <c r="L6198" s="2"/>
    </row>
    <row r="6199" spans="1:12" x14ac:dyDescent="0.2">
      <c r="A6199"/>
      <c r="B6199"/>
      <c r="C6199"/>
      <c r="D6199"/>
      <c r="E6199"/>
      <c r="F6199"/>
      <c r="G6199"/>
      <c r="H6199"/>
      <c r="I6199"/>
      <c r="J6199"/>
      <c r="K6199" s="1"/>
      <c r="L6199" s="2"/>
    </row>
    <row r="6200" spans="1:12" x14ac:dyDescent="0.2">
      <c r="A6200"/>
      <c r="B6200"/>
      <c r="C6200"/>
      <c r="D6200"/>
      <c r="E6200"/>
      <c r="F6200"/>
      <c r="G6200"/>
      <c r="H6200"/>
      <c r="I6200"/>
      <c r="J6200"/>
      <c r="K6200" s="1"/>
      <c r="L6200" s="2"/>
    </row>
    <row r="6201" spans="1:12" x14ac:dyDescent="0.2">
      <c r="A6201"/>
      <c r="B6201"/>
      <c r="C6201"/>
      <c r="D6201"/>
      <c r="E6201"/>
      <c r="F6201"/>
      <c r="G6201"/>
      <c r="H6201"/>
      <c r="I6201"/>
      <c r="J6201"/>
      <c r="K6201" s="1"/>
      <c r="L6201" s="2"/>
    </row>
    <row r="6202" spans="1:12" x14ac:dyDescent="0.2">
      <c r="A6202"/>
      <c r="B6202"/>
      <c r="C6202"/>
      <c r="D6202"/>
      <c r="E6202"/>
      <c r="F6202"/>
      <c r="G6202"/>
      <c r="H6202"/>
      <c r="I6202"/>
      <c r="J6202"/>
      <c r="K6202" s="1"/>
      <c r="L6202" s="2"/>
    </row>
    <row r="6203" spans="1:12" x14ac:dyDescent="0.2">
      <c r="A6203"/>
      <c r="B6203"/>
      <c r="C6203"/>
      <c r="D6203"/>
      <c r="E6203"/>
      <c r="F6203"/>
      <c r="G6203"/>
      <c r="H6203"/>
      <c r="I6203"/>
      <c r="J6203"/>
      <c r="K6203" s="1"/>
      <c r="L6203" s="2"/>
    </row>
    <row r="6204" spans="1:12" x14ac:dyDescent="0.2">
      <c r="A6204"/>
      <c r="B6204"/>
      <c r="C6204"/>
      <c r="D6204"/>
      <c r="E6204"/>
      <c r="F6204"/>
      <c r="G6204"/>
      <c r="H6204"/>
      <c r="I6204"/>
      <c r="J6204"/>
      <c r="K6204" s="1"/>
      <c r="L6204" s="2"/>
    </row>
    <row r="6205" spans="1:12" x14ac:dyDescent="0.2">
      <c r="A6205"/>
      <c r="B6205"/>
      <c r="C6205"/>
      <c r="D6205"/>
      <c r="E6205"/>
      <c r="F6205"/>
      <c r="G6205"/>
      <c r="H6205"/>
      <c r="I6205"/>
      <c r="J6205"/>
      <c r="K6205" s="1"/>
      <c r="L6205" s="2"/>
    </row>
    <row r="6206" spans="1:12" x14ac:dyDescent="0.2">
      <c r="A6206"/>
      <c r="B6206"/>
      <c r="C6206"/>
      <c r="D6206"/>
      <c r="E6206"/>
      <c r="F6206"/>
      <c r="G6206"/>
      <c r="H6206"/>
      <c r="I6206"/>
      <c r="J6206"/>
      <c r="K6206" s="1"/>
      <c r="L6206" s="2"/>
    </row>
    <row r="6207" spans="1:12" x14ac:dyDescent="0.2">
      <c r="A6207"/>
      <c r="B6207"/>
      <c r="C6207"/>
      <c r="D6207"/>
      <c r="E6207"/>
      <c r="F6207"/>
      <c r="G6207"/>
      <c r="H6207"/>
      <c r="I6207"/>
      <c r="J6207"/>
      <c r="K6207" s="1"/>
      <c r="L6207" s="2"/>
    </row>
    <row r="6208" spans="1:12" x14ac:dyDescent="0.2">
      <c r="A6208"/>
      <c r="B6208"/>
      <c r="C6208"/>
      <c r="D6208"/>
      <c r="E6208"/>
      <c r="F6208"/>
      <c r="G6208"/>
      <c r="H6208"/>
      <c r="I6208"/>
      <c r="J6208"/>
      <c r="K6208" s="1"/>
      <c r="L6208" s="2"/>
    </row>
    <row r="6209" spans="1:12" x14ac:dyDescent="0.2">
      <c r="A6209"/>
      <c r="B6209"/>
      <c r="C6209"/>
      <c r="D6209"/>
      <c r="E6209"/>
      <c r="F6209"/>
      <c r="G6209"/>
      <c r="H6209"/>
      <c r="I6209"/>
      <c r="J6209"/>
      <c r="K6209" s="1"/>
      <c r="L6209" s="2"/>
    </row>
    <row r="6210" spans="1:12" x14ac:dyDescent="0.2">
      <c r="A6210"/>
      <c r="B6210"/>
      <c r="C6210"/>
      <c r="D6210"/>
      <c r="E6210"/>
      <c r="F6210"/>
      <c r="G6210"/>
      <c r="H6210"/>
      <c r="I6210"/>
      <c r="J6210"/>
      <c r="K6210" s="1"/>
      <c r="L6210" s="2"/>
    </row>
    <row r="6211" spans="1:12" x14ac:dyDescent="0.2">
      <c r="A6211"/>
      <c r="B6211"/>
      <c r="C6211"/>
      <c r="D6211"/>
      <c r="E6211"/>
      <c r="F6211"/>
      <c r="G6211"/>
      <c r="H6211"/>
      <c r="I6211"/>
      <c r="J6211"/>
      <c r="K6211" s="1"/>
      <c r="L6211" s="2"/>
    </row>
    <row r="6212" spans="1:12" x14ac:dyDescent="0.2">
      <c r="A6212"/>
      <c r="B6212"/>
      <c r="C6212"/>
      <c r="D6212"/>
      <c r="E6212"/>
      <c r="F6212"/>
      <c r="G6212"/>
      <c r="H6212"/>
      <c r="I6212"/>
      <c r="J6212"/>
      <c r="K6212" s="1"/>
      <c r="L6212" s="2"/>
    </row>
    <row r="6213" spans="1:12" x14ac:dyDescent="0.2">
      <c r="A6213"/>
      <c r="B6213"/>
      <c r="C6213"/>
      <c r="D6213"/>
      <c r="E6213"/>
      <c r="F6213"/>
      <c r="G6213"/>
      <c r="H6213"/>
      <c r="I6213"/>
      <c r="J6213"/>
      <c r="K6213" s="1"/>
      <c r="L6213" s="2"/>
    </row>
    <row r="6214" spans="1:12" x14ac:dyDescent="0.2">
      <c r="A6214"/>
      <c r="B6214"/>
      <c r="C6214"/>
      <c r="D6214"/>
      <c r="E6214"/>
      <c r="F6214"/>
      <c r="G6214"/>
      <c r="H6214"/>
      <c r="I6214"/>
      <c r="J6214"/>
      <c r="K6214" s="1"/>
      <c r="L6214" s="2"/>
    </row>
    <row r="6215" spans="1:12" x14ac:dyDescent="0.2">
      <c r="A6215"/>
      <c r="B6215"/>
      <c r="C6215"/>
      <c r="D6215"/>
      <c r="E6215"/>
      <c r="F6215"/>
      <c r="G6215"/>
      <c r="H6215"/>
      <c r="I6215"/>
      <c r="J6215"/>
      <c r="K6215" s="1"/>
      <c r="L6215" s="2"/>
    </row>
    <row r="6216" spans="1:12" x14ac:dyDescent="0.2">
      <c r="A6216"/>
      <c r="B6216"/>
      <c r="C6216"/>
      <c r="D6216"/>
      <c r="E6216"/>
      <c r="F6216"/>
      <c r="G6216"/>
      <c r="H6216"/>
      <c r="I6216"/>
      <c r="J6216"/>
      <c r="K6216" s="1"/>
      <c r="L6216" s="2"/>
    </row>
    <row r="6217" spans="1:12" x14ac:dyDescent="0.2">
      <c r="A6217"/>
      <c r="B6217"/>
      <c r="C6217"/>
      <c r="D6217"/>
      <c r="E6217"/>
      <c r="F6217"/>
      <c r="G6217"/>
      <c r="H6217"/>
      <c r="I6217"/>
      <c r="J6217"/>
      <c r="K6217" s="1"/>
      <c r="L6217" s="2"/>
    </row>
    <row r="6218" spans="1:12" x14ac:dyDescent="0.2">
      <c r="A6218"/>
      <c r="B6218"/>
      <c r="C6218"/>
      <c r="D6218"/>
      <c r="E6218"/>
      <c r="F6218"/>
      <c r="G6218"/>
      <c r="H6218"/>
      <c r="I6218"/>
      <c r="J6218"/>
      <c r="K6218" s="1"/>
      <c r="L6218" s="2"/>
    </row>
    <row r="6219" spans="1:12" x14ac:dyDescent="0.2">
      <c r="A6219"/>
      <c r="B6219"/>
      <c r="C6219"/>
      <c r="D6219"/>
      <c r="E6219"/>
      <c r="F6219"/>
      <c r="G6219"/>
      <c r="H6219"/>
      <c r="I6219"/>
      <c r="J6219"/>
      <c r="K6219" s="1"/>
      <c r="L6219" s="2"/>
    </row>
    <row r="6220" spans="1:12" x14ac:dyDescent="0.2">
      <c r="A6220"/>
      <c r="B6220"/>
      <c r="C6220"/>
      <c r="D6220"/>
      <c r="E6220"/>
      <c r="F6220"/>
      <c r="G6220"/>
      <c r="H6220"/>
      <c r="I6220"/>
      <c r="J6220"/>
      <c r="K6220" s="1"/>
      <c r="L6220" s="2"/>
    </row>
    <row r="6221" spans="1:12" x14ac:dyDescent="0.2">
      <c r="A6221"/>
      <c r="B6221"/>
      <c r="C6221"/>
      <c r="D6221"/>
      <c r="E6221"/>
      <c r="F6221"/>
      <c r="G6221"/>
      <c r="H6221"/>
      <c r="I6221"/>
      <c r="J6221"/>
      <c r="K6221" s="1"/>
      <c r="L6221" s="2"/>
    </row>
    <row r="6222" spans="1:12" x14ac:dyDescent="0.2">
      <c r="A6222"/>
      <c r="B6222"/>
      <c r="C6222"/>
      <c r="D6222"/>
      <c r="E6222"/>
      <c r="F6222"/>
      <c r="G6222"/>
      <c r="H6222"/>
      <c r="I6222"/>
      <c r="J6222"/>
      <c r="K6222" s="1"/>
      <c r="L6222" s="2"/>
    </row>
    <row r="6223" spans="1:12" x14ac:dyDescent="0.2">
      <c r="A6223"/>
      <c r="B6223"/>
      <c r="C6223"/>
      <c r="D6223"/>
      <c r="E6223"/>
      <c r="F6223"/>
      <c r="G6223"/>
      <c r="H6223"/>
      <c r="I6223"/>
      <c r="J6223"/>
      <c r="K6223" s="1"/>
      <c r="L6223" s="2"/>
    </row>
    <row r="6224" spans="1:12" x14ac:dyDescent="0.2">
      <c r="A6224"/>
      <c r="B6224"/>
      <c r="C6224"/>
      <c r="D6224"/>
      <c r="E6224"/>
      <c r="F6224"/>
      <c r="G6224"/>
      <c r="H6224"/>
      <c r="I6224"/>
      <c r="J6224"/>
      <c r="K6224" s="1"/>
      <c r="L6224" s="2"/>
    </row>
    <row r="6225" spans="1:12" x14ac:dyDescent="0.2">
      <c r="A6225"/>
      <c r="B6225"/>
      <c r="C6225"/>
      <c r="D6225"/>
      <c r="E6225"/>
      <c r="F6225"/>
      <c r="G6225"/>
      <c r="H6225"/>
      <c r="I6225"/>
      <c r="J6225"/>
      <c r="K6225" s="1"/>
      <c r="L6225" s="2"/>
    </row>
    <row r="6226" spans="1:12" x14ac:dyDescent="0.2">
      <c r="A6226"/>
      <c r="B6226"/>
      <c r="C6226"/>
      <c r="D6226"/>
      <c r="E6226"/>
      <c r="F6226"/>
      <c r="G6226"/>
      <c r="H6226"/>
      <c r="I6226"/>
      <c r="J6226"/>
      <c r="K6226" s="1"/>
      <c r="L6226" s="2"/>
    </row>
    <row r="6227" spans="1:12" x14ac:dyDescent="0.2">
      <c r="A6227"/>
      <c r="B6227"/>
      <c r="C6227"/>
      <c r="D6227"/>
      <c r="E6227"/>
      <c r="F6227"/>
      <c r="G6227"/>
      <c r="H6227"/>
      <c r="I6227"/>
      <c r="J6227"/>
      <c r="K6227" s="1"/>
      <c r="L6227" s="2"/>
    </row>
    <row r="6228" spans="1:12" x14ac:dyDescent="0.2">
      <c r="A6228"/>
      <c r="B6228"/>
      <c r="C6228"/>
      <c r="D6228"/>
      <c r="E6228"/>
      <c r="F6228"/>
      <c r="G6228"/>
      <c r="H6228"/>
      <c r="I6228"/>
      <c r="J6228"/>
      <c r="K6228" s="1"/>
      <c r="L6228" s="2"/>
    </row>
    <row r="6229" spans="1:12" x14ac:dyDescent="0.2">
      <c r="A6229"/>
      <c r="B6229"/>
      <c r="C6229"/>
      <c r="D6229"/>
      <c r="E6229"/>
      <c r="F6229"/>
      <c r="G6229"/>
      <c r="H6229"/>
      <c r="I6229"/>
      <c r="J6229"/>
      <c r="K6229" s="1"/>
      <c r="L6229" s="2"/>
    </row>
    <row r="6230" spans="1:12" x14ac:dyDescent="0.2">
      <c r="A6230"/>
      <c r="B6230"/>
      <c r="C6230"/>
      <c r="D6230"/>
      <c r="E6230"/>
      <c r="F6230"/>
      <c r="G6230"/>
      <c r="H6230"/>
      <c r="I6230"/>
      <c r="J6230"/>
      <c r="K6230" s="1"/>
      <c r="L6230" s="2"/>
    </row>
    <row r="6231" spans="1:12" x14ac:dyDescent="0.2">
      <c r="A6231"/>
      <c r="B6231"/>
      <c r="C6231"/>
      <c r="D6231"/>
      <c r="E6231"/>
      <c r="F6231"/>
      <c r="G6231"/>
      <c r="H6231"/>
      <c r="I6231"/>
      <c r="J6231"/>
      <c r="K6231" s="1"/>
      <c r="L6231" s="2"/>
    </row>
    <row r="6232" spans="1:12" x14ac:dyDescent="0.2">
      <c r="A6232"/>
      <c r="B6232"/>
      <c r="C6232"/>
      <c r="D6232"/>
      <c r="E6232"/>
      <c r="F6232"/>
      <c r="G6232"/>
      <c r="H6232"/>
      <c r="I6232"/>
      <c r="J6232"/>
      <c r="K6232" s="1"/>
      <c r="L6232" s="2"/>
    </row>
    <row r="6233" spans="1:12" x14ac:dyDescent="0.2">
      <c r="A6233"/>
      <c r="B6233"/>
      <c r="C6233"/>
      <c r="D6233"/>
      <c r="E6233"/>
      <c r="F6233"/>
      <c r="G6233"/>
      <c r="H6233"/>
      <c r="I6233"/>
      <c r="J6233"/>
      <c r="K6233" s="1"/>
      <c r="L6233" s="2"/>
    </row>
    <row r="6234" spans="1:12" x14ac:dyDescent="0.2">
      <c r="A6234"/>
      <c r="B6234"/>
      <c r="C6234"/>
      <c r="D6234"/>
      <c r="E6234"/>
      <c r="F6234"/>
      <c r="G6234"/>
      <c r="H6234"/>
      <c r="I6234"/>
      <c r="J6234"/>
      <c r="K6234" s="1"/>
      <c r="L6234" s="2"/>
    </row>
    <row r="6235" spans="1:12" x14ac:dyDescent="0.2">
      <c r="A6235"/>
      <c r="B6235"/>
      <c r="C6235"/>
      <c r="D6235"/>
      <c r="E6235"/>
      <c r="F6235"/>
      <c r="G6235"/>
      <c r="H6235"/>
      <c r="I6235"/>
      <c r="J6235"/>
      <c r="K6235" s="1"/>
      <c r="L6235" s="2"/>
    </row>
    <row r="6236" spans="1:12" x14ac:dyDescent="0.2">
      <c r="A6236"/>
      <c r="B6236"/>
      <c r="C6236"/>
      <c r="D6236"/>
      <c r="E6236"/>
      <c r="F6236"/>
      <c r="G6236"/>
      <c r="H6236"/>
      <c r="I6236"/>
      <c r="J6236"/>
      <c r="K6236" s="1"/>
      <c r="L6236" s="2"/>
    </row>
    <row r="6237" spans="1:12" x14ac:dyDescent="0.2">
      <c r="A6237"/>
      <c r="B6237"/>
      <c r="C6237"/>
      <c r="D6237"/>
      <c r="E6237"/>
      <c r="F6237"/>
      <c r="G6237"/>
      <c r="H6237"/>
      <c r="I6237"/>
      <c r="J6237"/>
      <c r="K6237" s="1"/>
      <c r="L6237" s="2"/>
    </row>
    <row r="6238" spans="1:12" x14ac:dyDescent="0.2">
      <c r="A6238"/>
      <c r="B6238"/>
      <c r="C6238"/>
      <c r="D6238"/>
      <c r="E6238"/>
      <c r="F6238"/>
      <c r="G6238"/>
      <c r="H6238"/>
      <c r="I6238"/>
      <c r="J6238"/>
      <c r="K6238" s="1"/>
      <c r="L6238" s="2"/>
    </row>
    <row r="6239" spans="1:12" x14ac:dyDescent="0.2">
      <c r="A6239"/>
      <c r="B6239"/>
      <c r="C6239"/>
      <c r="D6239"/>
      <c r="E6239"/>
      <c r="F6239"/>
      <c r="G6239"/>
      <c r="H6239"/>
      <c r="I6239"/>
      <c r="J6239"/>
      <c r="K6239" s="1"/>
      <c r="L6239" s="2"/>
    </row>
    <row r="6240" spans="1:12" x14ac:dyDescent="0.2">
      <c r="A6240"/>
      <c r="B6240"/>
      <c r="C6240"/>
      <c r="D6240"/>
      <c r="E6240"/>
      <c r="F6240"/>
      <c r="G6240"/>
      <c r="H6240"/>
      <c r="I6240"/>
      <c r="J6240"/>
      <c r="K6240" s="1"/>
      <c r="L6240" s="2"/>
    </row>
    <row r="6241" spans="1:12" x14ac:dyDescent="0.2">
      <c r="A6241"/>
      <c r="B6241"/>
      <c r="C6241"/>
      <c r="D6241"/>
      <c r="E6241"/>
      <c r="F6241"/>
      <c r="G6241"/>
      <c r="H6241"/>
      <c r="I6241"/>
      <c r="J6241"/>
      <c r="K6241" s="1"/>
      <c r="L6241" s="2"/>
    </row>
    <row r="6242" spans="1:12" x14ac:dyDescent="0.2">
      <c r="A6242"/>
      <c r="B6242"/>
      <c r="C6242"/>
      <c r="D6242"/>
      <c r="E6242"/>
      <c r="F6242"/>
      <c r="G6242"/>
      <c r="H6242"/>
      <c r="I6242"/>
      <c r="J6242"/>
      <c r="K6242" s="1"/>
      <c r="L6242" s="2"/>
    </row>
    <row r="6243" spans="1:12" x14ac:dyDescent="0.2">
      <c r="A6243"/>
      <c r="B6243"/>
      <c r="C6243"/>
      <c r="D6243"/>
      <c r="E6243"/>
      <c r="F6243"/>
      <c r="G6243"/>
      <c r="H6243"/>
      <c r="I6243"/>
      <c r="J6243"/>
      <c r="K6243" s="1"/>
      <c r="L6243" s="2"/>
    </row>
    <row r="6244" spans="1:12" x14ac:dyDescent="0.2">
      <c r="A6244"/>
      <c r="B6244"/>
      <c r="C6244"/>
      <c r="D6244"/>
      <c r="E6244"/>
      <c r="F6244"/>
      <c r="G6244"/>
      <c r="H6244"/>
      <c r="I6244"/>
      <c r="J6244"/>
      <c r="K6244" s="1"/>
      <c r="L6244" s="2"/>
    </row>
    <row r="6245" spans="1:12" x14ac:dyDescent="0.2">
      <c r="A6245"/>
      <c r="B6245"/>
      <c r="C6245"/>
      <c r="D6245"/>
      <c r="E6245"/>
      <c r="F6245"/>
      <c r="G6245"/>
      <c r="H6245"/>
      <c r="I6245"/>
      <c r="J6245"/>
      <c r="K6245" s="1"/>
      <c r="L6245" s="2"/>
    </row>
    <row r="6246" spans="1:12" x14ac:dyDescent="0.2">
      <c r="A6246"/>
      <c r="B6246"/>
      <c r="C6246"/>
      <c r="D6246"/>
      <c r="E6246"/>
      <c r="F6246"/>
      <c r="G6246"/>
      <c r="H6246"/>
      <c r="I6246"/>
      <c r="J6246"/>
      <c r="K6246" s="1"/>
      <c r="L6246" s="2"/>
    </row>
    <row r="6247" spans="1:12" x14ac:dyDescent="0.2">
      <c r="A6247"/>
      <c r="B6247"/>
      <c r="C6247"/>
      <c r="D6247"/>
      <c r="E6247"/>
      <c r="F6247"/>
      <c r="G6247"/>
      <c r="H6247"/>
      <c r="I6247"/>
      <c r="J6247"/>
      <c r="K6247" s="1"/>
      <c r="L6247" s="2"/>
    </row>
    <row r="6248" spans="1:12" x14ac:dyDescent="0.2">
      <c r="A6248"/>
      <c r="B6248"/>
      <c r="C6248"/>
      <c r="D6248"/>
      <c r="E6248"/>
      <c r="F6248"/>
      <c r="G6248"/>
      <c r="H6248"/>
      <c r="I6248"/>
      <c r="J6248"/>
      <c r="K6248" s="1"/>
      <c r="L6248" s="2"/>
    </row>
    <row r="6249" spans="1:12" x14ac:dyDescent="0.2">
      <c r="A6249"/>
      <c r="B6249"/>
      <c r="C6249"/>
      <c r="D6249"/>
      <c r="E6249"/>
      <c r="F6249"/>
      <c r="G6249"/>
      <c r="H6249"/>
      <c r="I6249"/>
      <c r="J6249"/>
      <c r="K6249" s="1"/>
      <c r="L6249" s="2"/>
    </row>
    <row r="6250" spans="1:12" x14ac:dyDescent="0.2">
      <c r="A6250"/>
      <c r="B6250"/>
      <c r="C6250"/>
      <c r="D6250"/>
      <c r="E6250"/>
      <c r="F6250"/>
      <c r="G6250"/>
      <c r="H6250"/>
      <c r="I6250"/>
      <c r="J6250"/>
      <c r="K6250" s="1"/>
      <c r="L6250" s="2"/>
    </row>
    <row r="6251" spans="1:12" x14ac:dyDescent="0.2">
      <c r="A6251"/>
      <c r="B6251"/>
      <c r="C6251"/>
      <c r="D6251"/>
      <c r="E6251"/>
      <c r="F6251"/>
      <c r="G6251"/>
      <c r="H6251"/>
      <c r="I6251"/>
      <c r="J6251"/>
      <c r="K6251" s="1"/>
      <c r="L6251" s="2"/>
    </row>
    <row r="6252" spans="1:12" x14ac:dyDescent="0.2">
      <c r="A6252"/>
      <c r="B6252"/>
      <c r="C6252"/>
      <c r="D6252"/>
      <c r="E6252"/>
      <c r="F6252"/>
      <c r="G6252"/>
      <c r="H6252"/>
      <c r="I6252"/>
      <c r="J6252"/>
      <c r="K6252" s="1"/>
      <c r="L6252" s="2"/>
    </row>
    <row r="6253" spans="1:12" x14ac:dyDescent="0.2">
      <c r="A6253"/>
      <c r="B6253"/>
      <c r="C6253"/>
      <c r="D6253"/>
      <c r="E6253"/>
      <c r="F6253"/>
      <c r="G6253"/>
      <c r="H6253"/>
      <c r="I6253"/>
      <c r="J6253"/>
      <c r="K6253" s="1"/>
      <c r="L6253" s="2"/>
    </row>
    <row r="6254" spans="1:12" x14ac:dyDescent="0.2">
      <c r="A6254"/>
      <c r="B6254"/>
      <c r="C6254"/>
      <c r="D6254"/>
      <c r="E6254"/>
      <c r="F6254"/>
      <c r="G6254"/>
      <c r="H6254"/>
      <c r="I6254"/>
      <c r="J6254"/>
      <c r="K6254" s="1"/>
      <c r="L6254" s="2"/>
    </row>
    <row r="6255" spans="1:12" x14ac:dyDescent="0.2">
      <c r="A6255"/>
      <c r="B6255"/>
      <c r="C6255"/>
      <c r="D6255"/>
      <c r="E6255"/>
      <c r="F6255"/>
      <c r="G6255"/>
      <c r="H6255"/>
      <c r="I6255"/>
      <c r="J6255"/>
      <c r="K6255" s="1"/>
      <c r="L6255" s="2"/>
    </row>
    <row r="6256" spans="1:12" x14ac:dyDescent="0.2">
      <c r="A6256"/>
      <c r="B6256"/>
      <c r="C6256"/>
      <c r="D6256"/>
      <c r="E6256"/>
      <c r="F6256"/>
      <c r="G6256"/>
      <c r="H6256"/>
      <c r="I6256"/>
      <c r="J6256"/>
      <c r="K6256" s="1"/>
      <c r="L6256" s="2"/>
    </row>
    <row r="6257" spans="1:12" x14ac:dyDescent="0.2">
      <c r="A6257"/>
      <c r="B6257"/>
      <c r="C6257"/>
      <c r="D6257"/>
      <c r="E6257"/>
      <c r="F6257"/>
      <c r="G6257"/>
      <c r="H6257"/>
      <c r="I6257"/>
      <c r="J6257"/>
      <c r="K6257" s="1"/>
      <c r="L6257" s="2"/>
    </row>
    <row r="6258" spans="1:12" x14ac:dyDescent="0.2">
      <c r="A6258"/>
      <c r="B6258"/>
      <c r="C6258"/>
      <c r="D6258"/>
      <c r="E6258"/>
      <c r="F6258"/>
      <c r="G6258"/>
      <c r="H6258"/>
      <c r="I6258"/>
      <c r="J6258"/>
      <c r="K6258" s="1"/>
      <c r="L6258" s="2"/>
    </row>
    <row r="6259" spans="1:12" x14ac:dyDescent="0.2">
      <c r="A6259"/>
      <c r="B6259"/>
      <c r="C6259"/>
      <c r="D6259"/>
      <c r="E6259"/>
      <c r="F6259"/>
      <c r="G6259"/>
      <c r="H6259"/>
      <c r="I6259"/>
      <c r="J6259"/>
      <c r="K6259" s="1"/>
      <c r="L6259" s="2"/>
    </row>
    <row r="6260" spans="1:12" x14ac:dyDescent="0.2">
      <c r="A6260"/>
      <c r="B6260"/>
      <c r="C6260"/>
      <c r="D6260"/>
      <c r="E6260"/>
      <c r="F6260"/>
      <c r="G6260"/>
      <c r="H6260"/>
      <c r="I6260"/>
      <c r="J6260"/>
      <c r="K6260" s="1"/>
      <c r="L6260" s="2"/>
    </row>
    <row r="6261" spans="1:12" x14ac:dyDescent="0.2">
      <c r="A6261"/>
      <c r="B6261"/>
      <c r="C6261"/>
      <c r="D6261"/>
      <c r="E6261"/>
      <c r="F6261"/>
      <c r="G6261"/>
      <c r="H6261"/>
      <c r="I6261"/>
      <c r="J6261"/>
      <c r="K6261" s="1"/>
      <c r="L6261" s="2"/>
    </row>
    <row r="6262" spans="1:12" x14ac:dyDescent="0.2">
      <c r="A6262"/>
      <c r="B6262"/>
      <c r="C6262"/>
      <c r="D6262"/>
      <c r="E6262"/>
      <c r="F6262"/>
      <c r="G6262"/>
      <c r="H6262"/>
      <c r="I6262"/>
      <c r="J6262"/>
      <c r="K6262" s="1"/>
      <c r="L6262" s="2"/>
    </row>
    <row r="6263" spans="1:12" x14ac:dyDescent="0.2">
      <c r="A6263"/>
      <c r="B6263"/>
      <c r="C6263"/>
      <c r="D6263"/>
      <c r="E6263"/>
      <c r="F6263"/>
      <c r="G6263"/>
      <c r="H6263"/>
      <c r="I6263"/>
      <c r="J6263"/>
      <c r="K6263" s="1"/>
      <c r="L6263" s="2"/>
    </row>
    <row r="6264" spans="1:12" x14ac:dyDescent="0.2">
      <c r="A6264"/>
      <c r="B6264"/>
      <c r="C6264"/>
      <c r="D6264"/>
      <c r="E6264"/>
      <c r="F6264"/>
      <c r="G6264"/>
      <c r="H6264"/>
      <c r="I6264"/>
      <c r="J6264"/>
      <c r="K6264" s="1"/>
      <c r="L6264" s="2"/>
    </row>
    <row r="6265" spans="1:12" x14ac:dyDescent="0.2">
      <c r="A6265"/>
      <c r="B6265"/>
      <c r="C6265"/>
      <c r="D6265"/>
      <c r="E6265"/>
      <c r="F6265"/>
      <c r="G6265"/>
      <c r="H6265"/>
      <c r="I6265"/>
      <c r="J6265"/>
      <c r="K6265" s="1"/>
      <c r="L6265" s="2"/>
    </row>
    <row r="6266" spans="1:12" x14ac:dyDescent="0.2">
      <c r="A6266"/>
      <c r="B6266"/>
      <c r="C6266"/>
      <c r="D6266"/>
      <c r="E6266"/>
      <c r="F6266"/>
      <c r="G6266"/>
      <c r="H6266"/>
      <c r="I6266"/>
      <c r="J6266"/>
      <c r="K6266" s="1"/>
      <c r="L6266" s="2"/>
    </row>
    <row r="6267" spans="1:12" x14ac:dyDescent="0.2">
      <c r="A6267"/>
      <c r="B6267"/>
      <c r="C6267"/>
      <c r="D6267"/>
      <c r="E6267"/>
      <c r="F6267"/>
      <c r="G6267"/>
      <c r="H6267"/>
      <c r="I6267"/>
      <c r="J6267"/>
      <c r="K6267" s="1"/>
      <c r="L6267" s="2"/>
    </row>
    <row r="6268" spans="1:12" x14ac:dyDescent="0.2">
      <c r="A6268"/>
      <c r="B6268"/>
      <c r="C6268"/>
      <c r="D6268"/>
      <c r="E6268"/>
      <c r="F6268"/>
      <c r="G6268"/>
      <c r="H6268"/>
      <c r="I6268"/>
      <c r="J6268"/>
      <c r="K6268" s="1"/>
      <c r="L6268" s="2"/>
    </row>
    <row r="6269" spans="1:12" x14ac:dyDescent="0.2">
      <c r="A6269"/>
      <c r="B6269"/>
      <c r="C6269"/>
      <c r="D6269"/>
      <c r="E6269"/>
      <c r="F6269"/>
      <c r="G6269"/>
      <c r="H6269"/>
      <c r="I6269"/>
      <c r="J6269"/>
      <c r="K6269" s="1"/>
      <c r="L6269" s="2"/>
    </row>
    <row r="6270" spans="1:12" x14ac:dyDescent="0.2">
      <c r="A6270"/>
      <c r="B6270"/>
      <c r="C6270"/>
      <c r="D6270"/>
      <c r="E6270"/>
      <c r="F6270"/>
      <c r="G6270"/>
      <c r="H6270"/>
      <c r="I6270"/>
      <c r="J6270"/>
      <c r="K6270" s="1"/>
      <c r="L6270" s="2"/>
    </row>
    <row r="6271" spans="1:12" x14ac:dyDescent="0.2">
      <c r="A6271"/>
      <c r="B6271"/>
      <c r="C6271"/>
      <c r="D6271"/>
      <c r="E6271"/>
      <c r="F6271"/>
      <c r="G6271"/>
      <c r="H6271"/>
      <c r="I6271"/>
      <c r="J6271"/>
      <c r="K6271" s="1"/>
      <c r="L6271" s="2"/>
    </row>
    <row r="6272" spans="1:12" x14ac:dyDescent="0.2">
      <c r="A6272"/>
      <c r="B6272"/>
      <c r="C6272"/>
      <c r="D6272"/>
      <c r="E6272"/>
      <c r="F6272"/>
      <c r="G6272"/>
      <c r="H6272"/>
      <c r="I6272"/>
      <c r="J6272"/>
      <c r="K6272" s="1"/>
      <c r="L6272" s="2"/>
    </row>
    <row r="6273" spans="1:12" x14ac:dyDescent="0.2">
      <c r="A6273"/>
      <c r="B6273"/>
      <c r="C6273"/>
      <c r="D6273"/>
      <c r="E6273"/>
      <c r="F6273"/>
      <c r="G6273"/>
      <c r="H6273"/>
      <c r="I6273"/>
      <c r="J6273"/>
      <c r="K6273" s="1"/>
      <c r="L6273" s="2"/>
    </row>
    <row r="6274" spans="1:12" x14ac:dyDescent="0.2">
      <c r="A6274"/>
      <c r="B6274"/>
      <c r="C6274"/>
      <c r="D6274"/>
      <c r="E6274"/>
      <c r="F6274"/>
      <c r="G6274"/>
      <c r="H6274"/>
      <c r="I6274"/>
      <c r="J6274"/>
      <c r="K6274" s="1"/>
      <c r="L6274" s="2"/>
    </row>
    <row r="6275" spans="1:12" x14ac:dyDescent="0.2">
      <c r="A6275"/>
      <c r="B6275"/>
      <c r="C6275"/>
      <c r="D6275"/>
      <c r="E6275"/>
      <c r="F6275"/>
      <c r="G6275"/>
      <c r="H6275"/>
      <c r="I6275"/>
      <c r="J6275"/>
      <c r="K6275" s="1"/>
      <c r="L6275" s="2"/>
    </row>
    <row r="6276" spans="1:12" x14ac:dyDescent="0.2">
      <c r="A6276"/>
      <c r="B6276"/>
      <c r="C6276"/>
      <c r="D6276"/>
      <c r="E6276"/>
      <c r="F6276"/>
      <c r="G6276"/>
      <c r="H6276"/>
      <c r="I6276"/>
      <c r="J6276"/>
      <c r="K6276" s="1"/>
      <c r="L6276" s="2"/>
    </row>
    <row r="6277" spans="1:12" x14ac:dyDescent="0.2">
      <c r="A6277"/>
      <c r="B6277"/>
      <c r="C6277"/>
      <c r="D6277"/>
      <c r="E6277"/>
      <c r="F6277"/>
      <c r="G6277"/>
      <c r="H6277"/>
      <c r="I6277"/>
      <c r="J6277"/>
      <c r="K6277" s="1"/>
      <c r="L6277" s="2"/>
    </row>
    <row r="6278" spans="1:12" x14ac:dyDescent="0.2">
      <c r="A6278"/>
      <c r="B6278"/>
      <c r="C6278"/>
      <c r="D6278"/>
      <c r="E6278"/>
      <c r="F6278"/>
      <c r="G6278"/>
      <c r="H6278"/>
      <c r="I6278"/>
      <c r="J6278"/>
      <c r="K6278" s="1"/>
      <c r="L6278" s="2"/>
    </row>
    <row r="6279" spans="1:12" x14ac:dyDescent="0.2">
      <c r="A6279"/>
      <c r="B6279"/>
      <c r="C6279"/>
      <c r="D6279"/>
      <c r="E6279"/>
      <c r="F6279"/>
      <c r="G6279"/>
      <c r="H6279"/>
      <c r="I6279"/>
      <c r="J6279"/>
      <c r="K6279" s="1"/>
      <c r="L6279" s="2"/>
    </row>
    <row r="6280" spans="1:12" x14ac:dyDescent="0.2">
      <c r="A6280"/>
      <c r="B6280"/>
      <c r="C6280"/>
      <c r="D6280"/>
      <c r="E6280"/>
      <c r="F6280"/>
      <c r="G6280"/>
      <c r="H6280"/>
      <c r="I6280"/>
      <c r="J6280"/>
      <c r="K6280" s="1"/>
      <c r="L6280" s="2"/>
    </row>
    <row r="6281" spans="1:12" x14ac:dyDescent="0.2">
      <c r="A6281"/>
      <c r="B6281"/>
      <c r="C6281"/>
      <c r="D6281"/>
      <c r="E6281"/>
      <c r="F6281"/>
      <c r="G6281"/>
      <c r="H6281"/>
      <c r="I6281"/>
      <c r="J6281"/>
      <c r="K6281" s="1"/>
      <c r="L6281" s="2"/>
    </row>
    <row r="6282" spans="1:12" x14ac:dyDescent="0.2">
      <c r="A6282"/>
      <c r="B6282"/>
      <c r="C6282"/>
      <c r="D6282"/>
      <c r="E6282"/>
      <c r="F6282"/>
      <c r="G6282"/>
      <c r="H6282"/>
      <c r="I6282"/>
      <c r="J6282"/>
      <c r="K6282" s="1"/>
      <c r="L6282" s="2"/>
    </row>
    <row r="6283" spans="1:12" x14ac:dyDescent="0.2">
      <c r="A6283"/>
      <c r="B6283"/>
      <c r="C6283"/>
      <c r="D6283"/>
      <c r="E6283"/>
      <c r="F6283"/>
      <c r="G6283"/>
      <c r="H6283"/>
      <c r="I6283"/>
      <c r="J6283"/>
      <c r="K6283" s="1"/>
      <c r="L6283" s="2"/>
    </row>
    <row r="6284" spans="1:12" x14ac:dyDescent="0.2">
      <c r="A6284"/>
      <c r="B6284"/>
      <c r="C6284"/>
      <c r="D6284"/>
      <c r="E6284"/>
      <c r="F6284"/>
      <c r="G6284"/>
      <c r="H6284"/>
      <c r="I6284"/>
      <c r="J6284"/>
      <c r="K6284" s="1"/>
      <c r="L6284" s="2"/>
    </row>
    <row r="6285" spans="1:12" x14ac:dyDescent="0.2">
      <c r="A6285"/>
      <c r="B6285"/>
      <c r="C6285"/>
      <c r="D6285"/>
      <c r="E6285"/>
      <c r="F6285"/>
      <c r="G6285"/>
      <c r="H6285"/>
      <c r="I6285"/>
      <c r="J6285"/>
      <c r="K6285" s="1"/>
      <c r="L6285" s="2"/>
    </row>
    <row r="6286" spans="1:12" x14ac:dyDescent="0.2">
      <c r="A6286"/>
      <c r="B6286"/>
      <c r="C6286"/>
      <c r="D6286"/>
      <c r="E6286"/>
      <c r="F6286"/>
      <c r="G6286"/>
      <c r="H6286"/>
      <c r="I6286"/>
      <c r="J6286"/>
      <c r="K6286" s="1"/>
      <c r="L6286" s="2"/>
    </row>
    <row r="6287" spans="1:12" x14ac:dyDescent="0.2">
      <c r="A6287"/>
      <c r="B6287"/>
      <c r="C6287"/>
      <c r="D6287"/>
      <c r="E6287"/>
      <c r="F6287"/>
      <c r="G6287"/>
      <c r="H6287"/>
      <c r="I6287"/>
      <c r="J6287"/>
      <c r="K6287" s="1"/>
      <c r="L6287" s="2"/>
    </row>
    <row r="6288" spans="1:12" x14ac:dyDescent="0.2">
      <c r="A6288"/>
      <c r="B6288"/>
      <c r="C6288"/>
      <c r="D6288"/>
      <c r="E6288"/>
      <c r="F6288"/>
      <c r="G6288"/>
      <c r="H6288"/>
      <c r="I6288"/>
      <c r="J6288"/>
      <c r="K6288" s="1"/>
      <c r="L6288" s="2"/>
    </row>
    <row r="6289" spans="1:12" x14ac:dyDescent="0.2">
      <c r="A6289"/>
      <c r="B6289"/>
      <c r="C6289"/>
      <c r="D6289"/>
      <c r="E6289"/>
      <c r="F6289"/>
      <c r="G6289"/>
      <c r="H6289"/>
      <c r="I6289"/>
      <c r="J6289"/>
      <c r="K6289" s="1"/>
      <c r="L6289" s="2"/>
    </row>
    <row r="6290" spans="1:12" x14ac:dyDescent="0.2">
      <c r="A6290"/>
      <c r="B6290"/>
      <c r="C6290"/>
      <c r="D6290"/>
      <c r="E6290"/>
      <c r="F6290"/>
      <c r="G6290"/>
      <c r="H6290"/>
      <c r="I6290"/>
      <c r="J6290"/>
      <c r="K6290" s="1"/>
      <c r="L6290" s="2"/>
    </row>
    <row r="6291" spans="1:12" x14ac:dyDescent="0.2">
      <c r="A6291"/>
      <c r="B6291"/>
      <c r="C6291"/>
      <c r="D6291"/>
      <c r="E6291"/>
      <c r="F6291"/>
      <c r="G6291"/>
      <c r="H6291"/>
      <c r="I6291"/>
      <c r="J6291"/>
      <c r="K6291" s="1"/>
      <c r="L6291" s="2"/>
    </row>
    <row r="6292" spans="1:12" x14ac:dyDescent="0.2">
      <c r="A6292"/>
      <c r="B6292"/>
      <c r="C6292"/>
      <c r="D6292"/>
      <c r="E6292"/>
      <c r="F6292"/>
      <c r="G6292"/>
      <c r="H6292"/>
      <c r="I6292"/>
      <c r="J6292"/>
      <c r="K6292" s="1"/>
      <c r="L6292" s="2"/>
    </row>
    <row r="6293" spans="1:12" x14ac:dyDescent="0.2">
      <c r="A6293"/>
      <c r="B6293"/>
      <c r="C6293"/>
      <c r="D6293"/>
      <c r="E6293"/>
      <c r="F6293"/>
      <c r="G6293"/>
      <c r="H6293"/>
      <c r="I6293"/>
      <c r="J6293"/>
      <c r="K6293" s="1"/>
      <c r="L6293" s="2"/>
    </row>
    <row r="6294" spans="1:12" x14ac:dyDescent="0.2">
      <c r="A6294"/>
      <c r="B6294"/>
      <c r="C6294"/>
      <c r="D6294"/>
      <c r="E6294"/>
      <c r="F6294"/>
      <c r="G6294"/>
      <c r="H6294"/>
      <c r="I6294"/>
      <c r="J6294"/>
      <c r="K6294" s="1"/>
      <c r="L6294" s="2"/>
    </row>
    <row r="6295" spans="1:12" x14ac:dyDescent="0.2">
      <c r="A6295"/>
      <c r="B6295"/>
      <c r="C6295"/>
      <c r="D6295"/>
      <c r="E6295"/>
      <c r="F6295"/>
      <c r="G6295"/>
      <c r="H6295"/>
      <c r="I6295"/>
      <c r="J6295"/>
      <c r="K6295" s="1"/>
      <c r="L6295" s="2"/>
    </row>
    <row r="6296" spans="1:12" x14ac:dyDescent="0.2">
      <c r="A6296"/>
      <c r="B6296"/>
      <c r="C6296"/>
      <c r="D6296"/>
      <c r="E6296"/>
      <c r="F6296"/>
      <c r="G6296"/>
      <c r="H6296"/>
      <c r="I6296"/>
      <c r="J6296"/>
      <c r="K6296" s="1"/>
      <c r="L6296" s="2"/>
    </row>
    <row r="6297" spans="1:12" x14ac:dyDescent="0.2">
      <c r="A6297"/>
      <c r="B6297"/>
      <c r="C6297"/>
      <c r="D6297"/>
      <c r="E6297"/>
      <c r="F6297"/>
      <c r="G6297"/>
      <c r="H6297"/>
      <c r="I6297"/>
      <c r="J6297"/>
      <c r="K6297" s="1"/>
      <c r="L6297" s="2"/>
    </row>
    <row r="6298" spans="1:12" x14ac:dyDescent="0.2">
      <c r="A6298"/>
      <c r="B6298"/>
      <c r="C6298"/>
      <c r="D6298"/>
      <c r="E6298"/>
      <c r="F6298"/>
      <c r="G6298"/>
      <c r="H6298"/>
      <c r="I6298"/>
      <c r="J6298"/>
      <c r="K6298" s="1"/>
      <c r="L6298" s="2"/>
    </row>
    <row r="6299" spans="1:12" x14ac:dyDescent="0.2">
      <c r="A6299"/>
      <c r="B6299"/>
      <c r="C6299"/>
      <c r="D6299"/>
      <c r="E6299"/>
      <c r="F6299"/>
      <c r="G6299"/>
      <c r="H6299"/>
      <c r="I6299"/>
      <c r="J6299"/>
      <c r="K6299" s="1"/>
      <c r="L6299" s="2"/>
    </row>
    <row r="6300" spans="1:12" x14ac:dyDescent="0.2">
      <c r="A6300"/>
      <c r="B6300"/>
      <c r="C6300"/>
      <c r="D6300"/>
      <c r="E6300"/>
      <c r="F6300"/>
      <c r="G6300"/>
      <c r="H6300"/>
      <c r="I6300"/>
      <c r="J6300"/>
      <c r="K6300" s="1"/>
      <c r="L6300" s="2"/>
    </row>
    <row r="6301" spans="1:12" x14ac:dyDescent="0.2">
      <c r="A6301"/>
      <c r="B6301"/>
      <c r="C6301"/>
      <c r="D6301"/>
      <c r="E6301"/>
      <c r="F6301"/>
      <c r="G6301"/>
      <c r="H6301"/>
      <c r="I6301"/>
      <c r="J6301"/>
      <c r="K6301" s="1"/>
      <c r="L6301" s="2"/>
    </row>
    <row r="6302" spans="1:12" x14ac:dyDescent="0.2">
      <c r="A6302"/>
      <c r="B6302"/>
      <c r="C6302"/>
      <c r="D6302"/>
      <c r="E6302"/>
      <c r="F6302"/>
      <c r="G6302"/>
      <c r="H6302"/>
      <c r="I6302"/>
      <c r="J6302"/>
      <c r="K6302" s="1"/>
      <c r="L6302" s="2"/>
    </row>
    <row r="6303" spans="1:12" x14ac:dyDescent="0.2">
      <c r="A6303"/>
      <c r="B6303"/>
      <c r="C6303"/>
      <c r="D6303"/>
      <c r="E6303"/>
      <c r="F6303"/>
      <c r="G6303"/>
      <c r="H6303"/>
      <c r="I6303"/>
      <c r="J6303"/>
      <c r="K6303" s="1"/>
      <c r="L6303" s="2"/>
    </row>
    <row r="6304" spans="1:12" x14ac:dyDescent="0.2">
      <c r="A6304"/>
      <c r="B6304"/>
      <c r="C6304"/>
      <c r="D6304"/>
      <c r="E6304"/>
      <c r="F6304"/>
      <c r="G6304"/>
      <c r="H6304"/>
      <c r="I6304"/>
      <c r="J6304"/>
      <c r="K6304" s="1"/>
      <c r="L6304" s="2"/>
    </row>
    <row r="6305" spans="1:12" x14ac:dyDescent="0.2">
      <c r="A6305"/>
      <c r="B6305"/>
      <c r="C6305"/>
      <c r="D6305"/>
      <c r="E6305"/>
      <c r="F6305"/>
      <c r="G6305"/>
      <c r="H6305"/>
      <c r="I6305"/>
      <c r="J6305"/>
      <c r="K6305" s="1"/>
      <c r="L6305" s="2"/>
    </row>
    <row r="6306" spans="1:12" x14ac:dyDescent="0.2">
      <c r="A6306"/>
      <c r="B6306"/>
      <c r="C6306"/>
      <c r="D6306"/>
      <c r="E6306"/>
      <c r="F6306"/>
      <c r="G6306"/>
      <c r="H6306"/>
      <c r="I6306"/>
      <c r="J6306"/>
      <c r="K6306" s="1"/>
      <c r="L6306" s="2"/>
    </row>
    <row r="6307" spans="1:12" x14ac:dyDescent="0.2">
      <c r="A6307"/>
      <c r="B6307"/>
      <c r="C6307"/>
      <c r="D6307"/>
      <c r="E6307"/>
      <c r="F6307"/>
      <c r="G6307"/>
      <c r="H6307"/>
      <c r="I6307"/>
      <c r="J6307"/>
      <c r="K6307" s="1"/>
      <c r="L6307" s="2"/>
    </row>
    <row r="6308" spans="1:12" x14ac:dyDescent="0.2">
      <c r="A6308"/>
      <c r="B6308"/>
      <c r="C6308"/>
      <c r="D6308"/>
      <c r="E6308"/>
      <c r="F6308"/>
      <c r="G6308"/>
      <c r="H6308"/>
      <c r="I6308"/>
      <c r="J6308"/>
      <c r="K6308" s="1"/>
      <c r="L6308" s="2"/>
    </row>
    <row r="6309" spans="1:12" x14ac:dyDescent="0.2">
      <c r="A6309"/>
      <c r="B6309"/>
      <c r="C6309"/>
      <c r="D6309"/>
      <c r="E6309"/>
      <c r="F6309"/>
      <c r="G6309"/>
      <c r="H6309"/>
      <c r="I6309"/>
      <c r="J6309"/>
      <c r="K6309" s="1"/>
      <c r="L6309" s="2"/>
    </row>
    <row r="6310" spans="1:12" x14ac:dyDescent="0.2">
      <c r="A6310"/>
      <c r="B6310"/>
      <c r="C6310"/>
      <c r="D6310"/>
      <c r="E6310"/>
      <c r="F6310"/>
      <c r="G6310"/>
      <c r="H6310"/>
      <c r="I6310"/>
      <c r="J6310"/>
      <c r="K6310" s="1"/>
      <c r="L6310" s="2"/>
    </row>
    <row r="6311" spans="1:12" x14ac:dyDescent="0.2">
      <c r="A6311"/>
      <c r="B6311"/>
      <c r="C6311"/>
      <c r="D6311"/>
      <c r="E6311"/>
      <c r="F6311"/>
      <c r="G6311"/>
      <c r="H6311"/>
      <c r="I6311"/>
      <c r="J6311"/>
      <c r="K6311" s="1"/>
      <c r="L6311" s="2"/>
    </row>
    <row r="6312" spans="1:12" x14ac:dyDescent="0.2">
      <c r="A6312"/>
      <c r="B6312"/>
      <c r="C6312"/>
      <c r="D6312"/>
      <c r="E6312"/>
      <c r="F6312"/>
      <c r="G6312"/>
      <c r="H6312"/>
      <c r="I6312"/>
      <c r="J6312"/>
      <c r="K6312" s="1"/>
      <c r="L6312" s="2"/>
    </row>
    <row r="6313" spans="1:12" x14ac:dyDescent="0.2">
      <c r="A6313"/>
      <c r="B6313"/>
      <c r="C6313"/>
      <c r="D6313"/>
      <c r="E6313"/>
      <c r="F6313"/>
      <c r="G6313"/>
      <c r="H6313"/>
      <c r="I6313"/>
      <c r="J6313"/>
      <c r="K6313" s="1"/>
      <c r="L6313" s="2"/>
    </row>
    <row r="6314" spans="1:12" x14ac:dyDescent="0.2">
      <c r="A6314"/>
      <c r="B6314"/>
      <c r="C6314"/>
      <c r="D6314"/>
      <c r="E6314"/>
      <c r="F6314"/>
      <c r="G6314"/>
      <c r="H6314"/>
      <c r="I6314"/>
      <c r="J6314"/>
      <c r="K6314" s="1"/>
      <c r="L6314" s="2"/>
    </row>
    <row r="6315" spans="1:12" x14ac:dyDescent="0.2">
      <c r="A6315"/>
      <c r="B6315"/>
      <c r="C6315"/>
      <c r="D6315"/>
      <c r="E6315"/>
      <c r="F6315"/>
      <c r="G6315"/>
      <c r="H6315"/>
      <c r="I6315"/>
      <c r="J6315"/>
      <c r="K6315" s="1"/>
      <c r="L6315" s="2"/>
    </row>
    <row r="6316" spans="1:12" x14ac:dyDescent="0.2">
      <c r="A6316"/>
      <c r="B6316"/>
      <c r="C6316"/>
      <c r="D6316"/>
      <c r="E6316"/>
      <c r="F6316"/>
      <c r="G6316"/>
      <c r="H6316"/>
      <c r="I6316"/>
      <c r="J6316"/>
      <c r="K6316" s="1"/>
      <c r="L6316" s="2"/>
    </row>
    <row r="6317" spans="1:12" x14ac:dyDescent="0.2">
      <c r="A6317"/>
      <c r="B6317"/>
      <c r="C6317"/>
      <c r="D6317"/>
      <c r="E6317"/>
      <c r="F6317"/>
      <c r="G6317"/>
      <c r="H6317"/>
      <c r="I6317"/>
      <c r="J6317"/>
      <c r="K6317" s="1"/>
      <c r="L6317" s="2"/>
    </row>
    <row r="6318" spans="1:12" x14ac:dyDescent="0.2">
      <c r="A6318"/>
      <c r="B6318"/>
      <c r="C6318"/>
      <c r="D6318"/>
      <c r="E6318"/>
      <c r="F6318"/>
      <c r="G6318"/>
      <c r="H6318"/>
      <c r="I6318"/>
      <c r="J6318"/>
      <c r="K6318" s="1"/>
      <c r="L6318" s="2"/>
    </row>
    <row r="6319" spans="1:12" x14ac:dyDescent="0.2">
      <c r="A6319"/>
      <c r="B6319"/>
      <c r="C6319"/>
      <c r="D6319"/>
      <c r="E6319"/>
      <c r="F6319"/>
      <c r="G6319"/>
      <c r="H6319"/>
      <c r="I6319"/>
      <c r="J6319"/>
      <c r="K6319" s="1"/>
      <c r="L6319" s="2"/>
    </row>
    <row r="6320" spans="1:12" x14ac:dyDescent="0.2">
      <c r="A6320"/>
      <c r="B6320"/>
      <c r="C6320"/>
      <c r="D6320"/>
      <c r="E6320"/>
      <c r="F6320"/>
      <c r="G6320"/>
      <c r="H6320"/>
      <c r="I6320"/>
      <c r="J6320"/>
      <c r="K6320" s="1"/>
      <c r="L6320" s="2"/>
    </row>
    <row r="6321" spans="1:12" x14ac:dyDescent="0.2">
      <c r="A6321"/>
      <c r="B6321"/>
      <c r="C6321"/>
      <c r="D6321"/>
      <c r="E6321"/>
      <c r="F6321"/>
      <c r="G6321"/>
      <c r="H6321"/>
      <c r="I6321"/>
      <c r="J6321"/>
      <c r="K6321" s="1"/>
      <c r="L6321" s="2"/>
    </row>
    <row r="6322" spans="1:12" x14ac:dyDescent="0.2">
      <c r="A6322"/>
      <c r="B6322"/>
      <c r="C6322"/>
      <c r="D6322"/>
      <c r="E6322"/>
      <c r="F6322"/>
      <c r="G6322"/>
      <c r="H6322"/>
      <c r="I6322"/>
      <c r="J6322"/>
      <c r="K6322" s="1"/>
      <c r="L6322" s="2"/>
    </row>
    <row r="6323" spans="1:12" x14ac:dyDescent="0.2">
      <c r="A6323"/>
      <c r="B6323"/>
      <c r="C6323"/>
      <c r="D6323"/>
      <c r="E6323"/>
      <c r="F6323"/>
      <c r="G6323"/>
      <c r="H6323"/>
      <c r="I6323"/>
      <c r="J6323"/>
      <c r="K6323" s="1"/>
      <c r="L6323" s="2"/>
    </row>
    <row r="6324" spans="1:12" x14ac:dyDescent="0.2">
      <c r="A6324"/>
      <c r="B6324"/>
      <c r="C6324"/>
      <c r="D6324"/>
      <c r="E6324"/>
      <c r="F6324"/>
      <c r="G6324"/>
      <c r="H6324"/>
      <c r="I6324"/>
      <c r="J6324"/>
      <c r="K6324" s="1"/>
      <c r="L6324" s="2"/>
    </row>
    <row r="6325" spans="1:12" x14ac:dyDescent="0.2">
      <c r="A6325"/>
      <c r="B6325"/>
      <c r="C6325"/>
      <c r="D6325"/>
      <c r="E6325"/>
      <c r="F6325"/>
      <c r="G6325"/>
      <c r="H6325"/>
      <c r="I6325"/>
      <c r="J6325"/>
      <c r="K6325" s="1"/>
      <c r="L6325" s="2"/>
    </row>
    <row r="6326" spans="1:12" x14ac:dyDescent="0.2">
      <c r="A6326"/>
      <c r="B6326"/>
      <c r="C6326"/>
      <c r="D6326"/>
      <c r="E6326"/>
      <c r="F6326"/>
      <c r="G6326"/>
      <c r="H6326"/>
      <c r="I6326"/>
      <c r="J6326"/>
      <c r="K6326" s="1"/>
      <c r="L6326" s="2"/>
    </row>
    <row r="6327" spans="1:12" x14ac:dyDescent="0.2">
      <c r="A6327"/>
      <c r="B6327"/>
      <c r="C6327"/>
      <c r="D6327"/>
      <c r="E6327"/>
      <c r="F6327"/>
      <c r="G6327"/>
      <c r="H6327"/>
      <c r="I6327"/>
      <c r="J6327"/>
      <c r="K6327" s="1"/>
      <c r="L6327" s="2"/>
    </row>
    <row r="6328" spans="1:12" x14ac:dyDescent="0.2">
      <c r="A6328"/>
      <c r="B6328"/>
      <c r="C6328"/>
      <c r="D6328"/>
      <c r="E6328"/>
      <c r="F6328"/>
      <c r="G6328"/>
      <c r="H6328"/>
      <c r="I6328"/>
      <c r="J6328"/>
      <c r="K6328" s="1"/>
      <c r="L6328" s="2"/>
    </row>
    <row r="6329" spans="1:12" x14ac:dyDescent="0.2">
      <c r="A6329"/>
      <c r="B6329"/>
      <c r="C6329"/>
      <c r="D6329"/>
      <c r="E6329"/>
      <c r="F6329"/>
      <c r="G6329"/>
      <c r="H6329"/>
      <c r="I6329"/>
      <c r="J6329"/>
      <c r="K6329" s="1"/>
      <c r="L6329" s="2"/>
    </row>
    <row r="6330" spans="1:12" x14ac:dyDescent="0.2">
      <c r="A6330"/>
      <c r="B6330"/>
      <c r="C6330"/>
      <c r="D6330"/>
      <c r="E6330"/>
      <c r="F6330"/>
      <c r="G6330"/>
      <c r="H6330"/>
      <c r="I6330"/>
      <c r="J6330"/>
      <c r="K6330" s="1"/>
      <c r="L6330" s="2"/>
    </row>
    <row r="6331" spans="1:12" x14ac:dyDescent="0.2">
      <c r="A6331"/>
      <c r="B6331"/>
      <c r="C6331"/>
      <c r="D6331"/>
      <c r="E6331"/>
      <c r="F6331"/>
      <c r="G6331"/>
      <c r="H6331"/>
      <c r="I6331"/>
      <c r="J6331"/>
      <c r="K6331" s="1"/>
      <c r="L6331" s="2"/>
    </row>
    <row r="6332" spans="1:12" x14ac:dyDescent="0.2">
      <c r="A6332"/>
      <c r="B6332"/>
      <c r="C6332"/>
      <c r="D6332"/>
      <c r="E6332"/>
      <c r="F6332"/>
      <c r="G6332"/>
      <c r="H6332"/>
      <c r="I6332"/>
      <c r="J6332"/>
      <c r="K6332" s="1"/>
      <c r="L6332" s="2"/>
    </row>
    <row r="6333" spans="1:12" x14ac:dyDescent="0.2">
      <c r="A6333"/>
      <c r="B6333"/>
      <c r="C6333"/>
      <c r="D6333"/>
      <c r="E6333"/>
      <c r="F6333"/>
      <c r="G6333"/>
      <c r="H6333"/>
      <c r="I6333"/>
      <c r="J6333"/>
      <c r="K6333" s="1"/>
      <c r="L6333" s="2"/>
    </row>
    <row r="6334" spans="1:12" x14ac:dyDescent="0.2">
      <c r="A6334"/>
      <c r="B6334"/>
      <c r="C6334"/>
      <c r="D6334"/>
      <c r="E6334"/>
      <c r="F6334"/>
      <c r="G6334"/>
      <c r="H6334"/>
      <c r="I6334"/>
      <c r="J6334"/>
      <c r="K6334" s="1"/>
      <c r="L6334" s="2"/>
    </row>
    <row r="6335" spans="1:12" x14ac:dyDescent="0.2">
      <c r="A6335"/>
      <c r="B6335"/>
      <c r="C6335"/>
      <c r="D6335"/>
      <c r="E6335"/>
      <c r="F6335"/>
      <c r="G6335"/>
      <c r="H6335"/>
      <c r="I6335"/>
      <c r="J6335"/>
      <c r="K6335" s="1"/>
      <c r="L6335" s="2"/>
    </row>
    <row r="6336" spans="1:12" x14ac:dyDescent="0.2">
      <c r="A6336"/>
      <c r="B6336"/>
      <c r="C6336"/>
      <c r="D6336"/>
      <c r="E6336"/>
      <c r="F6336"/>
      <c r="G6336"/>
      <c r="H6336"/>
      <c r="I6336"/>
      <c r="J6336"/>
      <c r="K6336" s="1"/>
      <c r="L6336" s="2"/>
    </row>
    <row r="6337" spans="1:12" x14ac:dyDescent="0.2">
      <c r="A6337"/>
      <c r="B6337"/>
      <c r="C6337"/>
      <c r="D6337"/>
      <c r="E6337"/>
      <c r="F6337"/>
      <c r="G6337"/>
      <c r="H6337"/>
      <c r="I6337"/>
      <c r="J6337"/>
      <c r="K6337" s="1"/>
      <c r="L6337" s="2"/>
    </row>
    <row r="6338" spans="1:12" x14ac:dyDescent="0.2">
      <c r="A6338"/>
      <c r="B6338"/>
      <c r="C6338"/>
      <c r="D6338"/>
      <c r="E6338"/>
      <c r="F6338"/>
      <c r="G6338"/>
      <c r="H6338"/>
      <c r="I6338"/>
      <c r="J6338"/>
      <c r="K6338" s="1"/>
      <c r="L6338" s="2"/>
    </row>
    <row r="6339" spans="1:12" x14ac:dyDescent="0.2">
      <c r="A6339"/>
      <c r="B6339"/>
      <c r="C6339"/>
      <c r="D6339"/>
      <c r="E6339"/>
      <c r="F6339"/>
      <c r="G6339"/>
      <c r="H6339"/>
      <c r="I6339"/>
      <c r="J6339"/>
      <c r="K6339" s="1"/>
      <c r="L6339" s="2"/>
    </row>
    <row r="6340" spans="1:12" x14ac:dyDescent="0.2">
      <c r="A6340"/>
      <c r="B6340"/>
      <c r="C6340"/>
      <c r="D6340"/>
      <c r="E6340"/>
      <c r="F6340"/>
      <c r="G6340"/>
      <c r="H6340"/>
      <c r="I6340"/>
      <c r="J6340"/>
      <c r="K6340" s="1"/>
      <c r="L6340" s="2"/>
    </row>
    <row r="6341" spans="1:12" x14ac:dyDescent="0.2">
      <c r="A6341"/>
      <c r="B6341"/>
      <c r="C6341"/>
      <c r="D6341"/>
      <c r="E6341"/>
      <c r="F6341"/>
      <c r="G6341"/>
      <c r="H6341"/>
      <c r="I6341"/>
      <c r="J6341"/>
      <c r="K6341" s="1"/>
      <c r="L6341" s="2"/>
    </row>
    <row r="6342" spans="1:12" x14ac:dyDescent="0.2">
      <c r="A6342"/>
      <c r="B6342"/>
      <c r="C6342"/>
      <c r="D6342"/>
      <c r="E6342"/>
      <c r="F6342"/>
      <c r="G6342"/>
      <c r="H6342"/>
      <c r="I6342"/>
      <c r="J6342"/>
      <c r="K6342" s="1"/>
      <c r="L6342" s="2"/>
    </row>
    <row r="6343" spans="1:12" x14ac:dyDescent="0.2">
      <c r="A6343"/>
      <c r="B6343"/>
      <c r="C6343"/>
      <c r="D6343"/>
      <c r="E6343"/>
      <c r="F6343"/>
      <c r="G6343"/>
      <c r="H6343"/>
      <c r="I6343"/>
      <c r="J6343"/>
      <c r="K6343" s="1"/>
      <c r="L6343" s="2"/>
    </row>
    <row r="6344" spans="1:12" x14ac:dyDescent="0.2">
      <c r="A6344"/>
      <c r="B6344"/>
      <c r="C6344"/>
      <c r="D6344"/>
      <c r="E6344"/>
      <c r="F6344"/>
      <c r="G6344"/>
      <c r="H6344"/>
      <c r="I6344"/>
      <c r="J6344"/>
      <c r="K6344" s="1"/>
      <c r="L6344" s="2"/>
    </row>
    <row r="6345" spans="1:12" x14ac:dyDescent="0.2">
      <c r="A6345"/>
      <c r="B6345"/>
      <c r="C6345"/>
      <c r="D6345"/>
      <c r="E6345"/>
      <c r="F6345"/>
      <c r="G6345"/>
      <c r="H6345"/>
      <c r="I6345"/>
      <c r="J6345"/>
      <c r="K6345" s="1"/>
      <c r="L6345" s="2"/>
    </row>
    <row r="6346" spans="1:12" x14ac:dyDescent="0.2">
      <c r="A6346"/>
      <c r="B6346"/>
      <c r="C6346"/>
      <c r="D6346"/>
      <c r="E6346"/>
      <c r="F6346"/>
      <c r="G6346"/>
      <c r="H6346"/>
      <c r="I6346"/>
      <c r="J6346"/>
      <c r="K6346" s="1"/>
      <c r="L6346" s="2"/>
    </row>
    <row r="6347" spans="1:12" x14ac:dyDescent="0.2">
      <c r="A6347"/>
      <c r="B6347"/>
      <c r="C6347"/>
      <c r="D6347"/>
      <c r="E6347"/>
      <c r="F6347"/>
      <c r="G6347"/>
      <c r="H6347"/>
      <c r="I6347"/>
      <c r="J6347"/>
      <c r="K6347" s="1"/>
      <c r="L6347" s="2"/>
    </row>
    <row r="6348" spans="1:12" x14ac:dyDescent="0.2">
      <c r="A6348"/>
      <c r="B6348"/>
      <c r="C6348"/>
      <c r="D6348"/>
      <c r="E6348"/>
      <c r="F6348"/>
      <c r="G6348"/>
      <c r="H6348"/>
      <c r="I6348"/>
      <c r="J6348"/>
      <c r="K6348" s="1"/>
      <c r="L6348" s="2"/>
    </row>
    <row r="6349" spans="1:12" x14ac:dyDescent="0.2">
      <c r="A6349"/>
      <c r="B6349"/>
      <c r="C6349"/>
      <c r="D6349"/>
      <c r="E6349"/>
      <c r="F6349"/>
      <c r="G6349"/>
      <c r="H6349"/>
      <c r="I6349"/>
      <c r="J6349"/>
      <c r="K6349" s="1"/>
      <c r="L6349" s="2"/>
    </row>
    <row r="6350" spans="1:12" x14ac:dyDescent="0.2">
      <c r="A6350"/>
      <c r="B6350"/>
      <c r="C6350"/>
      <c r="D6350"/>
      <c r="E6350"/>
      <c r="F6350"/>
      <c r="G6350"/>
      <c r="H6350"/>
      <c r="I6350"/>
      <c r="J6350"/>
      <c r="K6350" s="1"/>
      <c r="L6350" s="2"/>
    </row>
    <row r="6351" spans="1:12" x14ac:dyDescent="0.2">
      <c r="A6351"/>
      <c r="B6351"/>
      <c r="C6351"/>
      <c r="D6351"/>
      <c r="E6351"/>
      <c r="F6351"/>
      <c r="G6351"/>
      <c r="H6351"/>
      <c r="I6351"/>
      <c r="J6351"/>
      <c r="K6351" s="1"/>
      <c r="L6351" s="2"/>
    </row>
    <row r="6352" spans="1:12" x14ac:dyDescent="0.2">
      <c r="A6352"/>
      <c r="B6352"/>
      <c r="C6352"/>
      <c r="D6352"/>
      <c r="E6352"/>
      <c r="F6352"/>
      <c r="G6352"/>
      <c r="H6352"/>
      <c r="I6352"/>
      <c r="J6352"/>
      <c r="K6352" s="1"/>
      <c r="L6352" s="2"/>
    </row>
    <row r="6353" spans="1:12" x14ac:dyDescent="0.2">
      <c r="A6353"/>
      <c r="B6353"/>
      <c r="C6353"/>
      <c r="D6353"/>
      <c r="E6353"/>
      <c r="F6353"/>
      <c r="G6353"/>
      <c r="H6353"/>
      <c r="I6353"/>
      <c r="J6353"/>
      <c r="K6353" s="1"/>
      <c r="L6353" s="2"/>
    </row>
    <row r="6354" spans="1:12" x14ac:dyDescent="0.2">
      <c r="A6354"/>
      <c r="B6354"/>
      <c r="C6354"/>
      <c r="D6354"/>
      <c r="E6354"/>
      <c r="F6354"/>
      <c r="G6354"/>
      <c r="H6354"/>
      <c r="I6354"/>
      <c r="J6354"/>
      <c r="K6354" s="1"/>
      <c r="L6354" s="2"/>
    </row>
    <row r="6355" spans="1:12" x14ac:dyDescent="0.2">
      <c r="A6355"/>
      <c r="B6355"/>
      <c r="C6355"/>
      <c r="D6355"/>
      <c r="E6355"/>
      <c r="F6355"/>
      <c r="G6355"/>
      <c r="H6355"/>
      <c r="I6355"/>
      <c r="J6355"/>
      <c r="K6355" s="1"/>
      <c r="L6355" s="2"/>
    </row>
    <row r="6356" spans="1:12" x14ac:dyDescent="0.2">
      <c r="A6356"/>
      <c r="B6356"/>
      <c r="C6356"/>
      <c r="D6356"/>
      <c r="E6356"/>
      <c r="F6356"/>
      <c r="G6356"/>
      <c r="H6356"/>
      <c r="I6356"/>
      <c r="J6356"/>
      <c r="K6356" s="1"/>
      <c r="L6356" s="2"/>
    </row>
    <row r="6357" spans="1:12" x14ac:dyDescent="0.2">
      <c r="A6357"/>
      <c r="B6357"/>
      <c r="C6357"/>
      <c r="D6357"/>
      <c r="E6357"/>
      <c r="F6357"/>
      <c r="G6357"/>
      <c r="H6357"/>
      <c r="I6357"/>
      <c r="J6357"/>
      <c r="K6357" s="1"/>
      <c r="L6357" s="2"/>
    </row>
    <row r="6358" spans="1:12" x14ac:dyDescent="0.2">
      <c r="A6358"/>
      <c r="B6358"/>
      <c r="C6358"/>
      <c r="D6358"/>
      <c r="E6358"/>
      <c r="F6358"/>
      <c r="G6358"/>
      <c r="H6358"/>
      <c r="I6358"/>
      <c r="J6358"/>
      <c r="K6358" s="1"/>
      <c r="L6358" s="2"/>
    </row>
    <row r="6359" spans="1:12" x14ac:dyDescent="0.2">
      <c r="A6359"/>
      <c r="B6359"/>
      <c r="C6359"/>
      <c r="D6359"/>
      <c r="E6359"/>
      <c r="F6359"/>
      <c r="G6359"/>
      <c r="H6359"/>
      <c r="I6359"/>
      <c r="J6359"/>
      <c r="K6359" s="1"/>
      <c r="L6359" s="2"/>
    </row>
    <row r="6360" spans="1:12" x14ac:dyDescent="0.2">
      <c r="A6360"/>
      <c r="B6360"/>
      <c r="C6360"/>
      <c r="D6360"/>
      <c r="E6360"/>
      <c r="F6360"/>
      <c r="G6360"/>
      <c r="H6360"/>
      <c r="I6360"/>
      <c r="J6360"/>
      <c r="K6360" s="1"/>
      <c r="L6360" s="2"/>
    </row>
    <row r="6361" spans="1:12" x14ac:dyDescent="0.2">
      <c r="A6361"/>
      <c r="B6361"/>
      <c r="C6361"/>
      <c r="D6361"/>
      <c r="E6361"/>
      <c r="F6361"/>
      <c r="G6361"/>
      <c r="H6361"/>
      <c r="I6361"/>
      <c r="J6361"/>
      <c r="K6361" s="1"/>
      <c r="L6361" s="2"/>
    </row>
    <row r="6362" spans="1:12" x14ac:dyDescent="0.2">
      <c r="A6362"/>
      <c r="B6362"/>
      <c r="C6362"/>
      <c r="D6362"/>
      <c r="E6362"/>
      <c r="F6362"/>
      <c r="G6362"/>
      <c r="H6362"/>
      <c r="I6362"/>
      <c r="J6362"/>
      <c r="K6362" s="1"/>
      <c r="L6362" s="2"/>
    </row>
    <row r="6363" spans="1:12" x14ac:dyDescent="0.2">
      <c r="A6363"/>
      <c r="B6363"/>
      <c r="C6363"/>
      <c r="D6363"/>
      <c r="E6363"/>
      <c r="F6363"/>
      <c r="G6363"/>
      <c r="H6363"/>
      <c r="I6363"/>
      <c r="J6363"/>
      <c r="K6363" s="1"/>
      <c r="L6363" s="2"/>
    </row>
    <row r="6364" spans="1:12" x14ac:dyDescent="0.2">
      <c r="A6364"/>
      <c r="B6364"/>
      <c r="C6364"/>
      <c r="D6364"/>
      <c r="E6364"/>
      <c r="F6364"/>
      <c r="G6364"/>
      <c r="H6364"/>
      <c r="I6364"/>
      <c r="J6364"/>
      <c r="K6364" s="1"/>
      <c r="L6364" s="2"/>
    </row>
    <row r="6365" spans="1:12" x14ac:dyDescent="0.2">
      <c r="A6365"/>
      <c r="B6365"/>
      <c r="C6365"/>
      <c r="D6365"/>
      <c r="E6365"/>
      <c r="F6365"/>
      <c r="G6365"/>
      <c r="H6365"/>
      <c r="I6365"/>
      <c r="J6365"/>
      <c r="K6365" s="1"/>
      <c r="L6365" s="2"/>
    </row>
    <row r="6366" spans="1:12" x14ac:dyDescent="0.2">
      <c r="A6366"/>
      <c r="B6366"/>
      <c r="C6366"/>
      <c r="D6366"/>
      <c r="E6366"/>
      <c r="F6366"/>
      <c r="G6366"/>
      <c r="H6366"/>
      <c r="I6366"/>
      <c r="J6366"/>
      <c r="K6366" s="1"/>
      <c r="L6366" s="2"/>
    </row>
    <row r="6367" spans="1:12" x14ac:dyDescent="0.2">
      <c r="A6367"/>
      <c r="B6367"/>
      <c r="C6367"/>
      <c r="D6367"/>
      <c r="E6367"/>
      <c r="F6367"/>
      <c r="G6367"/>
      <c r="H6367"/>
      <c r="I6367"/>
      <c r="J6367"/>
      <c r="K6367" s="1"/>
      <c r="L6367" s="2"/>
    </row>
    <row r="6368" spans="1:12" x14ac:dyDescent="0.2">
      <c r="A6368"/>
      <c r="B6368"/>
      <c r="C6368"/>
      <c r="D6368"/>
      <c r="E6368"/>
      <c r="F6368"/>
      <c r="G6368"/>
      <c r="H6368"/>
      <c r="I6368"/>
      <c r="J6368"/>
      <c r="K6368" s="1"/>
      <c r="L6368" s="2"/>
    </row>
    <row r="6369" spans="1:12" x14ac:dyDescent="0.2">
      <c r="A6369"/>
      <c r="B6369"/>
      <c r="C6369"/>
      <c r="D6369"/>
      <c r="E6369"/>
      <c r="F6369"/>
      <c r="G6369"/>
      <c r="H6369"/>
      <c r="I6369"/>
      <c r="J6369"/>
      <c r="K6369" s="1"/>
      <c r="L6369" s="2"/>
    </row>
    <row r="6370" spans="1:12" x14ac:dyDescent="0.2">
      <c r="A6370"/>
      <c r="B6370"/>
      <c r="C6370"/>
      <c r="D6370"/>
      <c r="E6370"/>
      <c r="F6370"/>
      <c r="G6370"/>
      <c r="H6370"/>
      <c r="I6370"/>
      <c r="J6370"/>
      <c r="K6370" s="1"/>
      <c r="L6370" s="2"/>
    </row>
    <row r="6371" spans="1:12" x14ac:dyDescent="0.2">
      <c r="A6371"/>
      <c r="B6371"/>
      <c r="C6371"/>
      <c r="D6371"/>
      <c r="E6371"/>
      <c r="F6371"/>
      <c r="G6371"/>
      <c r="H6371"/>
      <c r="I6371"/>
      <c r="J6371"/>
      <c r="K6371" s="1"/>
      <c r="L6371" s="2"/>
    </row>
    <row r="6372" spans="1:12" x14ac:dyDescent="0.2">
      <c r="A6372"/>
      <c r="B6372"/>
      <c r="C6372"/>
      <c r="D6372"/>
      <c r="E6372"/>
      <c r="F6372"/>
      <c r="G6372"/>
      <c r="H6372"/>
      <c r="I6372"/>
      <c r="J6372"/>
      <c r="K6372" s="1"/>
      <c r="L6372" s="2"/>
    </row>
    <row r="6373" spans="1:12" x14ac:dyDescent="0.2">
      <c r="A6373"/>
      <c r="B6373"/>
      <c r="C6373"/>
      <c r="D6373"/>
      <c r="E6373"/>
      <c r="F6373"/>
      <c r="G6373"/>
      <c r="H6373"/>
      <c r="I6373"/>
      <c r="J6373"/>
      <c r="K6373" s="1"/>
      <c r="L6373" s="2"/>
    </row>
    <row r="6374" spans="1:12" x14ac:dyDescent="0.2">
      <c r="A6374"/>
      <c r="B6374"/>
      <c r="C6374"/>
      <c r="D6374"/>
      <c r="E6374"/>
      <c r="F6374"/>
      <c r="G6374"/>
      <c r="H6374"/>
      <c r="I6374"/>
      <c r="J6374"/>
      <c r="K6374" s="1"/>
      <c r="L6374" s="2"/>
    </row>
    <row r="6375" spans="1:12" x14ac:dyDescent="0.2">
      <c r="A6375"/>
      <c r="B6375"/>
      <c r="C6375"/>
      <c r="D6375"/>
      <c r="E6375"/>
      <c r="F6375"/>
      <c r="G6375"/>
      <c r="H6375"/>
      <c r="I6375"/>
      <c r="J6375"/>
      <c r="K6375" s="1"/>
      <c r="L6375" s="2"/>
    </row>
    <row r="6376" spans="1:12" x14ac:dyDescent="0.2">
      <c r="A6376"/>
      <c r="B6376"/>
      <c r="C6376"/>
      <c r="D6376"/>
      <c r="E6376"/>
      <c r="F6376"/>
      <c r="G6376"/>
      <c r="H6376"/>
      <c r="I6376"/>
      <c r="J6376"/>
      <c r="K6376" s="1"/>
      <c r="L6376" s="2"/>
    </row>
    <row r="6377" spans="1:12" x14ac:dyDescent="0.2">
      <c r="A6377"/>
      <c r="B6377"/>
      <c r="C6377"/>
      <c r="D6377"/>
      <c r="E6377"/>
      <c r="F6377"/>
      <c r="G6377"/>
      <c r="H6377"/>
      <c r="I6377"/>
      <c r="J6377"/>
      <c r="K6377" s="1"/>
      <c r="L6377" s="2"/>
    </row>
    <row r="6378" spans="1:12" x14ac:dyDescent="0.2">
      <c r="A6378"/>
      <c r="B6378"/>
      <c r="C6378"/>
      <c r="D6378"/>
      <c r="E6378"/>
      <c r="F6378"/>
      <c r="G6378"/>
      <c r="H6378"/>
      <c r="I6378"/>
      <c r="J6378"/>
      <c r="K6378" s="1"/>
      <c r="L6378" s="2"/>
    </row>
    <row r="6379" spans="1:12" x14ac:dyDescent="0.2">
      <c r="A6379"/>
      <c r="B6379"/>
      <c r="C6379"/>
      <c r="D6379"/>
      <c r="E6379"/>
      <c r="F6379"/>
      <c r="G6379"/>
      <c r="H6379"/>
      <c r="I6379"/>
      <c r="J6379"/>
      <c r="K6379" s="1"/>
      <c r="L6379" s="2"/>
    </row>
    <row r="6380" spans="1:12" x14ac:dyDescent="0.2">
      <c r="A6380"/>
      <c r="B6380"/>
      <c r="C6380"/>
      <c r="D6380"/>
      <c r="E6380"/>
      <c r="F6380"/>
      <c r="G6380"/>
      <c r="H6380"/>
      <c r="I6380"/>
      <c r="J6380"/>
      <c r="K6380" s="1"/>
      <c r="L6380" s="2"/>
    </row>
    <row r="6381" spans="1:12" x14ac:dyDescent="0.2">
      <c r="A6381"/>
      <c r="B6381"/>
      <c r="C6381"/>
      <c r="D6381"/>
      <c r="E6381"/>
      <c r="F6381"/>
      <c r="G6381"/>
      <c r="H6381"/>
      <c r="I6381"/>
      <c r="J6381"/>
      <c r="K6381" s="1"/>
      <c r="L6381" s="2"/>
    </row>
    <row r="6382" spans="1:12" x14ac:dyDescent="0.2">
      <c r="A6382"/>
      <c r="B6382"/>
      <c r="C6382"/>
      <c r="D6382"/>
      <c r="E6382"/>
      <c r="F6382"/>
      <c r="G6382"/>
      <c r="H6382"/>
      <c r="I6382"/>
      <c r="J6382"/>
      <c r="K6382" s="1"/>
      <c r="L6382" s="2"/>
    </row>
    <row r="6383" spans="1:12" x14ac:dyDescent="0.2">
      <c r="A6383"/>
      <c r="B6383"/>
      <c r="C6383"/>
      <c r="D6383"/>
      <c r="E6383"/>
      <c r="F6383"/>
      <c r="G6383"/>
      <c r="H6383"/>
      <c r="I6383"/>
      <c r="J6383"/>
      <c r="K6383" s="1"/>
      <c r="L6383" s="2"/>
    </row>
    <row r="6384" spans="1:12" x14ac:dyDescent="0.2">
      <c r="A6384"/>
      <c r="B6384"/>
      <c r="C6384"/>
      <c r="D6384"/>
      <c r="E6384"/>
      <c r="F6384"/>
      <c r="G6384"/>
      <c r="H6384"/>
      <c r="I6384"/>
      <c r="J6384"/>
      <c r="K6384" s="1"/>
      <c r="L6384" s="2"/>
    </row>
    <row r="6385" spans="1:12" x14ac:dyDescent="0.2">
      <c r="A6385"/>
      <c r="B6385"/>
      <c r="C6385"/>
      <c r="D6385"/>
      <c r="E6385"/>
      <c r="F6385"/>
      <c r="G6385"/>
      <c r="H6385"/>
      <c r="I6385"/>
      <c r="J6385"/>
      <c r="K6385" s="1"/>
      <c r="L6385" s="2"/>
    </row>
    <row r="6386" spans="1:12" x14ac:dyDescent="0.2">
      <c r="A6386"/>
      <c r="B6386"/>
      <c r="C6386"/>
      <c r="D6386"/>
      <c r="E6386"/>
      <c r="F6386"/>
      <c r="G6386"/>
      <c r="H6386"/>
      <c r="I6386"/>
      <c r="J6386"/>
      <c r="K6386" s="1"/>
      <c r="L6386" s="2"/>
    </row>
    <row r="6387" spans="1:12" x14ac:dyDescent="0.2">
      <c r="A6387"/>
      <c r="B6387"/>
      <c r="C6387"/>
      <c r="D6387"/>
      <c r="E6387"/>
      <c r="F6387"/>
      <c r="G6387"/>
      <c r="H6387"/>
      <c r="I6387"/>
      <c r="J6387"/>
      <c r="K6387" s="1"/>
      <c r="L6387" s="2"/>
    </row>
    <row r="6388" spans="1:12" x14ac:dyDescent="0.2">
      <c r="A6388"/>
      <c r="B6388"/>
      <c r="C6388"/>
      <c r="D6388"/>
      <c r="E6388"/>
      <c r="F6388"/>
      <c r="G6388"/>
      <c r="H6388"/>
      <c r="I6388"/>
      <c r="J6388"/>
      <c r="K6388" s="1"/>
      <c r="L6388" s="2"/>
    </row>
    <row r="6389" spans="1:12" x14ac:dyDescent="0.2">
      <c r="A6389"/>
      <c r="B6389"/>
      <c r="C6389"/>
      <c r="D6389"/>
      <c r="E6389"/>
      <c r="F6389"/>
      <c r="G6389"/>
      <c r="H6389"/>
      <c r="I6389"/>
      <c r="J6389"/>
      <c r="K6389" s="1"/>
      <c r="L6389" s="2"/>
    </row>
    <row r="6390" spans="1:12" x14ac:dyDescent="0.2">
      <c r="A6390"/>
      <c r="B6390"/>
      <c r="C6390"/>
      <c r="D6390"/>
      <c r="E6390"/>
      <c r="F6390"/>
      <c r="G6390"/>
      <c r="H6390"/>
      <c r="I6390"/>
      <c r="J6390"/>
      <c r="K6390" s="1"/>
      <c r="L6390" s="2"/>
    </row>
    <row r="6391" spans="1:12" x14ac:dyDescent="0.2">
      <c r="A6391"/>
      <c r="B6391"/>
      <c r="C6391"/>
      <c r="D6391"/>
      <c r="E6391"/>
      <c r="F6391"/>
      <c r="G6391"/>
      <c r="H6391"/>
      <c r="I6391"/>
      <c r="J6391"/>
      <c r="K6391" s="1"/>
      <c r="L6391" s="2"/>
    </row>
    <row r="6392" spans="1:12" x14ac:dyDescent="0.2">
      <c r="A6392"/>
      <c r="B6392"/>
      <c r="C6392"/>
      <c r="D6392"/>
      <c r="E6392"/>
      <c r="F6392"/>
      <c r="G6392"/>
      <c r="H6392"/>
      <c r="I6392"/>
      <c r="J6392"/>
      <c r="K6392" s="1"/>
      <c r="L6392" s="2"/>
    </row>
    <row r="6393" spans="1:12" x14ac:dyDescent="0.2">
      <c r="A6393"/>
      <c r="B6393"/>
      <c r="C6393"/>
      <c r="D6393"/>
      <c r="E6393"/>
      <c r="F6393"/>
      <c r="G6393"/>
      <c r="H6393"/>
      <c r="I6393"/>
      <c r="J6393"/>
      <c r="K6393" s="1"/>
      <c r="L6393" s="2"/>
    </row>
    <row r="6394" spans="1:12" x14ac:dyDescent="0.2">
      <c r="A6394"/>
      <c r="B6394"/>
      <c r="C6394"/>
      <c r="D6394"/>
      <c r="E6394"/>
      <c r="F6394"/>
      <c r="G6394"/>
      <c r="H6394"/>
      <c r="I6394"/>
      <c r="J6394"/>
      <c r="K6394" s="1"/>
      <c r="L6394" s="2"/>
    </row>
    <row r="6395" spans="1:12" x14ac:dyDescent="0.2">
      <c r="A6395"/>
      <c r="B6395"/>
      <c r="C6395"/>
      <c r="D6395"/>
      <c r="E6395"/>
      <c r="F6395"/>
      <c r="G6395"/>
      <c r="H6395"/>
      <c r="I6395"/>
      <c r="J6395"/>
      <c r="K6395" s="1"/>
      <c r="L6395" s="2"/>
    </row>
    <row r="6396" spans="1:12" x14ac:dyDescent="0.2">
      <c r="A6396"/>
      <c r="B6396"/>
      <c r="C6396"/>
      <c r="D6396"/>
      <c r="E6396"/>
      <c r="F6396"/>
      <c r="G6396"/>
      <c r="H6396"/>
      <c r="I6396"/>
      <c r="J6396"/>
      <c r="K6396" s="1"/>
      <c r="L6396" s="2"/>
    </row>
    <row r="6397" spans="1:12" x14ac:dyDescent="0.2">
      <c r="A6397"/>
      <c r="B6397"/>
      <c r="C6397"/>
      <c r="D6397"/>
      <c r="E6397"/>
      <c r="F6397"/>
      <c r="G6397"/>
      <c r="H6397"/>
      <c r="I6397"/>
      <c r="J6397"/>
      <c r="K6397" s="1"/>
      <c r="L6397" s="2"/>
    </row>
    <row r="6398" spans="1:12" x14ac:dyDescent="0.2">
      <c r="A6398"/>
      <c r="B6398"/>
      <c r="C6398"/>
      <c r="D6398"/>
      <c r="E6398"/>
      <c r="F6398"/>
      <c r="G6398"/>
      <c r="H6398"/>
      <c r="I6398"/>
      <c r="J6398"/>
      <c r="K6398" s="1"/>
      <c r="L6398" s="2"/>
    </row>
    <row r="6399" spans="1:12" x14ac:dyDescent="0.2">
      <c r="A6399"/>
      <c r="B6399"/>
      <c r="C6399"/>
      <c r="D6399"/>
      <c r="E6399"/>
      <c r="F6399"/>
      <c r="G6399"/>
      <c r="H6399"/>
      <c r="I6399"/>
      <c r="J6399"/>
      <c r="K6399" s="1"/>
      <c r="L6399" s="2"/>
    </row>
    <row r="6400" spans="1:12" x14ac:dyDescent="0.2">
      <c r="A6400"/>
      <c r="B6400"/>
      <c r="C6400"/>
      <c r="D6400"/>
      <c r="E6400"/>
      <c r="F6400"/>
      <c r="G6400"/>
      <c r="H6400"/>
      <c r="I6400"/>
      <c r="J6400"/>
      <c r="K6400" s="1"/>
      <c r="L6400" s="2"/>
    </row>
    <row r="6401" spans="1:12" x14ac:dyDescent="0.2">
      <c r="A6401"/>
      <c r="B6401"/>
      <c r="C6401"/>
      <c r="D6401"/>
      <c r="E6401"/>
      <c r="F6401"/>
      <c r="G6401"/>
      <c r="H6401"/>
      <c r="I6401"/>
      <c r="J6401"/>
      <c r="K6401" s="1"/>
      <c r="L6401" s="2"/>
    </row>
    <row r="6402" spans="1:12" x14ac:dyDescent="0.2">
      <c r="A6402"/>
      <c r="B6402"/>
      <c r="C6402"/>
      <c r="D6402"/>
      <c r="E6402"/>
      <c r="F6402"/>
      <c r="G6402"/>
      <c r="H6402"/>
      <c r="I6402"/>
      <c r="J6402"/>
      <c r="K6402" s="1"/>
      <c r="L6402" s="2"/>
    </row>
    <row r="6403" spans="1:12" x14ac:dyDescent="0.2">
      <c r="A6403"/>
      <c r="B6403"/>
      <c r="C6403"/>
      <c r="D6403"/>
      <c r="E6403"/>
      <c r="F6403"/>
      <c r="G6403"/>
      <c r="H6403"/>
      <c r="I6403"/>
      <c r="J6403"/>
      <c r="K6403" s="1"/>
      <c r="L6403" s="2"/>
    </row>
    <row r="6404" spans="1:12" x14ac:dyDescent="0.2">
      <c r="A6404"/>
      <c r="B6404"/>
      <c r="C6404"/>
      <c r="D6404"/>
      <c r="E6404"/>
      <c r="F6404"/>
      <c r="G6404"/>
      <c r="H6404"/>
      <c r="I6404"/>
      <c r="J6404"/>
      <c r="K6404" s="1"/>
      <c r="L6404" s="2"/>
    </row>
    <row r="6405" spans="1:12" x14ac:dyDescent="0.2">
      <c r="A6405"/>
      <c r="B6405"/>
      <c r="C6405"/>
      <c r="D6405"/>
      <c r="E6405"/>
      <c r="F6405"/>
      <c r="G6405"/>
      <c r="H6405"/>
      <c r="I6405"/>
      <c r="J6405"/>
      <c r="K6405" s="1"/>
      <c r="L6405" s="2"/>
    </row>
    <row r="6406" spans="1:12" x14ac:dyDescent="0.2">
      <c r="A6406"/>
      <c r="B6406"/>
      <c r="C6406"/>
      <c r="D6406"/>
      <c r="E6406"/>
      <c r="F6406"/>
      <c r="G6406"/>
      <c r="H6406"/>
      <c r="I6406"/>
      <c r="J6406"/>
      <c r="K6406" s="1"/>
      <c r="L6406" s="2"/>
    </row>
    <row r="6407" spans="1:12" x14ac:dyDescent="0.2">
      <c r="A6407"/>
      <c r="B6407"/>
      <c r="C6407"/>
      <c r="D6407"/>
      <c r="E6407"/>
      <c r="F6407"/>
      <c r="G6407"/>
      <c r="H6407"/>
      <c r="I6407"/>
      <c r="J6407"/>
      <c r="K6407" s="1"/>
      <c r="L6407" s="2"/>
    </row>
    <row r="6408" spans="1:12" x14ac:dyDescent="0.2">
      <c r="A6408"/>
      <c r="B6408"/>
      <c r="C6408"/>
      <c r="D6408"/>
      <c r="E6408"/>
      <c r="F6408"/>
      <c r="G6408"/>
      <c r="H6408"/>
      <c r="I6408"/>
      <c r="J6408"/>
      <c r="K6408" s="1"/>
      <c r="L6408" s="2"/>
    </row>
    <row r="6409" spans="1:12" x14ac:dyDescent="0.2">
      <c r="A6409"/>
      <c r="B6409"/>
      <c r="C6409"/>
      <c r="D6409"/>
      <c r="E6409"/>
      <c r="F6409"/>
      <c r="G6409"/>
      <c r="H6409"/>
      <c r="I6409"/>
      <c r="J6409"/>
      <c r="K6409" s="1"/>
      <c r="L6409" s="2"/>
    </row>
    <row r="6410" spans="1:12" x14ac:dyDescent="0.2">
      <c r="A6410"/>
      <c r="B6410"/>
      <c r="C6410"/>
      <c r="D6410"/>
      <c r="E6410"/>
      <c r="F6410"/>
      <c r="G6410"/>
      <c r="H6410"/>
      <c r="I6410"/>
      <c r="J6410"/>
      <c r="K6410" s="1"/>
      <c r="L6410" s="2"/>
    </row>
    <row r="6411" spans="1:12" x14ac:dyDescent="0.2">
      <c r="A6411"/>
      <c r="B6411"/>
      <c r="C6411"/>
      <c r="D6411"/>
      <c r="E6411"/>
      <c r="F6411"/>
      <c r="G6411"/>
      <c r="H6411"/>
      <c r="I6411"/>
      <c r="J6411"/>
      <c r="K6411" s="1"/>
      <c r="L6411" s="2"/>
    </row>
    <row r="6412" spans="1:12" x14ac:dyDescent="0.2">
      <c r="A6412"/>
      <c r="B6412"/>
      <c r="C6412"/>
      <c r="D6412"/>
      <c r="E6412"/>
      <c r="F6412"/>
      <c r="G6412"/>
      <c r="H6412"/>
      <c r="I6412"/>
      <c r="J6412"/>
      <c r="K6412" s="1"/>
      <c r="L6412" s="2"/>
    </row>
    <row r="6413" spans="1:12" x14ac:dyDescent="0.2">
      <c r="A6413"/>
      <c r="B6413"/>
      <c r="C6413"/>
      <c r="D6413"/>
      <c r="E6413"/>
      <c r="F6413"/>
      <c r="G6413"/>
      <c r="H6413"/>
      <c r="I6413"/>
      <c r="J6413"/>
      <c r="K6413" s="1"/>
      <c r="L6413" s="2"/>
    </row>
    <row r="6414" spans="1:12" x14ac:dyDescent="0.2">
      <c r="A6414"/>
      <c r="B6414"/>
      <c r="C6414"/>
      <c r="D6414"/>
      <c r="E6414"/>
      <c r="F6414"/>
      <c r="G6414"/>
      <c r="H6414"/>
      <c r="I6414"/>
      <c r="J6414"/>
      <c r="K6414" s="1"/>
      <c r="L6414" s="2"/>
    </row>
    <row r="6415" spans="1:12" x14ac:dyDescent="0.2">
      <c r="A6415"/>
      <c r="B6415"/>
      <c r="C6415"/>
      <c r="D6415"/>
      <c r="E6415"/>
      <c r="F6415"/>
      <c r="G6415"/>
      <c r="H6415"/>
      <c r="I6415"/>
      <c r="J6415"/>
      <c r="K6415" s="1"/>
      <c r="L6415" s="2"/>
    </row>
    <row r="6416" spans="1:12" x14ac:dyDescent="0.2">
      <c r="A6416"/>
      <c r="B6416"/>
      <c r="C6416"/>
      <c r="D6416"/>
      <c r="E6416"/>
      <c r="F6416"/>
      <c r="G6416"/>
      <c r="H6416"/>
      <c r="I6416"/>
      <c r="J6416"/>
      <c r="K6416" s="1"/>
      <c r="L6416" s="2"/>
    </row>
    <row r="6417" spans="1:12" x14ac:dyDescent="0.2">
      <c r="A6417"/>
      <c r="B6417"/>
      <c r="C6417"/>
      <c r="D6417"/>
      <c r="E6417"/>
      <c r="F6417"/>
      <c r="G6417"/>
      <c r="H6417"/>
      <c r="I6417"/>
      <c r="J6417"/>
      <c r="K6417" s="1"/>
      <c r="L6417" s="2"/>
    </row>
    <row r="6418" spans="1:12" x14ac:dyDescent="0.2">
      <c r="A6418"/>
      <c r="B6418"/>
      <c r="C6418"/>
      <c r="D6418"/>
      <c r="E6418"/>
      <c r="F6418"/>
      <c r="G6418"/>
      <c r="H6418"/>
      <c r="I6418"/>
      <c r="J6418"/>
      <c r="K6418" s="1"/>
      <c r="L6418" s="2"/>
    </row>
    <row r="6419" spans="1:12" x14ac:dyDescent="0.2">
      <c r="A6419"/>
      <c r="B6419"/>
      <c r="C6419"/>
      <c r="D6419"/>
      <c r="E6419"/>
      <c r="F6419"/>
      <c r="G6419"/>
      <c r="H6419"/>
      <c r="I6419"/>
      <c r="J6419"/>
      <c r="K6419" s="1"/>
      <c r="L6419" s="2"/>
    </row>
    <row r="6420" spans="1:12" x14ac:dyDescent="0.2">
      <c r="A6420"/>
      <c r="B6420"/>
      <c r="C6420"/>
      <c r="D6420"/>
      <c r="E6420"/>
      <c r="F6420"/>
      <c r="G6420"/>
      <c r="H6420"/>
      <c r="I6420"/>
      <c r="J6420"/>
      <c r="K6420" s="1"/>
      <c r="L6420" s="2"/>
    </row>
    <row r="6421" spans="1:12" x14ac:dyDescent="0.2">
      <c r="A6421"/>
      <c r="B6421"/>
      <c r="C6421"/>
      <c r="D6421"/>
      <c r="E6421"/>
      <c r="F6421"/>
      <c r="G6421"/>
      <c r="H6421"/>
      <c r="I6421"/>
      <c r="J6421"/>
      <c r="K6421" s="1"/>
      <c r="L6421" s="2"/>
    </row>
    <row r="6422" spans="1:12" x14ac:dyDescent="0.2">
      <c r="A6422"/>
      <c r="B6422"/>
      <c r="C6422"/>
      <c r="D6422"/>
      <c r="E6422"/>
      <c r="F6422"/>
      <c r="G6422"/>
      <c r="H6422"/>
      <c r="I6422"/>
      <c r="J6422"/>
      <c r="K6422" s="1"/>
      <c r="L6422" s="2"/>
    </row>
    <row r="6423" spans="1:12" x14ac:dyDescent="0.2">
      <c r="A6423"/>
      <c r="B6423"/>
      <c r="C6423"/>
      <c r="D6423"/>
      <c r="E6423"/>
      <c r="F6423"/>
      <c r="G6423"/>
      <c r="H6423"/>
      <c r="I6423"/>
      <c r="J6423"/>
      <c r="K6423" s="1"/>
      <c r="L6423" s="2"/>
    </row>
    <row r="6424" spans="1:12" x14ac:dyDescent="0.2">
      <c r="A6424"/>
      <c r="B6424"/>
      <c r="C6424"/>
      <c r="D6424"/>
      <c r="E6424"/>
      <c r="F6424"/>
      <c r="G6424"/>
      <c r="H6424"/>
      <c r="I6424"/>
      <c r="J6424"/>
      <c r="K6424" s="1"/>
      <c r="L6424" s="2"/>
    </row>
    <row r="6425" spans="1:12" x14ac:dyDescent="0.2">
      <c r="A6425"/>
      <c r="B6425"/>
      <c r="C6425"/>
      <c r="D6425"/>
      <c r="E6425"/>
      <c r="F6425"/>
      <c r="G6425"/>
      <c r="H6425"/>
      <c r="I6425"/>
      <c r="J6425"/>
      <c r="K6425" s="1"/>
      <c r="L6425" s="2"/>
    </row>
    <row r="6426" spans="1:12" x14ac:dyDescent="0.2">
      <c r="A6426"/>
      <c r="B6426"/>
      <c r="C6426"/>
      <c r="D6426"/>
      <c r="E6426"/>
      <c r="F6426"/>
      <c r="G6426"/>
      <c r="H6426"/>
      <c r="I6426"/>
      <c r="J6426"/>
      <c r="K6426" s="1"/>
      <c r="L6426" s="2"/>
    </row>
    <row r="6427" spans="1:12" x14ac:dyDescent="0.2">
      <c r="A6427"/>
      <c r="B6427"/>
      <c r="C6427"/>
      <c r="D6427"/>
      <c r="E6427"/>
      <c r="F6427"/>
      <c r="G6427"/>
      <c r="H6427"/>
      <c r="I6427"/>
      <c r="J6427"/>
      <c r="K6427" s="1"/>
      <c r="L6427" s="2"/>
    </row>
    <row r="6428" spans="1:12" x14ac:dyDescent="0.2">
      <c r="A6428"/>
      <c r="B6428"/>
      <c r="C6428"/>
      <c r="D6428"/>
      <c r="E6428"/>
      <c r="F6428"/>
      <c r="G6428"/>
      <c r="H6428"/>
      <c r="I6428"/>
      <c r="J6428"/>
      <c r="K6428" s="1"/>
      <c r="L6428" s="2"/>
    </row>
    <row r="6429" spans="1:12" x14ac:dyDescent="0.2">
      <c r="A6429"/>
      <c r="B6429"/>
      <c r="C6429"/>
      <c r="D6429"/>
      <c r="E6429"/>
      <c r="F6429"/>
      <c r="G6429"/>
      <c r="H6429"/>
      <c r="I6429"/>
      <c r="J6429"/>
      <c r="K6429" s="1"/>
      <c r="L6429" s="2"/>
    </row>
    <row r="6430" spans="1:12" x14ac:dyDescent="0.2">
      <c r="A6430"/>
      <c r="B6430"/>
      <c r="C6430"/>
      <c r="D6430"/>
      <c r="E6430"/>
      <c r="F6430"/>
      <c r="G6430"/>
      <c r="H6430"/>
      <c r="I6430"/>
      <c r="J6430"/>
      <c r="K6430" s="1"/>
      <c r="L6430" s="2"/>
    </row>
    <row r="6431" spans="1:12" x14ac:dyDescent="0.2">
      <c r="A6431"/>
      <c r="B6431"/>
      <c r="C6431"/>
      <c r="D6431"/>
      <c r="E6431"/>
      <c r="F6431"/>
      <c r="G6431"/>
      <c r="H6431"/>
      <c r="I6431"/>
      <c r="J6431"/>
      <c r="K6431" s="1"/>
      <c r="L6431" s="2"/>
    </row>
    <row r="6432" spans="1:12" x14ac:dyDescent="0.2">
      <c r="A6432"/>
      <c r="B6432"/>
      <c r="C6432"/>
      <c r="D6432"/>
      <c r="E6432"/>
      <c r="F6432"/>
      <c r="G6432"/>
      <c r="H6432"/>
      <c r="I6432"/>
      <c r="J6432"/>
      <c r="K6432" s="1"/>
      <c r="L6432" s="2"/>
    </row>
    <row r="6433" spans="1:12" x14ac:dyDescent="0.2">
      <c r="A6433"/>
      <c r="B6433"/>
      <c r="C6433"/>
      <c r="D6433"/>
      <c r="E6433"/>
      <c r="F6433"/>
      <c r="G6433"/>
      <c r="H6433"/>
      <c r="I6433"/>
      <c r="J6433"/>
      <c r="K6433" s="1"/>
      <c r="L6433" s="2"/>
    </row>
    <row r="6434" spans="1:12" x14ac:dyDescent="0.2">
      <c r="A6434"/>
      <c r="B6434"/>
      <c r="C6434"/>
      <c r="D6434"/>
      <c r="E6434"/>
      <c r="F6434"/>
      <c r="G6434"/>
      <c r="H6434"/>
      <c r="I6434"/>
      <c r="J6434"/>
      <c r="K6434" s="1"/>
      <c r="L6434" s="2"/>
    </row>
    <row r="6435" spans="1:12" x14ac:dyDescent="0.2">
      <c r="A6435"/>
      <c r="B6435"/>
      <c r="C6435"/>
      <c r="D6435"/>
      <c r="E6435"/>
      <c r="F6435"/>
      <c r="G6435"/>
      <c r="H6435"/>
      <c r="I6435"/>
      <c r="J6435"/>
      <c r="K6435" s="1"/>
      <c r="L6435" s="2"/>
    </row>
    <row r="6436" spans="1:12" x14ac:dyDescent="0.2">
      <c r="A6436"/>
      <c r="B6436"/>
      <c r="C6436"/>
      <c r="D6436"/>
      <c r="E6436"/>
      <c r="F6436"/>
      <c r="G6436"/>
      <c r="H6436"/>
      <c r="I6436"/>
      <c r="J6436"/>
      <c r="K6436" s="1"/>
      <c r="L6436" s="2"/>
    </row>
    <row r="6437" spans="1:12" x14ac:dyDescent="0.2">
      <c r="A6437"/>
      <c r="B6437"/>
      <c r="C6437"/>
      <c r="D6437"/>
      <c r="E6437"/>
      <c r="F6437"/>
      <c r="G6437"/>
      <c r="H6437"/>
      <c r="I6437"/>
      <c r="J6437"/>
      <c r="K6437" s="1"/>
      <c r="L6437" s="2"/>
    </row>
    <row r="6438" spans="1:12" x14ac:dyDescent="0.2">
      <c r="A6438"/>
      <c r="B6438"/>
      <c r="C6438"/>
      <c r="D6438"/>
      <c r="E6438"/>
      <c r="F6438"/>
      <c r="G6438"/>
      <c r="H6438"/>
      <c r="I6438"/>
      <c r="J6438"/>
      <c r="K6438" s="1"/>
      <c r="L6438" s="2"/>
    </row>
    <row r="6439" spans="1:12" x14ac:dyDescent="0.2">
      <c r="A6439"/>
      <c r="B6439"/>
      <c r="C6439"/>
      <c r="D6439"/>
      <c r="E6439"/>
      <c r="F6439"/>
      <c r="G6439"/>
      <c r="H6439"/>
      <c r="I6439"/>
      <c r="J6439"/>
      <c r="K6439" s="1"/>
      <c r="L6439" s="2"/>
    </row>
    <row r="6440" spans="1:12" x14ac:dyDescent="0.2">
      <c r="A6440"/>
      <c r="B6440"/>
      <c r="C6440"/>
      <c r="D6440"/>
      <c r="E6440"/>
      <c r="F6440"/>
      <c r="G6440"/>
      <c r="H6440"/>
      <c r="I6440"/>
      <c r="J6440"/>
      <c r="K6440" s="1"/>
      <c r="L6440" s="2"/>
    </row>
    <row r="6441" spans="1:12" x14ac:dyDescent="0.2">
      <c r="A6441"/>
      <c r="B6441"/>
      <c r="C6441"/>
      <c r="D6441"/>
      <c r="E6441"/>
      <c r="F6441"/>
      <c r="G6441"/>
      <c r="H6441"/>
      <c r="I6441"/>
      <c r="J6441"/>
      <c r="K6441" s="1"/>
      <c r="L6441" s="2"/>
    </row>
    <row r="6442" spans="1:12" x14ac:dyDescent="0.2">
      <c r="A6442"/>
      <c r="B6442"/>
      <c r="C6442"/>
      <c r="D6442"/>
      <c r="E6442"/>
      <c r="F6442"/>
      <c r="G6442"/>
      <c r="H6442"/>
      <c r="I6442"/>
      <c r="J6442"/>
      <c r="K6442" s="1"/>
      <c r="L6442" s="2"/>
    </row>
    <row r="6443" spans="1:12" x14ac:dyDescent="0.2">
      <c r="A6443"/>
      <c r="B6443"/>
      <c r="C6443"/>
      <c r="D6443"/>
      <c r="E6443"/>
      <c r="F6443"/>
      <c r="G6443"/>
      <c r="H6443"/>
      <c r="I6443"/>
      <c r="J6443"/>
      <c r="K6443" s="1"/>
      <c r="L6443" s="2"/>
    </row>
    <row r="6444" spans="1:12" x14ac:dyDescent="0.2">
      <c r="A6444"/>
      <c r="B6444"/>
      <c r="C6444"/>
      <c r="D6444"/>
      <c r="E6444"/>
      <c r="F6444"/>
      <c r="G6444"/>
      <c r="H6444"/>
      <c r="I6444"/>
      <c r="J6444"/>
      <c r="K6444" s="1"/>
      <c r="L6444" s="2"/>
    </row>
    <row r="6445" spans="1:12" x14ac:dyDescent="0.2">
      <c r="A6445"/>
      <c r="B6445"/>
      <c r="C6445"/>
      <c r="D6445"/>
      <c r="E6445"/>
      <c r="F6445"/>
      <c r="G6445"/>
      <c r="H6445"/>
      <c r="I6445"/>
      <c r="J6445"/>
      <c r="K6445" s="1"/>
      <c r="L6445" s="2"/>
    </row>
    <row r="6446" spans="1:12" x14ac:dyDescent="0.2">
      <c r="A6446"/>
      <c r="B6446"/>
      <c r="C6446"/>
      <c r="D6446"/>
      <c r="E6446"/>
      <c r="F6446"/>
      <c r="G6446"/>
      <c r="H6446"/>
      <c r="I6446"/>
      <c r="J6446"/>
      <c r="K6446" s="1"/>
      <c r="L6446" s="2"/>
    </row>
    <row r="6447" spans="1:12" x14ac:dyDescent="0.2">
      <c r="A6447"/>
      <c r="B6447"/>
      <c r="C6447"/>
      <c r="D6447"/>
      <c r="E6447"/>
      <c r="F6447"/>
      <c r="G6447"/>
      <c r="H6447"/>
      <c r="I6447"/>
      <c r="J6447"/>
      <c r="K6447" s="1"/>
      <c r="L6447" s="2"/>
    </row>
    <row r="6448" spans="1:12" x14ac:dyDescent="0.2">
      <c r="A6448"/>
      <c r="B6448"/>
      <c r="C6448"/>
      <c r="D6448"/>
      <c r="E6448"/>
      <c r="F6448"/>
      <c r="G6448"/>
      <c r="H6448"/>
      <c r="I6448"/>
      <c r="J6448"/>
      <c r="K6448" s="1"/>
      <c r="L6448" s="2"/>
    </row>
    <row r="6449" spans="1:12" x14ac:dyDescent="0.2">
      <c r="A6449"/>
      <c r="B6449"/>
      <c r="C6449"/>
      <c r="D6449"/>
      <c r="E6449"/>
      <c r="F6449"/>
      <c r="G6449"/>
      <c r="H6449"/>
      <c r="I6449"/>
      <c r="J6449"/>
      <c r="K6449" s="1"/>
      <c r="L6449" s="2"/>
    </row>
    <row r="6450" spans="1:12" x14ac:dyDescent="0.2">
      <c r="A6450"/>
      <c r="B6450"/>
      <c r="C6450"/>
      <c r="D6450"/>
      <c r="E6450"/>
      <c r="F6450"/>
      <c r="G6450"/>
      <c r="H6450"/>
      <c r="I6450"/>
      <c r="J6450"/>
      <c r="K6450" s="1"/>
      <c r="L6450" s="2"/>
    </row>
    <row r="6451" spans="1:12" x14ac:dyDescent="0.2">
      <c r="A6451"/>
      <c r="B6451"/>
      <c r="C6451"/>
      <c r="D6451"/>
      <c r="E6451"/>
      <c r="F6451"/>
      <c r="G6451"/>
      <c r="H6451"/>
      <c r="I6451"/>
      <c r="J6451"/>
      <c r="K6451" s="1"/>
      <c r="L6451" s="2"/>
    </row>
    <row r="6452" spans="1:12" x14ac:dyDescent="0.2">
      <c r="A6452"/>
      <c r="B6452"/>
      <c r="C6452"/>
      <c r="D6452"/>
      <c r="E6452"/>
      <c r="F6452"/>
      <c r="G6452"/>
      <c r="H6452"/>
      <c r="I6452"/>
      <c r="J6452"/>
      <c r="K6452" s="1"/>
      <c r="L6452" s="2"/>
    </row>
    <row r="6453" spans="1:12" x14ac:dyDescent="0.2">
      <c r="A6453"/>
      <c r="B6453"/>
      <c r="C6453"/>
      <c r="D6453"/>
      <c r="E6453"/>
      <c r="F6453"/>
      <c r="G6453"/>
      <c r="H6453"/>
      <c r="I6453"/>
      <c r="J6453"/>
      <c r="K6453" s="1"/>
      <c r="L6453" s="2"/>
    </row>
    <row r="6454" spans="1:12" x14ac:dyDescent="0.2">
      <c r="A6454"/>
      <c r="B6454"/>
      <c r="C6454"/>
      <c r="D6454"/>
      <c r="E6454"/>
      <c r="F6454"/>
      <c r="G6454"/>
      <c r="H6454"/>
      <c r="I6454"/>
      <c r="J6454"/>
      <c r="K6454" s="1"/>
      <c r="L6454" s="2"/>
    </row>
    <row r="6455" spans="1:12" x14ac:dyDescent="0.2">
      <c r="A6455"/>
      <c r="B6455"/>
      <c r="C6455"/>
      <c r="D6455"/>
      <c r="E6455"/>
      <c r="F6455"/>
      <c r="G6455"/>
      <c r="H6455"/>
      <c r="I6455"/>
      <c r="J6455"/>
      <c r="K6455" s="1"/>
      <c r="L6455" s="2"/>
    </row>
    <row r="6456" spans="1:12" x14ac:dyDescent="0.2">
      <c r="A6456"/>
      <c r="B6456"/>
      <c r="C6456"/>
      <c r="D6456"/>
      <c r="E6456"/>
      <c r="F6456"/>
      <c r="G6456"/>
      <c r="H6456"/>
      <c r="I6456"/>
      <c r="J6456"/>
      <c r="K6456" s="1"/>
      <c r="L6456" s="2"/>
    </row>
    <row r="6457" spans="1:12" x14ac:dyDescent="0.2">
      <c r="A6457"/>
      <c r="B6457"/>
      <c r="C6457"/>
      <c r="D6457"/>
      <c r="E6457"/>
      <c r="F6457"/>
      <c r="G6457"/>
      <c r="H6457"/>
      <c r="I6457"/>
      <c r="J6457"/>
      <c r="K6457" s="1"/>
      <c r="L6457" s="2"/>
    </row>
    <row r="6458" spans="1:12" x14ac:dyDescent="0.2">
      <c r="A6458"/>
      <c r="B6458"/>
      <c r="C6458"/>
      <c r="D6458"/>
      <c r="E6458"/>
      <c r="F6458"/>
      <c r="G6458"/>
      <c r="H6458"/>
      <c r="I6458"/>
      <c r="J6458"/>
      <c r="K6458" s="1"/>
      <c r="L6458" s="2"/>
    </row>
    <row r="6459" spans="1:12" x14ac:dyDescent="0.2">
      <c r="A6459"/>
      <c r="B6459"/>
      <c r="C6459"/>
      <c r="D6459"/>
      <c r="E6459"/>
      <c r="F6459"/>
      <c r="G6459"/>
      <c r="H6459"/>
      <c r="I6459"/>
      <c r="J6459"/>
      <c r="K6459" s="1"/>
      <c r="L6459" s="2"/>
    </row>
    <row r="6460" spans="1:12" x14ac:dyDescent="0.2">
      <c r="A6460"/>
      <c r="B6460"/>
      <c r="C6460"/>
      <c r="D6460"/>
      <c r="E6460"/>
      <c r="F6460"/>
      <c r="G6460"/>
      <c r="H6460"/>
      <c r="I6460"/>
      <c r="J6460"/>
      <c r="K6460" s="1"/>
      <c r="L6460" s="2"/>
    </row>
    <row r="6461" spans="1:12" x14ac:dyDescent="0.2">
      <c r="A6461"/>
      <c r="B6461"/>
      <c r="C6461"/>
      <c r="D6461"/>
      <c r="E6461"/>
      <c r="F6461"/>
      <c r="G6461"/>
      <c r="H6461"/>
      <c r="I6461"/>
      <c r="J6461"/>
      <c r="K6461" s="1"/>
      <c r="L6461" s="2"/>
    </row>
    <row r="6462" spans="1:12" x14ac:dyDescent="0.2">
      <c r="A6462"/>
      <c r="B6462"/>
      <c r="C6462"/>
      <c r="D6462"/>
      <c r="E6462"/>
      <c r="F6462"/>
      <c r="G6462"/>
      <c r="H6462"/>
      <c r="I6462"/>
      <c r="J6462"/>
      <c r="K6462" s="1"/>
      <c r="L6462" s="2"/>
    </row>
    <row r="6463" spans="1:12" x14ac:dyDescent="0.2">
      <c r="A6463"/>
      <c r="B6463"/>
      <c r="C6463"/>
      <c r="D6463"/>
      <c r="E6463"/>
      <c r="F6463"/>
      <c r="G6463"/>
      <c r="H6463"/>
      <c r="I6463"/>
      <c r="J6463"/>
      <c r="K6463" s="1"/>
      <c r="L6463" s="2"/>
    </row>
    <row r="6464" spans="1:12" x14ac:dyDescent="0.2">
      <c r="A6464"/>
      <c r="B6464"/>
      <c r="C6464"/>
      <c r="D6464"/>
      <c r="E6464"/>
      <c r="F6464"/>
      <c r="G6464"/>
      <c r="H6464"/>
      <c r="I6464"/>
      <c r="J6464"/>
      <c r="K6464" s="1"/>
      <c r="L6464" s="2"/>
    </row>
    <row r="6465" spans="1:12" x14ac:dyDescent="0.2">
      <c r="A6465"/>
      <c r="B6465"/>
      <c r="C6465"/>
      <c r="D6465"/>
      <c r="E6465"/>
      <c r="F6465"/>
      <c r="G6465"/>
      <c r="H6465"/>
      <c r="I6465"/>
      <c r="J6465"/>
      <c r="K6465" s="1"/>
      <c r="L6465" s="2"/>
    </row>
    <row r="6466" spans="1:12" x14ac:dyDescent="0.2">
      <c r="A6466"/>
      <c r="B6466"/>
      <c r="C6466"/>
      <c r="D6466"/>
      <c r="E6466"/>
      <c r="F6466"/>
      <c r="G6466"/>
      <c r="H6466"/>
      <c r="I6466"/>
      <c r="J6466"/>
      <c r="K6466" s="1"/>
      <c r="L6466" s="2"/>
    </row>
    <row r="6467" spans="1:12" x14ac:dyDescent="0.2">
      <c r="A6467"/>
      <c r="B6467"/>
      <c r="C6467"/>
      <c r="D6467"/>
      <c r="E6467"/>
      <c r="F6467"/>
      <c r="G6467"/>
      <c r="H6467"/>
      <c r="I6467"/>
      <c r="J6467"/>
      <c r="K6467" s="1"/>
      <c r="L6467" s="2"/>
    </row>
    <row r="6468" spans="1:12" x14ac:dyDescent="0.2">
      <c r="A6468"/>
      <c r="B6468"/>
      <c r="C6468"/>
      <c r="D6468"/>
      <c r="E6468"/>
      <c r="F6468"/>
      <c r="G6468"/>
      <c r="H6468"/>
      <c r="I6468"/>
      <c r="J6468"/>
      <c r="K6468" s="1"/>
      <c r="L6468" s="2"/>
    </row>
    <row r="6469" spans="1:12" x14ac:dyDescent="0.2">
      <c r="A6469"/>
      <c r="B6469"/>
      <c r="C6469"/>
      <c r="D6469"/>
      <c r="E6469"/>
      <c r="F6469"/>
      <c r="G6469"/>
      <c r="H6469"/>
      <c r="I6469"/>
      <c r="J6469"/>
      <c r="K6469" s="1"/>
      <c r="L6469" s="2"/>
    </row>
    <row r="6470" spans="1:12" x14ac:dyDescent="0.2">
      <c r="A6470"/>
      <c r="B6470"/>
      <c r="C6470"/>
      <c r="D6470"/>
      <c r="E6470"/>
      <c r="F6470"/>
      <c r="G6470"/>
      <c r="H6470"/>
      <c r="I6470"/>
      <c r="J6470"/>
      <c r="K6470" s="1"/>
      <c r="L6470" s="2"/>
    </row>
    <row r="6471" spans="1:12" x14ac:dyDescent="0.2">
      <c r="A6471"/>
      <c r="B6471"/>
      <c r="C6471"/>
      <c r="D6471"/>
      <c r="E6471"/>
      <c r="F6471"/>
      <c r="G6471"/>
      <c r="H6471"/>
      <c r="I6471"/>
      <c r="J6471"/>
      <c r="K6471" s="1"/>
      <c r="L6471" s="2"/>
    </row>
    <row r="6472" spans="1:12" x14ac:dyDescent="0.2">
      <c r="A6472"/>
      <c r="B6472"/>
      <c r="C6472"/>
      <c r="D6472"/>
      <c r="E6472"/>
      <c r="F6472"/>
      <c r="G6472"/>
      <c r="H6472"/>
      <c r="I6472"/>
      <c r="J6472"/>
      <c r="K6472" s="1"/>
      <c r="L6472" s="2"/>
    </row>
    <row r="6473" spans="1:12" x14ac:dyDescent="0.2">
      <c r="A6473"/>
      <c r="B6473"/>
      <c r="C6473"/>
      <c r="D6473"/>
      <c r="E6473"/>
      <c r="F6473"/>
      <c r="G6473"/>
      <c r="H6473"/>
      <c r="I6473"/>
      <c r="J6473"/>
      <c r="K6473" s="1"/>
      <c r="L6473" s="2"/>
    </row>
    <row r="6474" spans="1:12" x14ac:dyDescent="0.2">
      <c r="A6474"/>
      <c r="B6474"/>
      <c r="C6474"/>
      <c r="D6474"/>
      <c r="E6474"/>
      <c r="F6474"/>
      <c r="G6474"/>
      <c r="H6474"/>
      <c r="I6474"/>
      <c r="J6474"/>
      <c r="K6474" s="1"/>
      <c r="L6474" s="2"/>
    </row>
    <row r="6475" spans="1:12" x14ac:dyDescent="0.2">
      <c r="A6475"/>
      <c r="B6475"/>
      <c r="C6475"/>
      <c r="D6475"/>
      <c r="E6475"/>
      <c r="F6475"/>
      <c r="G6475"/>
      <c r="H6475"/>
      <c r="I6475"/>
      <c r="J6475"/>
      <c r="K6475" s="1"/>
      <c r="L6475" s="2"/>
    </row>
    <row r="6476" spans="1:12" x14ac:dyDescent="0.2">
      <c r="A6476"/>
      <c r="B6476"/>
      <c r="C6476"/>
      <c r="D6476"/>
      <c r="E6476"/>
      <c r="F6476"/>
      <c r="G6476"/>
      <c r="H6476"/>
      <c r="I6476"/>
      <c r="J6476"/>
      <c r="K6476" s="1"/>
      <c r="L6476" s="2"/>
    </row>
    <row r="6477" spans="1:12" x14ac:dyDescent="0.2">
      <c r="A6477"/>
      <c r="B6477"/>
      <c r="C6477"/>
      <c r="D6477"/>
      <c r="E6477"/>
      <c r="F6477"/>
      <c r="G6477"/>
      <c r="H6477"/>
      <c r="I6477"/>
      <c r="J6477"/>
      <c r="K6477" s="1"/>
      <c r="L6477" s="2"/>
    </row>
    <row r="6478" spans="1:12" x14ac:dyDescent="0.2">
      <c r="A6478"/>
      <c r="B6478"/>
      <c r="C6478"/>
      <c r="D6478"/>
      <c r="E6478"/>
      <c r="F6478"/>
      <c r="G6478"/>
      <c r="H6478"/>
      <c r="I6478"/>
      <c r="J6478"/>
      <c r="K6478" s="1"/>
      <c r="L6478" s="2"/>
    </row>
    <row r="6479" spans="1:12" x14ac:dyDescent="0.2">
      <c r="A6479"/>
      <c r="B6479"/>
      <c r="C6479"/>
      <c r="D6479"/>
      <c r="E6479"/>
      <c r="F6479"/>
      <c r="G6479"/>
      <c r="H6479"/>
      <c r="I6479"/>
      <c r="J6479"/>
      <c r="K6479" s="1"/>
      <c r="L6479" s="2"/>
    </row>
    <row r="6480" spans="1:12" x14ac:dyDescent="0.2">
      <c r="A6480"/>
      <c r="B6480"/>
      <c r="C6480"/>
      <c r="D6480"/>
      <c r="E6480"/>
      <c r="F6480"/>
      <c r="G6480"/>
      <c r="H6480"/>
      <c r="I6480"/>
      <c r="J6480"/>
      <c r="K6480" s="1"/>
      <c r="L6480" s="2"/>
    </row>
    <row r="6481" spans="1:12" x14ac:dyDescent="0.2">
      <c r="A6481"/>
      <c r="B6481"/>
      <c r="C6481"/>
      <c r="D6481"/>
      <c r="E6481"/>
      <c r="F6481"/>
      <c r="G6481"/>
      <c r="H6481"/>
      <c r="I6481"/>
      <c r="J6481"/>
      <c r="K6481" s="1"/>
      <c r="L6481" s="2"/>
    </row>
    <row r="6482" spans="1:12" x14ac:dyDescent="0.2">
      <c r="A6482"/>
      <c r="B6482"/>
      <c r="C6482"/>
      <c r="D6482"/>
      <c r="E6482"/>
      <c r="F6482"/>
      <c r="G6482"/>
      <c r="H6482"/>
      <c r="I6482"/>
      <c r="J6482"/>
      <c r="K6482" s="1"/>
      <c r="L6482" s="2"/>
    </row>
    <row r="6483" spans="1:12" x14ac:dyDescent="0.2">
      <c r="A6483"/>
      <c r="B6483"/>
      <c r="C6483"/>
      <c r="D6483"/>
      <c r="E6483"/>
      <c r="F6483"/>
      <c r="G6483"/>
      <c r="H6483"/>
      <c r="I6483"/>
      <c r="J6483"/>
      <c r="K6483" s="1"/>
      <c r="L6483" s="2"/>
    </row>
    <row r="6484" spans="1:12" x14ac:dyDescent="0.2">
      <c r="A6484"/>
      <c r="B6484"/>
      <c r="C6484"/>
      <c r="D6484"/>
      <c r="E6484"/>
      <c r="F6484"/>
      <c r="G6484"/>
      <c r="H6484"/>
      <c r="I6484"/>
      <c r="J6484"/>
      <c r="K6484" s="1"/>
      <c r="L6484" s="2"/>
    </row>
    <row r="6485" spans="1:12" x14ac:dyDescent="0.2">
      <c r="A6485"/>
      <c r="B6485"/>
      <c r="C6485"/>
      <c r="D6485"/>
      <c r="E6485"/>
      <c r="F6485"/>
      <c r="G6485"/>
      <c r="H6485"/>
      <c r="I6485"/>
      <c r="J6485"/>
      <c r="K6485" s="1"/>
      <c r="L6485" s="2"/>
    </row>
    <row r="6486" spans="1:12" x14ac:dyDescent="0.2">
      <c r="A6486"/>
      <c r="B6486"/>
      <c r="C6486"/>
      <c r="D6486"/>
      <c r="E6486"/>
      <c r="F6486"/>
      <c r="G6486"/>
      <c r="H6486"/>
      <c r="I6486"/>
      <c r="J6486"/>
      <c r="K6486" s="1"/>
      <c r="L6486" s="2"/>
    </row>
    <row r="6487" spans="1:12" x14ac:dyDescent="0.2">
      <c r="A6487"/>
      <c r="B6487"/>
      <c r="C6487"/>
      <c r="D6487"/>
      <c r="E6487"/>
      <c r="F6487"/>
      <c r="G6487"/>
      <c r="H6487"/>
      <c r="I6487"/>
      <c r="J6487"/>
      <c r="K6487" s="1"/>
      <c r="L6487" s="2"/>
    </row>
    <row r="6488" spans="1:12" x14ac:dyDescent="0.2">
      <c r="A6488"/>
      <c r="B6488"/>
      <c r="C6488"/>
      <c r="D6488"/>
      <c r="E6488"/>
      <c r="F6488"/>
      <c r="G6488"/>
      <c r="H6488"/>
      <c r="I6488"/>
      <c r="J6488"/>
      <c r="K6488" s="1"/>
      <c r="L6488" s="2"/>
    </row>
    <row r="6489" spans="1:12" x14ac:dyDescent="0.2">
      <c r="A6489"/>
      <c r="B6489"/>
      <c r="C6489"/>
      <c r="D6489"/>
      <c r="E6489"/>
      <c r="F6489"/>
      <c r="G6489"/>
      <c r="H6489"/>
      <c r="I6489"/>
      <c r="J6489"/>
      <c r="K6489" s="1"/>
      <c r="L6489" s="2"/>
    </row>
    <row r="6490" spans="1:12" x14ac:dyDescent="0.2">
      <c r="A6490"/>
      <c r="B6490"/>
      <c r="C6490"/>
      <c r="D6490"/>
      <c r="E6490"/>
      <c r="F6490"/>
      <c r="G6490"/>
      <c r="H6490"/>
      <c r="I6490"/>
      <c r="J6490"/>
      <c r="K6490" s="1"/>
      <c r="L6490" s="2"/>
    </row>
    <row r="6491" spans="1:12" x14ac:dyDescent="0.2">
      <c r="A6491"/>
      <c r="B6491"/>
      <c r="C6491"/>
      <c r="D6491"/>
      <c r="E6491"/>
      <c r="F6491"/>
      <c r="G6491"/>
      <c r="H6491"/>
      <c r="I6491"/>
      <c r="J6491"/>
      <c r="K6491" s="1"/>
      <c r="L6491" s="2"/>
    </row>
    <row r="6492" spans="1:12" x14ac:dyDescent="0.2">
      <c r="A6492"/>
      <c r="B6492"/>
      <c r="C6492"/>
      <c r="D6492"/>
      <c r="E6492"/>
      <c r="F6492"/>
      <c r="G6492"/>
      <c r="H6492"/>
      <c r="I6492"/>
      <c r="J6492"/>
      <c r="K6492" s="1"/>
      <c r="L6492" s="2"/>
    </row>
    <row r="6493" spans="1:12" x14ac:dyDescent="0.2">
      <c r="A6493"/>
      <c r="B6493"/>
      <c r="C6493"/>
      <c r="D6493"/>
      <c r="E6493"/>
      <c r="F6493"/>
      <c r="G6493"/>
      <c r="H6493"/>
      <c r="I6493"/>
      <c r="J6493"/>
      <c r="K6493" s="1"/>
      <c r="L6493" s="2"/>
    </row>
    <row r="6494" spans="1:12" x14ac:dyDescent="0.2">
      <c r="A6494"/>
      <c r="B6494"/>
      <c r="C6494"/>
      <c r="D6494"/>
      <c r="E6494"/>
      <c r="F6494"/>
      <c r="G6494"/>
      <c r="H6494"/>
      <c r="I6494"/>
      <c r="J6494"/>
      <c r="K6494" s="1"/>
      <c r="L6494" s="2"/>
    </row>
    <row r="6495" spans="1:12" x14ac:dyDescent="0.2">
      <c r="A6495"/>
      <c r="B6495"/>
      <c r="C6495"/>
      <c r="D6495"/>
      <c r="E6495"/>
      <c r="F6495"/>
      <c r="G6495"/>
      <c r="H6495"/>
      <c r="I6495"/>
      <c r="J6495"/>
      <c r="K6495" s="1"/>
      <c r="L6495" s="2"/>
    </row>
    <row r="6496" spans="1:12" x14ac:dyDescent="0.2">
      <c r="A6496"/>
      <c r="B6496"/>
      <c r="C6496"/>
      <c r="D6496"/>
      <c r="E6496"/>
      <c r="F6496"/>
      <c r="G6496"/>
      <c r="H6496"/>
      <c r="I6496"/>
      <c r="J6496"/>
      <c r="K6496" s="1"/>
      <c r="L6496" s="2"/>
    </row>
    <row r="6497" spans="1:12" x14ac:dyDescent="0.2">
      <c r="A6497"/>
      <c r="B6497"/>
      <c r="C6497"/>
      <c r="D6497"/>
      <c r="E6497"/>
      <c r="F6497"/>
      <c r="G6497"/>
      <c r="H6497"/>
      <c r="I6497"/>
      <c r="J6497"/>
      <c r="K6497" s="1"/>
      <c r="L6497" s="2"/>
    </row>
    <row r="6498" spans="1:12" x14ac:dyDescent="0.2">
      <c r="A6498"/>
      <c r="B6498"/>
      <c r="C6498"/>
      <c r="D6498"/>
      <c r="E6498"/>
      <c r="F6498"/>
      <c r="G6498"/>
      <c r="H6498"/>
      <c r="I6498"/>
      <c r="J6498"/>
      <c r="K6498" s="1"/>
      <c r="L6498" s="2"/>
    </row>
    <row r="6499" spans="1:12" x14ac:dyDescent="0.2">
      <c r="A6499"/>
      <c r="B6499"/>
      <c r="C6499"/>
      <c r="D6499"/>
      <c r="E6499"/>
      <c r="F6499"/>
      <c r="G6499"/>
      <c r="H6499"/>
      <c r="I6499"/>
      <c r="J6499"/>
      <c r="K6499" s="1"/>
      <c r="L6499" s="2"/>
    </row>
    <row r="6500" spans="1:12" x14ac:dyDescent="0.2">
      <c r="A6500"/>
      <c r="B6500"/>
      <c r="C6500"/>
      <c r="D6500"/>
      <c r="E6500"/>
      <c r="F6500"/>
      <c r="G6500"/>
      <c r="H6500"/>
      <c r="I6500"/>
      <c r="J6500"/>
      <c r="K6500" s="1"/>
      <c r="L6500" s="2"/>
    </row>
    <row r="6501" spans="1:12" x14ac:dyDescent="0.2">
      <c r="A6501"/>
      <c r="B6501"/>
      <c r="C6501"/>
      <c r="D6501"/>
      <c r="E6501"/>
      <c r="F6501"/>
      <c r="G6501"/>
      <c r="H6501"/>
      <c r="I6501"/>
      <c r="J6501"/>
      <c r="K6501" s="1"/>
      <c r="L6501" s="2"/>
    </row>
    <row r="6502" spans="1:12" x14ac:dyDescent="0.2">
      <c r="A6502"/>
      <c r="B6502"/>
      <c r="C6502"/>
      <c r="D6502"/>
      <c r="E6502"/>
      <c r="F6502"/>
      <c r="G6502"/>
      <c r="H6502"/>
      <c r="I6502"/>
      <c r="J6502"/>
      <c r="K6502" s="1"/>
      <c r="L6502" s="2"/>
    </row>
    <row r="6503" spans="1:12" x14ac:dyDescent="0.2">
      <c r="A6503"/>
      <c r="B6503"/>
      <c r="C6503"/>
      <c r="D6503"/>
      <c r="E6503"/>
      <c r="F6503"/>
      <c r="G6503"/>
      <c r="H6503"/>
      <c r="I6503"/>
      <c r="J6503"/>
      <c r="K6503" s="1"/>
      <c r="L6503" s="2"/>
    </row>
    <row r="6504" spans="1:12" x14ac:dyDescent="0.2">
      <c r="A6504"/>
      <c r="B6504"/>
      <c r="C6504"/>
      <c r="D6504"/>
      <c r="E6504"/>
      <c r="F6504"/>
      <c r="G6504"/>
      <c r="H6504"/>
      <c r="I6504"/>
      <c r="J6504"/>
      <c r="K6504" s="1"/>
      <c r="L6504" s="2"/>
    </row>
    <row r="6505" spans="1:12" x14ac:dyDescent="0.2">
      <c r="A6505"/>
      <c r="B6505"/>
      <c r="C6505"/>
      <c r="D6505"/>
      <c r="E6505"/>
      <c r="F6505"/>
      <c r="G6505"/>
      <c r="H6505"/>
      <c r="I6505"/>
      <c r="J6505"/>
      <c r="K6505" s="1"/>
      <c r="L6505" s="2"/>
    </row>
    <row r="6506" spans="1:12" x14ac:dyDescent="0.2">
      <c r="A6506"/>
      <c r="B6506"/>
      <c r="C6506"/>
      <c r="D6506"/>
      <c r="E6506"/>
      <c r="F6506"/>
      <c r="G6506"/>
      <c r="H6506"/>
      <c r="I6506"/>
      <c r="J6506"/>
      <c r="K6506" s="1"/>
      <c r="L6506" s="2"/>
    </row>
    <row r="6507" spans="1:12" x14ac:dyDescent="0.2">
      <c r="A6507"/>
      <c r="B6507"/>
      <c r="C6507"/>
      <c r="D6507"/>
      <c r="E6507"/>
      <c r="F6507"/>
      <c r="G6507"/>
      <c r="H6507"/>
      <c r="I6507"/>
      <c r="J6507"/>
      <c r="K6507" s="1"/>
      <c r="L6507" s="2"/>
    </row>
    <row r="6508" spans="1:12" x14ac:dyDescent="0.2">
      <c r="A6508"/>
      <c r="B6508"/>
      <c r="C6508"/>
      <c r="D6508"/>
      <c r="E6508"/>
      <c r="F6508"/>
      <c r="G6508"/>
      <c r="H6508"/>
      <c r="I6508"/>
      <c r="J6508"/>
      <c r="K6508" s="1"/>
      <c r="L6508" s="2"/>
    </row>
    <row r="6509" spans="1:12" x14ac:dyDescent="0.2">
      <c r="A6509"/>
      <c r="B6509"/>
      <c r="C6509"/>
      <c r="D6509"/>
      <c r="E6509"/>
      <c r="F6509"/>
      <c r="G6509"/>
      <c r="H6509"/>
      <c r="I6509"/>
      <c r="J6509"/>
      <c r="K6509" s="1"/>
      <c r="L6509" s="2"/>
    </row>
    <row r="6510" spans="1:12" x14ac:dyDescent="0.2">
      <c r="A6510"/>
      <c r="B6510"/>
      <c r="C6510"/>
      <c r="D6510"/>
      <c r="E6510"/>
      <c r="F6510"/>
      <c r="G6510"/>
      <c r="H6510"/>
      <c r="I6510"/>
      <c r="J6510"/>
      <c r="K6510" s="1"/>
      <c r="L6510" s="2"/>
    </row>
    <row r="6511" spans="1:12" x14ac:dyDescent="0.2">
      <c r="A6511"/>
      <c r="B6511"/>
      <c r="C6511"/>
      <c r="D6511"/>
      <c r="E6511"/>
      <c r="F6511"/>
      <c r="G6511"/>
      <c r="H6511"/>
      <c r="I6511"/>
      <c r="J6511"/>
      <c r="K6511" s="1"/>
      <c r="L6511" s="2"/>
    </row>
    <row r="6512" spans="1:12" x14ac:dyDescent="0.2">
      <c r="A6512"/>
      <c r="B6512"/>
      <c r="C6512"/>
      <c r="D6512"/>
      <c r="E6512"/>
      <c r="F6512"/>
      <c r="G6512"/>
      <c r="H6512"/>
      <c r="I6512"/>
      <c r="J6512"/>
      <c r="K6512" s="1"/>
      <c r="L6512" s="2"/>
    </row>
    <row r="6513" spans="1:12" x14ac:dyDescent="0.2">
      <c r="A6513"/>
      <c r="B6513"/>
      <c r="C6513"/>
      <c r="D6513"/>
      <c r="E6513"/>
      <c r="F6513"/>
      <c r="G6513"/>
      <c r="H6513"/>
      <c r="I6513"/>
      <c r="J6513"/>
      <c r="K6513" s="1"/>
      <c r="L6513" s="2"/>
    </row>
    <row r="6514" spans="1:12" x14ac:dyDescent="0.2">
      <c r="A6514"/>
      <c r="B6514"/>
      <c r="C6514"/>
      <c r="D6514"/>
      <c r="E6514"/>
      <c r="F6514"/>
      <c r="G6514"/>
      <c r="H6514"/>
      <c r="I6514"/>
      <c r="J6514"/>
      <c r="K6514" s="1"/>
      <c r="L6514" s="2"/>
    </row>
    <row r="6515" spans="1:12" x14ac:dyDescent="0.2">
      <c r="A6515"/>
      <c r="B6515"/>
      <c r="C6515"/>
      <c r="D6515"/>
      <c r="E6515"/>
      <c r="F6515"/>
      <c r="G6515"/>
      <c r="H6515"/>
      <c r="I6515"/>
      <c r="J6515"/>
      <c r="K6515" s="1"/>
      <c r="L6515" s="2"/>
    </row>
    <row r="6516" spans="1:12" x14ac:dyDescent="0.2">
      <c r="A6516"/>
      <c r="B6516"/>
      <c r="C6516"/>
      <c r="D6516"/>
      <c r="E6516"/>
      <c r="F6516"/>
      <c r="G6516"/>
      <c r="H6516"/>
      <c r="I6516"/>
      <c r="J6516"/>
      <c r="K6516" s="1"/>
      <c r="L6516" s="2"/>
    </row>
    <row r="6517" spans="1:12" x14ac:dyDescent="0.2">
      <c r="A6517"/>
      <c r="B6517"/>
      <c r="C6517"/>
      <c r="D6517"/>
      <c r="E6517"/>
      <c r="F6517"/>
      <c r="G6517"/>
      <c r="H6517"/>
      <c r="I6517"/>
      <c r="J6517"/>
      <c r="K6517" s="1"/>
      <c r="L6517" s="2"/>
    </row>
    <row r="6518" spans="1:12" x14ac:dyDescent="0.2">
      <c r="A6518"/>
      <c r="B6518"/>
      <c r="C6518"/>
      <c r="D6518"/>
      <c r="E6518"/>
      <c r="F6518"/>
      <c r="G6518"/>
      <c r="H6518"/>
      <c r="I6518"/>
      <c r="J6518"/>
      <c r="K6518" s="1"/>
      <c r="L6518" s="2"/>
    </row>
    <row r="6519" spans="1:12" x14ac:dyDescent="0.2">
      <c r="A6519"/>
      <c r="B6519"/>
      <c r="C6519"/>
      <c r="D6519"/>
      <c r="E6519"/>
      <c r="F6519"/>
      <c r="G6519"/>
      <c r="H6519"/>
      <c r="I6519"/>
      <c r="J6519"/>
      <c r="K6519" s="1"/>
      <c r="L6519" s="2"/>
    </row>
    <row r="6520" spans="1:12" x14ac:dyDescent="0.2">
      <c r="A6520"/>
      <c r="B6520"/>
      <c r="C6520"/>
      <c r="D6520"/>
      <c r="E6520"/>
      <c r="F6520"/>
      <c r="G6520"/>
      <c r="H6520"/>
      <c r="I6520"/>
      <c r="J6520"/>
      <c r="K6520" s="1"/>
      <c r="L6520" s="2"/>
    </row>
    <row r="6521" spans="1:12" x14ac:dyDescent="0.2">
      <c r="A6521"/>
      <c r="B6521"/>
      <c r="C6521"/>
      <c r="D6521"/>
      <c r="E6521"/>
      <c r="F6521"/>
      <c r="G6521"/>
      <c r="H6521"/>
      <c r="I6521"/>
      <c r="J6521"/>
      <c r="K6521" s="1"/>
      <c r="L6521" s="2"/>
    </row>
    <row r="6522" spans="1:12" x14ac:dyDescent="0.2">
      <c r="A6522"/>
      <c r="B6522"/>
      <c r="C6522"/>
      <c r="D6522"/>
      <c r="E6522"/>
      <c r="F6522"/>
      <c r="G6522"/>
      <c r="H6522"/>
      <c r="I6522"/>
      <c r="J6522"/>
      <c r="K6522" s="1"/>
      <c r="L6522" s="2"/>
    </row>
    <row r="6523" spans="1:12" x14ac:dyDescent="0.2">
      <c r="A6523"/>
      <c r="B6523"/>
      <c r="C6523"/>
      <c r="D6523"/>
      <c r="E6523"/>
      <c r="F6523"/>
      <c r="G6523"/>
      <c r="H6523"/>
      <c r="I6523"/>
      <c r="J6523"/>
      <c r="K6523" s="1"/>
      <c r="L6523" s="2"/>
    </row>
    <row r="6524" spans="1:12" x14ac:dyDescent="0.2">
      <c r="A6524"/>
      <c r="B6524"/>
      <c r="C6524"/>
      <c r="D6524"/>
      <c r="E6524"/>
      <c r="F6524"/>
      <c r="G6524"/>
      <c r="H6524"/>
      <c r="I6524"/>
      <c r="J6524"/>
      <c r="K6524" s="1"/>
      <c r="L6524" s="2"/>
    </row>
    <row r="6525" spans="1:12" x14ac:dyDescent="0.2">
      <c r="A6525"/>
      <c r="B6525"/>
      <c r="C6525"/>
      <c r="D6525"/>
      <c r="E6525"/>
      <c r="F6525"/>
      <c r="G6525"/>
      <c r="H6525"/>
      <c r="I6525"/>
      <c r="J6525"/>
      <c r="K6525" s="1"/>
      <c r="L6525" s="2"/>
    </row>
    <row r="6526" spans="1:12" x14ac:dyDescent="0.2">
      <c r="A6526"/>
      <c r="B6526"/>
      <c r="C6526"/>
      <c r="D6526"/>
      <c r="E6526"/>
      <c r="F6526"/>
      <c r="G6526"/>
      <c r="H6526"/>
      <c r="I6526"/>
      <c r="J6526"/>
      <c r="K6526" s="1"/>
      <c r="L6526" s="2"/>
    </row>
    <row r="6527" spans="1:12" x14ac:dyDescent="0.2">
      <c r="A6527"/>
      <c r="B6527"/>
      <c r="C6527"/>
      <c r="D6527"/>
      <c r="E6527"/>
      <c r="F6527"/>
      <c r="G6527"/>
      <c r="H6527"/>
      <c r="I6527"/>
      <c r="J6527"/>
      <c r="K6527" s="1"/>
      <c r="L6527" s="2"/>
    </row>
    <row r="6528" spans="1:12" x14ac:dyDescent="0.2">
      <c r="A6528"/>
      <c r="B6528"/>
      <c r="C6528"/>
      <c r="D6528"/>
      <c r="E6528"/>
      <c r="F6528"/>
      <c r="G6528"/>
      <c r="H6528"/>
      <c r="I6528"/>
      <c r="J6528"/>
      <c r="K6528" s="1"/>
      <c r="L6528" s="2"/>
    </row>
    <row r="6529" spans="1:12" x14ac:dyDescent="0.2">
      <c r="A6529"/>
      <c r="B6529"/>
      <c r="C6529"/>
      <c r="D6529"/>
      <c r="E6529"/>
      <c r="F6529"/>
      <c r="G6529"/>
      <c r="H6529"/>
      <c r="I6529"/>
      <c r="J6529"/>
      <c r="K6529" s="1"/>
      <c r="L6529" s="2"/>
    </row>
    <row r="6530" spans="1:12" x14ac:dyDescent="0.2">
      <c r="A6530"/>
      <c r="B6530"/>
      <c r="C6530"/>
      <c r="D6530"/>
      <c r="E6530"/>
      <c r="F6530"/>
      <c r="G6530"/>
      <c r="H6530"/>
      <c r="I6530"/>
      <c r="J6530"/>
      <c r="K6530" s="1"/>
      <c r="L6530" s="2"/>
    </row>
    <row r="6531" spans="1:12" x14ac:dyDescent="0.2">
      <c r="A6531"/>
      <c r="B6531"/>
      <c r="C6531"/>
      <c r="D6531"/>
      <c r="E6531"/>
      <c r="F6531"/>
      <c r="G6531"/>
      <c r="H6531"/>
      <c r="I6531"/>
      <c r="J6531"/>
      <c r="K6531" s="1"/>
      <c r="L6531" s="2"/>
    </row>
    <row r="6532" spans="1:12" x14ac:dyDescent="0.2">
      <c r="A6532"/>
      <c r="B6532"/>
      <c r="C6532"/>
      <c r="D6532"/>
      <c r="E6532"/>
      <c r="F6532"/>
      <c r="G6532"/>
      <c r="H6532"/>
      <c r="I6532"/>
      <c r="J6532"/>
      <c r="K6532" s="1"/>
      <c r="L6532" s="2"/>
    </row>
    <row r="6533" spans="1:12" x14ac:dyDescent="0.2">
      <c r="A6533"/>
      <c r="B6533"/>
      <c r="C6533"/>
      <c r="D6533"/>
      <c r="E6533"/>
      <c r="F6533"/>
      <c r="G6533"/>
      <c r="H6533"/>
      <c r="I6533"/>
      <c r="J6533"/>
      <c r="K6533" s="1"/>
      <c r="L6533" s="2"/>
    </row>
    <row r="6534" spans="1:12" x14ac:dyDescent="0.2">
      <c r="A6534"/>
      <c r="B6534"/>
      <c r="C6534"/>
      <c r="D6534"/>
      <c r="E6534"/>
      <c r="F6534"/>
      <c r="G6534"/>
      <c r="H6534"/>
      <c r="I6534"/>
      <c r="J6534"/>
      <c r="K6534" s="1"/>
      <c r="L6534" s="2"/>
    </row>
    <row r="6535" spans="1:12" x14ac:dyDescent="0.2">
      <c r="A6535"/>
      <c r="B6535"/>
      <c r="C6535"/>
      <c r="D6535"/>
      <c r="E6535"/>
      <c r="F6535"/>
      <c r="G6535"/>
      <c r="H6535"/>
      <c r="I6535"/>
      <c r="J6535"/>
      <c r="K6535" s="1"/>
      <c r="L6535" s="2"/>
    </row>
    <row r="6536" spans="1:12" x14ac:dyDescent="0.2">
      <c r="A6536"/>
      <c r="B6536"/>
      <c r="C6536"/>
      <c r="D6536"/>
      <c r="E6536"/>
      <c r="F6536"/>
      <c r="G6536"/>
      <c r="H6536"/>
      <c r="I6536"/>
      <c r="J6536"/>
      <c r="K6536" s="1"/>
      <c r="L6536" s="2"/>
    </row>
    <row r="6537" spans="1:12" x14ac:dyDescent="0.2">
      <c r="A6537"/>
      <c r="B6537"/>
      <c r="C6537"/>
      <c r="D6537"/>
      <c r="E6537"/>
      <c r="F6537"/>
      <c r="G6537"/>
      <c r="H6537"/>
      <c r="I6537"/>
      <c r="J6537"/>
      <c r="K6537" s="1"/>
      <c r="L6537" s="2"/>
    </row>
    <row r="6538" spans="1:12" x14ac:dyDescent="0.2">
      <c r="A6538"/>
      <c r="B6538"/>
      <c r="C6538"/>
      <c r="D6538"/>
      <c r="E6538"/>
      <c r="F6538"/>
      <c r="G6538"/>
      <c r="H6538"/>
      <c r="I6538"/>
      <c r="J6538"/>
      <c r="K6538" s="1"/>
      <c r="L6538" s="2"/>
    </row>
    <row r="6539" spans="1:12" x14ac:dyDescent="0.2">
      <c r="A6539"/>
      <c r="B6539"/>
      <c r="C6539"/>
      <c r="D6539"/>
      <c r="E6539"/>
      <c r="F6539"/>
      <c r="G6539"/>
      <c r="H6539"/>
      <c r="I6539"/>
      <c r="J6539"/>
      <c r="K6539" s="1"/>
      <c r="L6539" s="2"/>
    </row>
    <row r="6540" spans="1:12" x14ac:dyDescent="0.2">
      <c r="A6540"/>
      <c r="B6540"/>
      <c r="C6540"/>
      <c r="D6540"/>
      <c r="E6540"/>
      <c r="F6540"/>
      <c r="G6540"/>
      <c r="H6540"/>
      <c r="I6540"/>
      <c r="J6540"/>
      <c r="K6540" s="1"/>
      <c r="L6540" s="2"/>
    </row>
    <row r="6541" spans="1:12" x14ac:dyDescent="0.2">
      <c r="A6541"/>
      <c r="B6541"/>
      <c r="C6541"/>
      <c r="D6541"/>
      <c r="E6541"/>
      <c r="F6541"/>
      <c r="G6541"/>
      <c r="H6541"/>
      <c r="I6541"/>
      <c r="J6541"/>
      <c r="K6541" s="1"/>
      <c r="L6541" s="2"/>
    </row>
    <row r="6542" spans="1:12" x14ac:dyDescent="0.2">
      <c r="A6542"/>
      <c r="B6542"/>
      <c r="C6542"/>
      <c r="D6542"/>
      <c r="E6542"/>
      <c r="F6542"/>
      <c r="G6542"/>
      <c r="H6542"/>
      <c r="I6542"/>
      <c r="J6542"/>
      <c r="K6542" s="1"/>
      <c r="L6542" s="2"/>
    </row>
    <row r="6543" spans="1:12" x14ac:dyDescent="0.2">
      <c r="A6543"/>
      <c r="B6543"/>
      <c r="C6543"/>
      <c r="D6543"/>
      <c r="E6543"/>
      <c r="F6543"/>
      <c r="G6543"/>
      <c r="H6543"/>
      <c r="I6543"/>
      <c r="J6543"/>
      <c r="K6543" s="1"/>
      <c r="L6543" s="2"/>
    </row>
    <row r="6544" spans="1:12" x14ac:dyDescent="0.2">
      <c r="A6544"/>
      <c r="B6544"/>
      <c r="C6544"/>
      <c r="D6544"/>
      <c r="E6544"/>
      <c r="F6544"/>
      <c r="G6544"/>
      <c r="H6544"/>
      <c r="I6544"/>
      <c r="J6544"/>
      <c r="K6544" s="1"/>
      <c r="L6544" s="2"/>
    </row>
    <row r="6545" spans="1:12" x14ac:dyDescent="0.2">
      <c r="A6545"/>
      <c r="B6545"/>
      <c r="C6545"/>
      <c r="D6545"/>
      <c r="E6545"/>
      <c r="F6545"/>
      <c r="G6545"/>
      <c r="H6545"/>
      <c r="I6545"/>
      <c r="J6545"/>
      <c r="K6545" s="1"/>
      <c r="L6545" s="2"/>
    </row>
    <row r="6546" spans="1:12" x14ac:dyDescent="0.2">
      <c r="A6546"/>
      <c r="B6546"/>
      <c r="C6546"/>
      <c r="D6546"/>
      <c r="E6546"/>
      <c r="F6546"/>
      <c r="G6546"/>
      <c r="H6546"/>
      <c r="I6546"/>
      <c r="J6546"/>
      <c r="K6546" s="1"/>
      <c r="L6546" s="2"/>
    </row>
    <row r="6547" spans="1:12" x14ac:dyDescent="0.2">
      <c r="A6547"/>
      <c r="B6547"/>
      <c r="C6547"/>
      <c r="D6547"/>
      <c r="E6547"/>
      <c r="F6547"/>
      <c r="G6547"/>
      <c r="H6547"/>
      <c r="I6547"/>
      <c r="J6547"/>
      <c r="K6547" s="1"/>
      <c r="L6547" s="2"/>
    </row>
    <row r="6548" spans="1:12" x14ac:dyDescent="0.2">
      <c r="A6548"/>
      <c r="B6548"/>
      <c r="C6548"/>
      <c r="D6548"/>
      <c r="E6548"/>
      <c r="F6548"/>
      <c r="G6548"/>
      <c r="H6548"/>
      <c r="I6548"/>
      <c r="J6548"/>
      <c r="K6548" s="1"/>
      <c r="L6548" s="2"/>
    </row>
    <row r="6549" spans="1:12" x14ac:dyDescent="0.2">
      <c r="A6549"/>
      <c r="B6549"/>
      <c r="C6549"/>
      <c r="D6549"/>
      <c r="E6549"/>
      <c r="F6549"/>
      <c r="G6549"/>
      <c r="H6549"/>
      <c r="I6549"/>
      <c r="J6549"/>
      <c r="K6549" s="1"/>
      <c r="L6549" s="2"/>
    </row>
    <row r="6550" spans="1:12" x14ac:dyDescent="0.2">
      <c r="A6550"/>
      <c r="B6550"/>
      <c r="C6550"/>
      <c r="D6550"/>
      <c r="E6550"/>
      <c r="F6550"/>
      <c r="G6550"/>
      <c r="H6550"/>
      <c r="I6550"/>
      <c r="J6550"/>
      <c r="K6550" s="1"/>
      <c r="L6550" s="2"/>
    </row>
    <row r="6551" spans="1:12" x14ac:dyDescent="0.2">
      <c r="A6551"/>
      <c r="B6551"/>
      <c r="C6551"/>
      <c r="D6551"/>
      <c r="E6551"/>
      <c r="F6551"/>
      <c r="G6551"/>
      <c r="H6551"/>
      <c r="I6551"/>
      <c r="J6551"/>
      <c r="K6551" s="1"/>
      <c r="L6551" s="2"/>
    </row>
    <row r="6552" spans="1:12" x14ac:dyDescent="0.2">
      <c r="A6552"/>
      <c r="B6552"/>
      <c r="C6552"/>
      <c r="D6552"/>
      <c r="E6552"/>
      <c r="F6552"/>
      <c r="G6552"/>
      <c r="H6552"/>
      <c r="I6552"/>
      <c r="J6552"/>
      <c r="K6552" s="1"/>
      <c r="L6552" s="2"/>
    </row>
    <row r="6553" spans="1:12" x14ac:dyDescent="0.2">
      <c r="A6553"/>
      <c r="B6553"/>
      <c r="C6553"/>
      <c r="D6553"/>
      <c r="E6553"/>
      <c r="F6553"/>
      <c r="G6553"/>
      <c r="H6553"/>
      <c r="I6553"/>
      <c r="J6553"/>
      <c r="K6553" s="1"/>
      <c r="L6553" s="2"/>
    </row>
    <row r="6554" spans="1:12" x14ac:dyDescent="0.2">
      <c r="A6554"/>
      <c r="B6554"/>
      <c r="C6554"/>
      <c r="D6554"/>
      <c r="E6554"/>
      <c r="F6554"/>
      <c r="G6554"/>
      <c r="H6554"/>
      <c r="I6554"/>
      <c r="J6554"/>
      <c r="K6554" s="1"/>
      <c r="L6554" s="2"/>
    </row>
    <row r="6555" spans="1:12" x14ac:dyDescent="0.2">
      <c r="A6555"/>
      <c r="B6555"/>
      <c r="C6555"/>
      <c r="D6555"/>
      <c r="E6555"/>
      <c r="F6555"/>
      <c r="G6555"/>
      <c r="H6555"/>
      <c r="I6555"/>
      <c r="J6555"/>
      <c r="K6555" s="1"/>
      <c r="L6555" s="2"/>
    </row>
    <row r="6556" spans="1:12" x14ac:dyDescent="0.2">
      <c r="A6556"/>
      <c r="B6556"/>
      <c r="C6556"/>
      <c r="D6556"/>
      <c r="E6556"/>
      <c r="F6556"/>
      <c r="G6556"/>
      <c r="H6556"/>
      <c r="I6556"/>
      <c r="J6556"/>
      <c r="K6556" s="1"/>
      <c r="L6556" s="2"/>
    </row>
    <row r="6557" spans="1:12" x14ac:dyDescent="0.2">
      <c r="A6557"/>
      <c r="B6557"/>
      <c r="C6557"/>
      <c r="D6557"/>
      <c r="E6557"/>
      <c r="F6557"/>
      <c r="G6557"/>
      <c r="H6557"/>
      <c r="I6557"/>
      <c r="J6557"/>
      <c r="K6557" s="1"/>
      <c r="L6557" s="2"/>
    </row>
    <row r="6558" spans="1:12" x14ac:dyDescent="0.2">
      <c r="A6558"/>
      <c r="B6558"/>
      <c r="C6558"/>
      <c r="D6558"/>
      <c r="E6558"/>
      <c r="F6558"/>
      <c r="G6558"/>
      <c r="H6558"/>
      <c r="I6558"/>
      <c r="J6558"/>
      <c r="K6558" s="1"/>
      <c r="L6558" s="2"/>
    </row>
    <row r="6559" spans="1:12" x14ac:dyDescent="0.2">
      <c r="A6559"/>
      <c r="B6559"/>
      <c r="C6559"/>
      <c r="D6559"/>
      <c r="E6559"/>
      <c r="F6559"/>
      <c r="G6559"/>
      <c r="H6559"/>
      <c r="I6559"/>
      <c r="J6559"/>
      <c r="K6559" s="1"/>
      <c r="L6559" s="2"/>
    </row>
    <row r="6560" spans="1:12" x14ac:dyDescent="0.2">
      <c r="A6560"/>
      <c r="B6560"/>
      <c r="C6560"/>
      <c r="D6560"/>
      <c r="E6560"/>
      <c r="F6560"/>
      <c r="G6560"/>
      <c r="H6560"/>
      <c r="I6560"/>
      <c r="J6560"/>
      <c r="K6560" s="1"/>
      <c r="L6560" s="2"/>
    </row>
    <row r="6561" spans="1:12" x14ac:dyDescent="0.2">
      <c r="A6561"/>
      <c r="B6561"/>
      <c r="C6561"/>
      <c r="D6561"/>
      <c r="E6561"/>
      <c r="F6561"/>
      <c r="G6561"/>
      <c r="H6561"/>
      <c r="I6561"/>
      <c r="J6561"/>
      <c r="K6561" s="1"/>
      <c r="L6561" s="2"/>
    </row>
    <row r="6562" spans="1:12" x14ac:dyDescent="0.2">
      <c r="A6562"/>
      <c r="B6562"/>
      <c r="C6562"/>
      <c r="D6562"/>
      <c r="E6562"/>
      <c r="F6562"/>
      <c r="G6562"/>
      <c r="H6562"/>
      <c r="I6562"/>
      <c r="J6562"/>
      <c r="K6562" s="1"/>
      <c r="L6562" s="2"/>
    </row>
    <row r="6563" spans="1:12" x14ac:dyDescent="0.2">
      <c r="A6563"/>
      <c r="B6563"/>
      <c r="C6563"/>
      <c r="D6563"/>
      <c r="E6563"/>
      <c r="F6563"/>
      <c r="G6563"/>
      <c r="H6563"/>
      <c r="I6563"/>
      <c r="J6563"/>
      <c r="K6563" s="1"/>
      <c r="L6563" s="2"/>
    </row>
    <row r="6564" spans="1:12" x14ac:dyDescent="0.2">
      <c r="A6564"/>
      <c r="B6564"/>
      <c r="C6564"/>
      <c r="D6564"/>
      <c r="E6564"/>
      <c r="F6564"/>
      <c r="G6564"/>
      <c r="H6564"/>
      <c r="I6564"/>
      <c r="J6564"/>
      <c r="K6564" s="1"/>
      <c r="L6564" s="2"/>
    </row>
    <row r="6565" spans="1:12" x14ac:dyDescent="0.2">
      <c r="A6565"/>
      <c r="B6565"/>
      <c r="C6565"/>
      <c r="D6565"/>
      <c r="E6565"/>
      <c r="F6565"/>
      <c r="G6565"/>
      <c r="H6565"/>
      <c r="I6565"/>
      <c r="J6565"/>
      <c r="K6565" s="1"/>
      <c r="L6565" s="2"/>
    </row>
    <row r="6566" spans="1:12" x14ac:dyDescent="0.2">
      <c r="A6566"/>
      <c r="B6566"/>
      <c r="C6566"/>
      <c r="D6566"/>
      <c r="E6566"/>
      <c r="F6566"/>
      <c r="G6566"/>
      <c r="H6566"/>
      <c r="I6566"/>
      <c r="J6566"/>
      <c r="K6566" s="1"/>
      <c r="L6566" s="2"/>
    </row>
    <row r="6567" spans="1:12" x14ac:dyDescent="0.2">
      <c r="A6567"/>
      <c r="B6567"/>
      <c r="C6567"/>
      <c r="D6567"/>
      <c r="E6567"/>
      <c r="F6567"/>
      <c r="G6567"/>
      <c r="H6567"/>
      <c r="I6567"/>
      <c r="J6567"/>
      <c r="K6567" s="1"/>
      <c r="L6567" s="2"/>
    </row>
    <row r="6568" spans="1:12" x14ac:dyDescent="0.2">
      <c r="A6568"/>
      <c r="B6568"/>
      <c r="C6568"/>
      <c r="D6568"/>
      <c r="E6568"/>
      <c r="F6568"/>
      <c r="G6568"/>
      <c r="H6568"/>
      <c r="I6568"/>
      <c r="J6568"/>
      <c r="K6568" s="1"/>
      <c r="L6568" s="2"/>
    </row>
    <row r="6569" spans="1:12" x14ac:dyDescent="0.2">
      <c r="A6569"/>
      <c r="B6569"/>
      <c r="C6569"/>
      <c r="D6569"/>
      <c r="E6569"/>
      <c r="F6569"/>
      <c r="G6569"/>
      <c r="H6569"/>
      <c r="I6569"/>
      <c r="J6569"/>
      <c r="K6569" s="1"/>
      <c r="L6569" s="2"/>
    </row>
    <row r="6570" spans="1:12" x14ac:dyDescent="0.2">
      <c r="A6570"/>
      <c r="B6570"/>
      <c r="C6570"/>
      <c r="D6570"/>
      <c r="E6570"/>
      <c r="F6570"/>
      <c r="G6570"/>
      <c r="H6570"/>
      <c r="I6570"/>
      <c r="J6570"/>
      <c r="K6570" s="1"/>
      <c r="L6570" s="2"/>
    </row>
    <row r="6571" spans="1:12" x14ac:dyDescent="0.2">
      <c r="A6571"/>
      <c r="B6571"/>
      <c r="C6571"/>
      <c r="D6571"/>
      <c r="E6571"/>
      <c r="F6571"/>
      <c r="G6571"/>
      <c r="H6571"/>
      <c r="I6571"/>
      <c r="J6571"/>
      <c r="K6571" s="1"/>
      <c r="L6571" s="2"/>
    </row>
    <row r="6572" spans="1:12" x14ac:dyDescent="0.2">
      <c r="A6572"/>
      <c r="B6572"/>
      <c r="C6572"/>
      <c r="D6572"/>
      <c r="E6572"/>
      <c r="F6572"/>
      <c r="G6572"/>
      <c r="H6572"/>
      <c r="I6572"/>
      <c r="J6572"/>
      <c r="K6572" s="1"/>
      <c r="L6572" s="2"/>
    </row>
    <row r="6573" spans="1:12" x14ac:dyDescent="0.2">
      <c r="A6573"/>
      <c r="B6573"/>
      <c r="C6573"/>
      <c r="D6573"/>
      <c r="E6573"/>
      <c r="F6573"/>
      <c r="G6573"/>
      <c r="H6573"/>
      <c r="I6573"/>
      <c r="J6573"/>
      <c r="K6573" s="1"/>
      <c r="L6573" s="2"/>
    </row>
    <row r="6574" spans="1:12" x14ac:dyDescent="0.2">
      <c r="A6574"/>
      <c r="B6574"/>
      <c r="C6574"/>
      <c r="D6574"/>
      <c r="E6574"/>
      <c r="F6574"/>
      <c r="G6574"/>
      <c r="H6574"/>
      <c r="I6574"/>
      <c r="J6574"/>
      <c r="K6574" s="1"/>
      <c r="L6574" s="2"/>
    </row>
    <row r="6575" spans="1:12" x14ac:dyDescent="0.2">
      <c r="A6575"/>
      <c r="B6575"/>
      <c r="C6575"/>
      <c r="D6575"/>
      <c r="E6575"/>
      <c r="F6575"/>
      <c r="G6575"/>
      <c r="H6575"/>
      <c r="I6575"/>
      <c r="J6575"/>
      <c r="K6575" s="1"/>
      <c r="L6575" s="2"/>
    </row>
    <row r="6576" spans="1:12" x14ac:dyDescent="0.2">
      <c r="A6576"/>
      <c r="B6576"/>
      <c r="C6576"/>
      <c r="D6576"/>
      <c r="E6576"/>
      <c r="F6576"/>
      <c r="G6576"/>
      <c r="H6576"/>
      <c r="I6576"/>
      <c r="J6576"/>
      <c r="K6576" s="1"/>
      <c r="L6576" s="2"/>
    </row>
    <row r="6577" spans="1:12" x14ac:dyDescent="0.2">
      <c r="A6577"/>
      <c r="B6577"/>
      <c r="C6577"/>
      <c r="D6577"/>
      <c r="E6577"/>
      <c r="F6577"/>
      <c r="G6577"/>
      <c r="H6577"/>
      <c r="I6577"/>
      <c r="J6577"/>
      <c r="K6577" s="1"/>
      <c r="L6577" s="2"/>
    </row>
    <row r="6578" spans="1:12" x14ac:dyDescent="0.2">
      <c r="A6578"/>
      <c r="B6578"/>
      <c r="C6578"/>
      <c r="D6578"/>
      <c r="E6578"/>
      <c r="F6578"/>
      <c r="G6578"/>
      <c r="H6578"/>
      <c r="I6578"/>
      <c r="J6578"/>
      <c r="K6578" s="1"/>
      <c r="L6578" s="2"/>
    </row>
    <row r="6579" spans="1:12" x14ac:dyDescent="0.2">
      <c r="A6579"/>
      <c r="B6579"/>
      <c r="C6579"/>
      <c r="D6579"/>
      <c r="E6579"/>
      <c r="F6579"/>
      <c r="G6579"/>
      <c r="H6579"/>
      <c r="I6579"/>
      <c r="J6579"/>
      <c r="K6579" s="1"/>
      <c r="L6579" s="2"/>
    </row>
    <row r="6580" spans="1:12" x14ac:dyDescent="0.2">
      <c r="A6580"/>
      <c r="B6580"/>
      <c r="C6580"/>
      <c r="D6580"/>
      <c r="E6580"/>
      <c r="F6580"/>
      <c r="G6580"/>
      <c r="H6580"/>
      <c r="I6580"/>
      <c r="J6580"/>
      <c r="K6580" s="1"/>
      <c r="L6580" s="2"/>
    </row>
    <row r="6581" spans="1:12" x14ac:dyDescent="0.2">
      <c r="A6581"/>
      <c r="B6581"/>
      <c r="C6581"/>
      <c r="D6581"/>
      <c r="E6581"/>
      <c r="F6581"/>
      <c r="G6581"/>
      <c r="H6581"/>
      <c r="I6581"/>
      <c r="J6581"/>
      <c r="K6581" s="1"/>
      <c r="L6581" s="2"/>
    </row>
    <row r="6582" spans="1:12" x14ac:dyDescent="0.2">
      <c r="A6582"/>
      <c r="B6582"/>
      <c r="C6582"/>
      <c r="D6582"/>
      <c r="E6582"/>
      <c r="F6582"/>
      <c r="G6582"/>
      <c r="H6582"/>
      <c r="I6582"/>
      <c r="J6582"/>
      <c r="K6582" s="1"/>
      <c r="L6582" s="2"/>
    </row>
    <row r="6583" spans="1:12" x14ac:dyDescent="0.2">
      <c r="A6583"/>
      <c r="B6583"/>
      <c r="C6583"/>
      <c r="D6583"/>
      <c r="E6583"/>
      <c r="F6583"/>
      <c r="G6583"/>
      <c r="H6583"/>
      <c r="I6583"/>
      <c r="J6583"/>
      <c r="K6583" s="1"/>
      <c r="L6583" s="2"/>
    </row>
    <row r="6584" spans="1:12" x14ac:dyDescent="0.2">
      <c r="A6584"/>
      <c r="B6584"/>
      <c r="C6584"/>
      <c r="D6584"/>
      <c r="E6584"/>
      <c r="F6584"/>
      <c r="G6584"/>
      <c r="H6584"/>
      <c r="I6584"/>
      <c r="J6584"/>
      <c r="K6584" s="1"/>
      <c r="L6584" s="2"/>
    </row>
    <row r="6585" spans="1:12" x14ac:dyDescent="0.2">
      <c r="A6585"/>
      <c r="B6585"/>
      <c r="C6585"/>
      <c r="D6585"/>
      <c r="E6585"/>
      <c r="F6585"/>
      <c r="G6585"/>
      <c r="H6585"/>
      <c r="I6585"/>
      <c r="J6585"/>
      <c r="K6585" s="1"/>
      <c r="L6585" s="2"/>
    </row>
    <row r="6586" spans="1:12" x14ac:dyDescent="0.2">
      <c r="A6586"/>
      <c r="B6586"/>
      <c r="C6586"/>
      <c r="D6586"/>
      <c r="E6586"/>
      <c r="F6586"/>
      <c r="G6586"/>
      <c r="H6586"/>
      <c r="I6586"/>
      <c r="J6586"/>
      <c r="K6586" s="1"/>
      <c r="L6586" s="2"/>
    </row>
    <row r="6587" spans="1:12" x14ac:dyDescent="0.2">
      <c r="A6587"/>
      <c r="B6587"/>
      <c r="C6587"/>
      <c r="D6587"/>
      <c r="E6587"/>
      <c r="F6587"/>
      <c r="G6587"/>
      <c r="H6587"/>
      <c r="I6587"/>
      <c r="J6587"/>
      <c r="K6587" s="1"/>
      <c r="L6587" s="2"/>
    </row>
    <row r="6588" spans="1:12" x14ac:dyDescent="0.2">
      <c r="A6588"/>
      <c r="B6588"/>
      <c r="C6588"/>
      <c r="D6588"/>
      <c r="E6588"/>
      <c r="F6588"/>
      <c r="G6588"/>
      <c r="H6588"/>
      <c r="I6588"/>
      <c r="J6588"/>
      <c r="K6588" s="1"/>
      <c r="L6588" s="2"/>
    </row>
    <row r="6589" spans="1:12" x14ac:dyDescent="0.2">
      <c r="A6589"/>
      <c r="B6589"/>
      <c r="C6589"/>
      <c r="D6589"/>
      <c r="E6589"/>
      <c r="F6589"/>
      <c r="G6589"/>
      <c r="H6589"/>
      <c r="I6589"/>
      <c r="J6589"/>
      <c r="K6589" s="1"/>
      <c r="L6589" s="2"/>
    </row>
    <row r="6590" spans="1:12" x14ac:dyDescent="0.2">
      <c r="A6590"/>
      <c r="B6590"/>
      <c r="C6590"/>
      <c r="D6590"/>
      <c r="E6590"/>
      <c r="F6590"/>
      <c r="G6590"/>
      <c r="H6590"/>
      <c r="I6590"/>
      <c r="J6590"/>
      <c r="K6590" s="1"/>
      <c r="L6590" s="2"/>
    </row>
    <row r="6591" spans="1:12" x14ac:dyDescent="0.2">
      <c r="A6591"/>
      <c r="B6591"/>
      <c r="C6591"/>
      <c r="D6591"/>
      <c r="E6591"/>
      <c r="F6591"/>
      <c r="G6591"/>
      <c r="H6591"/>
      <c r="I6591"/>
      <c r="J6591"/>
      <c r="K6591" s="1"/>
      <c r="L6591" s="2"/>
    </row>
    <row r="6592" spans="1:12" x14ac:dyDescent="0.2">
      <c r="A6592"/>
      <c r="B6592"/>
      <c r="C6592"/>
      <c r="D6592"/>
      <c r="E6592"/>
      <c r="F6592"/>
      <c r="G6592"/>
      <c r="H6592"/>
      <c r="I6592"/>
      <c r="J6592"/>
      <c r="K6592" s="1"/>
      <c r="L6592" s="2"/>
    </row>
    <row r="6593" spans="1:12" x14ac:dyDescent="0.2">
      <c r="A6593"/>
      <c r="B6593"/>
      <c r="C6593"/>
      <c r="D6593"/>
      <c r="E6593"/>
      <c r="F6593"/>
      <c r="G6593"/>
      <c r="H6593"/>
      <c r="I6593"/>
      <c r="J6593"/>
      <c r="K6593" s="1"/>
      <c r="L6593" s="2"/>
    </row>
    <row r="6594" spans="1:12" x14ac:dyDescent="0.2">
      <c r="A6594"/>
      <c r="B6594"/>
      <c r="C6594"/>
      <c r="D6594"/>
      <c r="E6594"/>
      <c r="F6594"/>
      <c r="G6594"/>
      <c r="H6594"/>
      <c r="I6594"/>
      <c r="J6594"/>
      <c r="K6594" s="1"/>
      <c r="L6594" s="2"/>
    </row>
    <row r="6595" spans="1:12" x14ac:dyDescent="0.2">
      <c r="A6595"/>
      <c r="B6595"/>
      <c r="C6595"/>
      <c r="D6595"/>
      <c r="E6595"/>
      <c r="F6595"/>
      <c r="G6595"/>
      <c r="H6595"/>
      <c r="I6595"/>
      <c r="J6595"/>
      <c r="K6595" s="1"/>
      <c r="L6595" s="2"/>
    </row>
    <row r="6596" spans="1:12" x14ac:dyDescent="0.2">
      <c r="A6596"/>
      <c r="B6596"/>
      <c r="C6596"/>
      <c r="D6596"/>
      <c r="E6596"/>
      <c r="F6596"/>
      <c r="G6596"/>
      <c r="H6596"/>
      <c r="I6596"/>
      <c r="J6596"/>
      <c r="K6596" s="1"/>
      <c r="L6596" s="2"/>
    </row>
    <row r="6597" spans="1:12" x14ac:dyDescent="0.2">
      <c r="A6597"/>
      <c r="B6597"/>
      <c r="C6597"/>
      <c r="D6597"/>
      <c r="E6597"/>
      <c r="F6597"/>
      <c r="G6597"/>
      <c r="H6597"/>
      <c r="I6597"/>
      <c r="J6597"/>
      <c r="K6597" s="1"/>
      <c r="L6597" s="2"/>
    </row>
    <row r="6598" spans="1:12" x14ac:dyDescent="0.2">
      <c r="A6598"/>
      <c r="B6598"/>
      <c r="C6598"/>
      <c r="D6598"/>
      <c r="E6598"/>
      <c r="F6598"/>
      <c r="G6598"/>
      <c r="H6598"/>
      <c r="I6598"/>
      <c r="J6598"/>
      <c r="K6598" s="1"/>
      <c r="L6598" s="2"/>
    </row>
    <row r="6599" spans="1:12" x14ac:dyDescent="0.2">
      <c r="A6599"/>
      <c r="B6599"/>
      <c r="C6599"/>
      <c r="D6599"/>
      <c r="E6599"/>
      <c r="F6599"/>
      <c r="G6599"/>
      <c r="H6599"/>
      <c r="I6599"/>
      <c r="J6599"/>
      <c r="K6599" s="1"/>
      <c r="L6599" s="2"/>
    </row>
    <row r="6600" spans="1:12" x14ac:dyDescent="0.2">
      <c r="A6600"/>
      <c r="B6600"/>
      <c r="C6600"/>
      <c r="D6600"/>
      <c r="E6600"/>
      <c r="F6600"/>
      <c r="G6600"/>
      <c r="H6600"/>
      <c r="I6600"/>
      <c r="J6600"/>
      <c r="K6600" s="1"/>
      <c r="L6600" s="2"/>
    </row>
    <row r="6601" spans="1:12" x14ac:dyDescent="0.2">
      <c r="A6601"/>
      <c r="B6601"/>
      <c r="C6601"/>
      <c r="D6601"/>
      <c r="E6601"/>
      <c r="F6601"/>
      <c r="G6601"/>
      <c r="H6601"/>
      <c r="I6601"/>
      <c r="J6601"/>
      <c r="K6601" s="1"/>
      <c r="L6601" s="2"/>
    </row>
    <row r="6602" spans="1:12" x14ac:dyDescent="0.2">
      <c r="A6602"/>
      <c r="B6602"/>
      <c r="C6602"/>
      <c r="D6602"/>
      <c r="E6602"/>
      <c r="F6602"/>
      <c r="G6602"/>
      <c r="H6602"/>
      <c r="I6602"/>
      <c r="J6602"/>
      <c r="K6602" s="1"/>
      <c r="L6602" s="2"/>
    </row>
    <row r="6603" spans="1:12" x14ac:dyDescent="0.2">
      <c r="A6603"/>
      <c r="B6603"/>
      <c r="C6603"/>
      <c r="D6603"/>
      <c r="E6603"/>
      <c r="F6603"/>
      <c r="G6603"/>
      <c r="H6603"/>
      <c r="I6603"/>
      <c r="J6603"/>
      <c r="K6603" s="1"/>
      <c r="L6603" s="2"/>
    </row>
    <row r="6604" spans="1:12" x14ac:dyDescent="0.2">
      <c r="A6604"/>
      <c r="B6604"/>
      <c r="C6604"/>
      <c r="D6604"/>
      <c r="E6604"/>
      <c r="F6604"/>
      <c r="G6604"/>
      <c r="H6604"/>
      <c r="I6604"/>
      <c r="J6604"/>
      <c r="K6604" s="1"/>
      <c r="L6604" s="2"/>
    </row>
    <row r="6605" spans="1:12" x14ac:dyDescent="0.2">
      <c r="A6605"/>
      <c r="B6605"/>
      <c r="C6605"/>
      <c r="D6605"/>
      <c r="E6605"/>
      <c r="F6605"/>
      <c r="G6605"/>
      <c r="H6605"/>
      <c r="I6605"/>
      <c r="J6605"/>
      <c r="K6605" s="1"/>
      <c r="L6605" s="2"/>
    </row>
    <row r="6606" spans="1:12" x14ac:dyDescent="0.2">
      <c r="A6606"/>
      <c r="B6606"/>
      <c r="C6606"/>
      <c r="D6606"/>
      <c r="E6606"/>
      <c r="F6606"/>
      <c r="G6606"/>
      <c r="H6606"/>
      <c r="I6606"/>
      <c r="J6606"/>
      <c r="K6606" s="1"/>
      <c r="L6606" s="2"/>
    </row>
    <row r="6607" spans="1:12" x14ac:dyDescent="0.2">
      <c r="A6607"/>
      <c r="B6607"/>
      <c r="C6607"/>
      <c r="D6607"/>
      <c r="E6607"/>
      <c r="F6607"/>
      <c r="G6607"/>
      <c r="H6607"/>
      <c r="I6607"/>
      <c r="J6607"/>
      <c r="K6607" s="1"/>
      <c r="L6607" s="2"/>
    </row>
    <row r="6608" spans="1:12" x14ac:dyDescent="0.2">
      <c r="A6608"/>
      <c r="B6608"/>
      <c r="C6608"/>
      <c r="D6608"/>
      <c r="E6608"/>
      <c r="F6608"/>
      <c r="G6608"/>
      <c r="H6608"/>
      <c r="I6608"/>
      <c r="J6608"/>
      <c r="K6608" s="1"/>
      <c r="L6608" s="2"/>
    </row>
    <row r="6609" spans="1:12" x14ac:dyDescent="0.2">
      <c r="A6609"/>
      <c r="B6609"/>
      <c r="C6609"/>
      <c r="D6609"/>
      <c r="E6609"/>
      <c r="F6609"/>
      <c r="G6609"/>
      <c r="H6609"/>
      <c r="I6609"/>
      <c r="J6609"/>
      <c r="K6609" s="1"/>
      <c r="L6609" s="2"/>
    </row>
    <row r="6610" spans="1:12" x14ac:dyDescent="0.2">
      <c r="A6610"/>
      <c r="B6610"/>
      <c r="C6610"/>
      <c r="D6610"/>
      <c r="E6610"/>
      <c r="F6610"/>
      <c r="G6610"/>
      <c r="H6610"/>
      <c r="I6610"/>
      <c r="J6610"/>
      <c r="K6610" s="1"/>
      <c r="L6610" s="2"/>
    </row>
    <row r="6611" spans="1:12" x14ac:dyDescent="0.2">
      <c r="A6611"/>
      <c r="B6611"/>
      <c r="C6611"/>
      <c r="D6611"/>
      <c r="E6611"/>
      <c r="F6611"/>
      <c r="G6611"/>
      <c r="H6611"/>
      <c r="I6611"/>
      <c r="J6611"/>
      <c r="K6611" s="1"/>
      <c r="L6611" s="2"/>
    </row>
    <row r="6612" spans="1:12" x14ac:dyDescent="0.2">
      <c r="A6612"/>
      <c r="B6612"/>
      <c r="C6612"/>
      <c r="D6612"/>
      <c r="E6612"/>
      <c r="F6612"/>
      <c r="G6612"/>
      <c r="H6612"/>
      <c r="I6612"/>
      <c r="J6612"/>
      <c r="K6612" s="1"/>
      <c r="L6612" s="2"/>
    </row>
    <row r="6613" spans="1:12" x14ac:dyDescent="0.2">
      <c r="A6613"/>
      <c r="B6613"/>
      <c r="C6613"/>
      <c r="D6613"/>
      <c r="E6613"/>
      <c r="F6613"/>
      <c r="G6613"/>
      <c r="H6613"/>
      <c r="I6613"/>
      <c r="J6613"/>
      <c r="K6613" s="1"/>
      <c r="L6613" s="2"/>
    </row>
    <row r="6614" spans="1:12" x14ac:dyDescent="0.2">
      <c r="A6614"/>
      <c r="B6614"/>
      <c r="C6614"/>
      <c r="D6614"/>
      <c r="E6614"/>
      <c r="F6614"/>
      <c r="G6614"/>
      <c r="H6614"/>
      <c r="I6614"/>
      <c r="J6614"/>
      <c r="K6614" s="1"/>
      <c r="L6614" s="2"/>
    </row>
    <row r="6615" spans="1:12" x14ac:dyDescent="0.2">
      <c r="A6615"/>
      <c r="B6615"/>
      <c r="C6615"/>
      <c r="D6615"/>
      <c r="E6615"/>
      <c r="F6615"/>
      <c r="G6615"/>
      <c r="H6615"/>
      <c r="I6615"/>
      <c r="J6615"/>
      <c r="K6615" s="1"/>
      <c r="L6615" s="2"/>
    </row>
    <row r="6616" spans="1:12" x14ac:dyDescent="0.2">
      <c r="A6616"/>
      <c r="B6616"/>
      <c r="C6616"/>
      <c r="D6616"/>
      <c r="E6616"/>
      <c r="F6616"/>
      <c r="G6616"/>
      <c r="H6616"/>
      <c r="I6616"/>
      <c r="J6616"/>
      <c r="K6616" s="1"/>
      <c r="L6616" s="2"/>
    </row>
    <row r="6617" spans="1:12" x14ac:dyDescent="0.2">
      <c r="A6617"/>
      <c r="B6617"/>
      <c r="C6617"/>
      <c r="D6617"/>
      <c r="E6617"/>
      <c r="F6617"/>
      <c r="G6617"/>
      <c r="H6617"/>
      <c r="I6617"/>
      <c r="J6617"/>
      <c r="K6617" s="1"/>
      <c r="L6617" s="2"/>
    </row>
    <row r="6618" spans="1:12" x14ac:dyDescent="0.2">
      <c r="A6618"/>
      <c r="B6618"/>
      <c r="C6618"/>
      <c r="D6618"/>
      <c r="E6618"/>
      <c r="F6618"/>
      <c r="G6618"/>
      <c r="H6618"/>
      <c r="I6618"/>
      <c r="J6618"/>
      <c r="K6618" s="1"/>
      <c r="L6618" s="2"/>
    </row>
    <row r="6619" spans="1:12" x14ac:dyDescent="0.2">
      <c r="A6619"/>
      <c r="B6619"/>
      <c r="C6619"/>
      <c r="D6619"/>
      <c r="E6619"/>
      <c r="F6619"/>
      <c r="G6619"/>
      <c r="H6619"/>
      <c r="I6619"/>
      <c r="J6619"/>
      <c r="K6619" s="1"/>
      <c r="L6619" s="2"/>
    </row>
    <row r="6620" spans="1:12" x14ac:dyDescent="0.2">
      <c r="A6620"/>
      <c r="B6620"/>
      <c r="C6620"/>
      <c r="D6620"/>
      <c r="E6620"/>
      <c r="F6620"/>
      <c r="G6620"/>
      <c r="H6620"/>
      <c r="I6620"/>
      <c r="J6620"/>
      <c r="K6620" s="1"/>
      <c r="L6620" s="2"/>
    </row>
    <row r="6621" spans="1:12" x14ac:dyDescent="0.2">
      <c r="A6621"/>
      <c r="B6621"/>
      <c r="C6621"/>
      <c r="D6621"/>
      <c r="E6621"/>
      <c r="F6621"/>
      <c r="G6621"/>
      <c r="H6621"/>
      <c r="I6621"/>
      <c r="J6621"/>
      <c r="K6621" s="1"/>
      <c r="L6621" s="2"/>
    </row>
    <row r="6622" spans="1:12" x14ac:dyDescent="0.2">
      <c r="A6622"/>
      <c r="B6622"/>
      <c r="C6622"/>
      <c r="D6622"/>
      <c r="E6622"/>
      <c r="F6622"/>
      <c r="G6622"/>
      <c r="H6622"/>
      <c r="I6622"/>
      <c r="J6622"/>
      <c r="K6622" s="1"/>
      <c r="L6622" s="2"/>
    </row>
    <row r="6623" spans="1:12" x14ac:dyDescent="0.2">
      <c r="A6623"/>
      <c r="B6623"/>
      <c r="C6623"/>
      <c r="D6623"/>
      <c r="E6623"/>
      <c r="F6623"/>
      <c r="G6623"/>
      <c r="H6623"/>
      <c r="I6623"/>
      <c r="J6623"/>
      <c r="K6623" s="1"/>
      <c r="L6623" s="2"/>
    </row>
    <row r="6624" spans="1:12" x14ac:dyDescent="0.2">
      <c r="A6624"/>
      <c r="B6624"/>
      <c r="C6624"/>
      <c r="D6624"/>
      <c r="E6624"/>
      <c r="F6624"/>
      <c r="G6624"/>
      <c r="H6624"/>
      <c r="I6624"/>
      <c r="J6624"/>
      <c r="K6624" s="1"/>
      <c r="L6624" s="2"/>
    </row>
    <row r="6625" spans="1:12" x14ac:dyDescent="0.2">
      <c r="A6625"/>
      <c r="B6625"/>
      <c r="C6625"/>
      <c r="D6625"/>
      <c r="E6625"/>
      <c r="F6625"/>
      <c r="G6625"/>
      <c r="H6625"/>
      <c r="I6625"/>
      <c r="J6625"/>
      <c r="K6625" s="1"/>
      <c r="L6625" s="2"/>
    </row>
    <row r="6626" spans="1:12" x14ac:dyDescent="0.2">
      <c r="A6626"/>
      <c r="B6626"/>
      <c r="C6626"/>
      <c r="D6626"/>
      <c r="E6626"/>
      <c r="F6626"/>
      <c r="G6626"/>
      <c r="H6626"/>
      <c r="I6626"/>
      <c r="J6626"/>
      <c r="K6626" s="1"/>
      <c r="L6626" s="2"/>
    </row>
    <row r="6627" spans="1:12" x14ac:dyDescent="0.2">
      <c r="A6627"/>
      <c r="B6627"/>
      <c r="C6627"/>
      <c r="D6627"/>
      <c r="E6627"/>
      <c r="F6627"/>
      <c r="G6627"/>
      <c r="H6627"/>
      <c r="I6627"/>
      <c r="J6627"/>
      <c r="K6627" s="1"/>
      <c r="L6627" s="2"/>
    </row>
    <row r="6628" spans="1:12" x14ac:dyDescent="0.2">
      <c r="A6628"/>
      <c r="B6628"/>
      <c r="C6628"/>
      <c r="D6628"/>
      <c r="E6628"/>
      <c r="F6628"/>
      <c r="G6628"/>
      <c r="H6628"/>
      <c r="I6628"/>
      <c r="J6628"/>
      <c r="K6628" s="1"/>
      <c r="L6628" s="2"/>
    </row>
    <row r="6629" spans="1:12" x14ac:dyDescent="0.2">
      <c r="A6629"/>
      <c r="B6629"/>
      <c r="C6629"/>
      <c r="D6629"/>
      <c r="E6629"/>
      <c r="F6629"/>
      <c r="G6629"/>
      <c r="H6629"/>
      <c r="I6629"/>
      <c r="J6629"/>
      <c r="K6629" s="1"/>
      <c r="L6629" s="2"/>
    </row>
    <row r="6630" spans="1:12" x14ac:dyDescent="0.2">
      <c r="A6630"/>
      <c r="B6630"/>
      <c r="C6630"/>
      <c r="D6630"/>
      <c r="E6630"/>
      <c r="F6630"/>
      <c r="G6630"/>
      <c r="H6630"/>
      <c r="I6630"/>
      <c r="J6630"/>
      <c r="K6630" s="1"/>
      <c r="L6630" s="2"/>
    </row>
    <row r="6631" spans="1:12" x14ac:dyDescent="0.2">
      <c r="A6631"/>
      <c r="B6631"/>
      <c r="C6631"/>
      <c r="D6631"/>
      <c r="E6631"/>
      <c r="F6631"/>
      <c r="G6631"/>
      <c r="H6631"/>
      <c r="I6631"/>
      <c r="J6631"/>
      <c r="K6631" s="1"/>
      <c r="L6631" s="2"/>
    </row>
    <row r="6632" spans="1:12" x14ac:dyDescent="0.2">
      <c r="A6632"/>
      <c r="B6632"/>
      <c r="C6632"/>
      <c r="D6632"/>
      <c r="E6632"/>
      <c r="F6632"/>
      <c r="G6632"/>
      <c r="H6632"/>
      <c r="I6632"/>
      <c r="J6632"/>
      <c r="K6632" s="1"/>
      <c r="L6632" s="2"/>
    </row>
    <row r="6633" spans="1:12" x14ac:dyDescent="0.2">
      <c r="A6633"/>
      <c r="B6633"/>
      <c r="C6633"/>
      <c r="D6633"/>
      <c r="E6633"/>
      <c r="F6633"/>
      <c r="G6633"/>
      <c r="H6633"/>
      <c r="I6633"/>
      <c r="J6633"/>
      <c r="K6633" s="1"/>
      <c r="L6633" s="2"/>
    </row>
    <row r="6634" spans="1:12" x14ac:dyDescent="0.2">
      <c r="A6634"/>
      <c r="B6634"/>
      <c r="C6634"/>
      <c r="D6634"/>
      <c r="E6634"/>
      <c r="F6634"/>
      <c r="G6634"/>
      <c r="H6634"/>
      <c r="I6634"/>
      <c r="J6634"/>
      <c r="K6634" s="1"/>
      <c r="L6634" s="2"/>
    </row>
    <row r="6635" spans="1:12" x14ac:dyDescent="0.2">
      <c r="A6635"/>
      <c r="B6635"/>
      <c r="C6635"/>
      <c r="D6635"/>
      <c r="E6635"/>
      <c r="F6635"/>
      <c r="G6635"/>
      <c r="H6635"/>
      <c r="I6635"/>
      <c r="J6635"/>
      <c r="K6635" s="1"/>
      <c r="L6635" s="2"/>
    </row>
    <row r="6636" spans="1:12" x14ac:dyDescent="0.2">
      <c r="A6636"/>
      <c r="B6636"/>
      <c r="C6636"/>
      <c r="D6636"/>
      <c r="E6636"/>
      <c r="F6636"/>
      <c r="G6636"/>
      <c r="H6636"/>
      <c r="I6636"/>
      <c r="J6636"/>
      <c r="K6636" s="1"/>
      <c r="L6636" s="2"/>
    </row>
    <row r="6637" spans="1:12" x14ac:dyDescent="0.2">
      <c r="A6637"/>
      <c r="B6637"/>
      <c r="C6637"/>
      <c r="D6637"/>
      <c r="E6637"/>
      <c r="F6637"/>
      <c r="G6637"/>
      <c r="H6637"/>
      <c r="I6637"/>
      <c r="J6637"/>
      <c r="K6637" s="1"/>
      <c r="L6637" s="2"/>
    </row>
    <row r="6638" spans="1:12" x14ac:dyDescent="0.2">
      <c r="A6638"/>
      <c r="B6638"/>
      <c r="C6638"/>
      <c r="D6638"/>
      <c r="E6638"/>
      <c r="F6638"/>
      <c r="G6638"/>
      <c r="H6638"/>
      <c r="I6638"/>
      <c r="J6638"/>
      <c r="K6638" s="1"/>
      <c r="L6638" s="2"/>
    </row>
    <row r="6639" spans="1:12" x14ac:dyDescent="0.2">
      <c r="A6639"/>
      <c r="B6639"/>
      <c r="C6639"/>
      <c r="D6639"/>
      <c r="E6639"/>
      <c r="F6639"/>
      <c r="G6639"/>
      <c r="H6639"/>
      <c r="I6639"/>
      <c r="J6639"/>
      <c r="K6639" s="1"/>
      <c r="L6639" s="2"/>
    </row>
    <row r="6640" spans="1:12" x14ac:dyDescent="0.2">
      <c r="A6640"/>
      <c r="B6640"/>
      <c r="C6640"/>
      <c r="D6640"/>
      <c r="E6640"/>
      <c r="F6640"/>
      <c r="G6640"/>
      <c r="H6640"/>
      <c r="I6640"/>
      <c r="J6640"/>
      <c r="K6640" s="1"/>
      <c r="L6640" s="2"/>
    </row>
    <row r="6641" spans="1:12" x14ac:dyDescent="0.2">
      <c r="A6641"/>
      <c r="B6641"/>
      <c r="C6641"/>
      <c r="D6641"/>
      <c r="E6641"/>
      <c r="F6641"/>
      <c r="G6641"/>
      <c r="H6641"/>
      <c r="I6641"/>
      <c r="J6641"/>
      <c r="K6641" s="1"/>
      <c r="L6641" s="2"/>
    </row>
    <row r="6642" spans="1:12" x14ac:dyDescent="0.2">
      <c r="A6642"/>
      <c r="B6642"/>
      <c r="C6642"/>
      <c r="D6642"/>
      <c r="E6642"/>
      <c r="F6642"/>
      <c r="G6642"/>
      <c r="H6642"/>
      <c r="I6642"/>
      <c r="J6642"/>
      <c r="K6642" s="1"/>
      <c r="L6642" s="2"/>
    </row>
    <row r="6643" spans="1:12" x14ac:dyDescent="0.2">
      <c r="A6643"/>
      <c r="B6643"/>
      <c r="C6643"/>
      <c r="D6643"/>
      <c r="E6643"/>
      <c r="F6643"/>
      <c r="G6643"/>
      <c r="H6643"/>
      <c r="I6643"/>
      <c r="J6643"/>
      <c r="K6643" s="1"/>
      <c r="L6643" s="2"/>
    </row>
    <row r="6644" spans="1:12" x14ac:dyDescent="0.2">
      <c r="A6644"/>
      <c r="B6644"/>
      <c r="C6644"/>
      <c r="D6644"/>
      <c r="E6644"/>
      <c r="F6644"/>
      <c r="G6644"/>
      <c r="H6644"/>
      <c r="I6644"/>
      <c r="J6644"/>
      <c r="K6644" s="1"/>
      <c r="L6644" s="2"/>
    </row>
    <row r="6645" spans="1:12" x14ac:dyDescent="0.2">
      <c r="A6645"/>
      <c r="B6645"/>
      <c r="C6645"/>
      <c r="D6645"/>
      <c r="E6645"/>
      <c r="F6645"/>
      <c r="G6645"/>
      <c r="H6645"/>
      <c r="I6645"/>
      <c r="J6645"/>
      <c r="K6645" s="1"/>
      <c r="L6645" s="2"/>
    </row>
    <row r="6646" spans="1:12" x14ac:dyDescent="0.2">
      <c r="A6646"/>
      <c r="B6646"/>
      <c r="C6646"/>
      <c r="D6646"/>
      <c r="E6646"/>
      <c r="F6646"/>
      <c r="G6646"/>
      <c r="H6646"/>
      <c r="I6646"/>
      <c r="J6646"/>
      <c r="K6646" s="1"/>
      <c r="L6646" s="2"/>
    </row>
    <row r="6647" spans="1:12" x14ac:dyDescent="0.2">
      <c r="A6647"/>
      <c r="B6647"/>
      <c r="C6647"/>
      <c r="D6647"/>
      <c r="E6647"/>
      <c r="F6647"/>
      <c r="G6647"/>
      <c r="H6647"/>
      <c r="I6647"/>
      <c r="J6647"/>
      <c r="K6647" s="1"/>
      <c r="L6647" s="2"/>
    </row>
    <row r="6648" spans="1:12" x14ac:dyDescent="0.2">
      <c r="A6648"/>
      <c r="B6648"/>
      <c r="C6648"/>
      <c r="D6648"/>
      <c r="E6648"/>
      <c r="F6648"/>
      <c r="G6648"/>
      <c r="H6648"/>
      <c r="I6648"/>
      <c r="J6648"/>
      <c r="K6648" s="1"/>
      <c r="L6648" s="2"/>
    </row>
    <row r="6649" spans="1:12" x14ac:dyDescent="0.2">
      <c r="A6649"/>
      <c r="B6649"/>
      <c r="C6649"/>
      <c r="D6649"/>
      <c r="E6649"/>
      <c r="F6649"/>
      <c r="G6649"/>
      <c r="H6649"/>
      <c r="I6649"/>
      <c r="J6649"/>
      <c r="K6649" s="1"/>
      <c r="L6649" s="2"/>
    </row>
    <row r="6650" spans="1:12" x14ac:dyDescent="0.2">
      <c r="A6650"/>
      <c r="B6650"/>
      <c r="C6650"/>
      <c r="D6650"/>
      <c r="E6650"/>
      <c r="F6650"/>
      <c r="G6650"/>
      <c r="H6650"/>
      <c r="I6650"/>
      <c r="J6650"/>
      <c r="K6650" s="1"/>
      <c r="L6650" s="2"/>
    </row>
    <row r="6651" spans="1:12" x14ac:dyDescent="0.2">
      <c r="A6651"/>
      <c r="B6651"/>
      <c r="C6651"/>
      <c r="D6651"/>
      <c r="E6651"/>
      <c r="F6651"/>
      <c r="G6651"/>
      <c r="H6651"/>
      <c r="I6651"/>
      <c r="J6651"/>
      <c r="K6651" s="1"/>
      <c r="L6651" s="2"/>
    </row>
    <row r="6652" spans="1:12" x14ac:dyDescent="0.2">
      <c r="A6652"/>
      <c r="B6652"/>
      <c r="C6652"/>
      <c r="D6652"/>
      <c r="E6652"/>
      <c r="F6652"/>
      <c r="G6652"/>
      <c r="H6652"/>
      <c r="I6652"/>
      <c r="J6652"/>
      <c r="K6652" s="1"/>
      <c r="L6652" s="2"/>
    </row>
    <row r="6653" spans="1:12" x14ac:dyDescent="0.2">
      <c r="A6653"/>
      <c r="B6653"/>
      <c r="C6653"/>
      <c r="D6653"/>
      <c r="E6653"/>
      <c r="F6653"/>
      <c r="G6653"/>
      <c r="H6653"/>
      <c r="I6653"/>
      <c r="J6653"/>
      <c r="K6653" s="1"/>
      <c r="L6653" s="2"/>
    </row>
    <row r="6654" spans="1:12" x14ac:dyDescent="0.2">
      <c r="A6654"/>
      <c r="B6654"/>
      <c r="C6654"/>
      <c r="D6654"/>
      <c r="E6654"/>
      <c r="F6654"/>
      <c r="G6654"/>
      <c r="H6654"/>
      <c r="I6654"/>
      <c r="J6654"/>
      <c r="K6654" s="1"/>
      <c r="L6654" s="2"/>
    </row>
    <row r="6655" spans="1:12" x14ac:dyDescent="0.2">
      <c r="A6655"/>
      <c r="B6655"/>
      <c r="C6655"/>
      <c r="D6655"/>
      <c r="E6655"/>
      <c r="F6655"/>
      <c r="G6655"/>
      <c r="H6655"/>
      <c r="I6655"/>
      <c r="J6655"/>
      <c r="K6655" s="1"/>
      <c r="L6655" s="2"/>
    </row>
    <row r="6656" spans="1:12" x14ac:dyDescent="0.2">
      <c r="A6656"/>
      <c r="B6656"/>
      <c r="C6656"/>
      <c r="D6656"/>
      <c r="E6656"/>
      <c r="F6656"/>
      <c r="G6656"/>
      <c r="H6656"/>
      <c r="I6656"/>
      <c r="J6656"/>
      <c r="K6656" s="1"/>
      <c r="L6656" s="2"/>
    </row>
    <row r="6657" spans="1:12" x14ac:dyDescent="0.2">
      <c r="A6657"/>
      <c r="B6657"/>
      <c r="C6657"/>
      <c r="D6657"/>
      <c r="E6657"/>
      <c r="F6657"/>
      <c r="G6657"/>
      <c r="H6657"/>
      <c r="I6657"/>
      <c r="J6657"/>
      <c r="K6657" s="1"/>
      <c r="L6657" s="2"/>
    </row>
    <row r="6658" spans="1:12" x14ac:dyDescent="0.2">
      <c r="A6658"/>
      <c r="B6658"/>
      <c r="C6658"/>
      <c r="D6658"/>
      <c r="E6658"/>
      <c r="F6658"/>
      <c r="G6658"/>
      <c r="H6658"/>
      <c r="I6658"/>
      <c r="J6658"/>
      <c r="K6658" s="1"/>
      <c r="L6658" s="2"/>
    </row>
    <row r="6659" spans="1:12" x14ac:dyDescent="0.2">
      <c r="A6659"/>
      <c r="B6659"/>
      <c r="C6659"/>
      <c r="D6659"/>
      <c r="E6659"/>
      <c r="F6659"/>
      <c r="G6659"/>
      <c r="H6659"/>
      <c r="I6659"/>
      <c r="J6659"/>
      <c r="K6659" s="1"/>
      <c r="L6659" s="2"/>
    </row>
    <row r="6660" spans="1:12" x14ac:dyDescent="0.2">
      <c r="A6660"/>
      <c r="B6660"/>
      <c r="C6660"/>
      <c r="D6660"/>
      <c r="E6660"/>
      <c r="F6660"/>
      <c r="G6660"/>
      <c r="H6660"/>
      <c r="I6660"/>
      <c r="J6660"/>
      <c r="K6660" s="1"/>
      <c r="L6660" s="2"/>
    </row>
    <row r="6661" spans="1:12" x14ac:dyDescent="0.2">
      <c r="A6661"/>
      <c r="B6661"/>
      <c r="C6661"/>
      <c r="D6661"/>
      <c r="E6661"/>
      <c r="F6661"/>
      <c r="G6661"/>
      <c r="H6661"/>
      <c r="I6661"/>
      <c r="J6661"/>
      <c r="K6661" s="1"/>
      <c r="L6661" s="2"/>
    </row>
    <row r="6662" spans="1:12" x14ac:dyDescent="0.2">
      <c r="A6662"/>
      <c r="B6662"/>
      <c r="C6662"/>
      <c r="D6662"/>
      <c r="E6662"/>
      <c r="F6662"/>
      <c r="G6662"/>
      <c r="H6662"/>
      <c r="I6662"/>
      <c r="J6662"/>
      <c r="K6662" s="1"/>
      <c r="L6662" s="2"/>
    </row>
    <row r="6663" spans="1:12" x14ac:dyDescent="0.2">
      <c r="A6663"/>
      <c r="B6663"/>
      <c r="C6663"/>
      <c r="D6663"/>
      <c r="E6663"/>
      <c r="F6663"/>
      <c r="G6663"/>
      <c r="H6663"/>
      <c r="I6663"/>
      <c r="J6663"/>
      <c r="K6663" s="1"/>
      <c r="L6663" s="2"/>
    </row>
    <row r="6664" spans="1:12" x14ac:dyDescent="0.2">
      <c r="A6664"/>
      <c r="B6664"/>
      <c r="C6664"/>
      <c r="D6664"/>
      <c r="E6664"/>
      <c r="F6664"/>
      <c r="G6664"/>
      <c r="H6664"/>
      <c r="I6664"/>
      <c r="J6664"/>
      <c r="K6664" s="1"/>
      <c r="L6664" s="2"/>
    </row>
    <row r="6665" spans="1:12" x14ac:dyDescent="0.2">
      <c r="A6665"/>
      <c r="B6665"/>
      <c r="C6665"/>
      <c r="D6665"/>
      <c r="E6665"/>
      <c r="F6665"/>
      <c r="G6665"/>
      <c r="H6665"/>
      <c r="I6665"/>
      <c r="J6665"/>
      <c r="K6665" s="1"/>
      <c r="L6665" s="2"/>
    </row>
    <row r="6666" spans="1:12" x14ac:dyDescent="0.2">
      <c r="A6666"/>
      <c r="B6666"/>
      <c r="C6666"/>
      <c r="D6666"/>
      <c r="E6666"/>
      <c r="F6666"/>
      <c r="G6666"/>
      <c r="H6666"/>
      <c r="I6666"/>
      <c r="J6666"/>
      <c r="K6666" s="1"/>
      <c r="L6666" s="2"/>
    </row>
    <row r="6667" spans="1:12" x14ac:dyDescent="0.2">
      <c r="A6667"/>
      <c r="B6667"/>
      <c r="C6667"/>
      <c r="D6667"/>
      <c r="E6667"/>
      <c r="F6667"/>
      <c r="G6667"/>
      <c r="H6667"/>
      <c r="I6667"/>
      <c r="J6667"/>
      <c r="K6667" s="1"/>
      <c r="L6667" s="2"/>
    </row>
    <row r="6668" spans="1:12" x14ac:dyDescent="0.2">
      <c r="A6668"/>
      <c r="B6668"/>
      <c r="C6668"/>
      <c r="D6668"/>
      <c r="E6668"/>
      <c r="F6668"/>
      <c r="G6668"/>
      <c r="H6668"/>
      <c r="I6668"/>
      <c r="J6668"/>
      <c r="K6668" s="1"/>
      <c r="L6668" s="2"/>
    </row>
    <row r="6669" spans="1:12" x14ac:dyDescent="0.2">
      <c r="A6669"/>
      <c r="B6669"/>
      <c r="C6669"/>
      <c r="D6669"/>
      <c r="E6669"/>
      <c r="F6669"/>
      <c r="G6669"/>
      <c r="H6669"/>
      <c r="I6669"/>
      <c r="J6669"/>
      <c r="K6669" s="1"/>
      <c r="L6669" s="2"/>
    </row>
    <row r="6670" spans="1:12" x14ac:dyDescent="0.2">
      <c r="A6670"/>
      <c r="B6670"/>
      <c r="C6670"/>
      <c r="D6670"/>
      <c r="E6670"/>
      <c r="F6670"/>
      <c r="G6670"/>
      <c r="H6670"/>
      <c r="I6670"/>
      <c r="J6670"/>
      <c r="K6670" s="1"/>
      <c r="L6670" s="2"/>
    </row>
    <row r="6671" spans="1:12" x14ac:dyDescent="0.2">
      <c r="A6671"/>
      <c r="B6671"/>
      <c r="C6671"/>
      <c r="D6671"/>
      <c r="E6671"/>
      <c r="F6671"/>
      <c r="G6671"/>
      <c r="H6671"/>
      <c r="I6671"/>
      <c r="J6671"/>
      <c r="K6671" s="1"/>
      <c r="L6671" s="2"/>
    </row>
    <row r="6672" spans="1:12" x14ac:dyDescent="0.2">
      <c r="A6672"/>
      <c r="B6672"/>
      <c r="C6672"/>
      <c r="D6672"/>
      <c r="E6672"/>
      <c r="F6672"/>
      <c r="G6672"/>
      <c r="H6672"/>
      <c r="I6672"/>
      <c r="J6672"/>
      <c r="K6672" s="1"/>
      <c r="L6672" s="2"/>
    </row>
    <row r="6673" spans="1:12" x14ac:dyDescent="0.2">
      <c r="A6673"/>
      <c r="B6673"/>
      <c r="C6673"/>
      <c r="D6673"/>
      <c r="E6673"/>
      <c r="F6673"/>
      <c r="G6673"/>
      <c r="H6673"/>
      <c r="I6673"/>
      <c r="J6673"/>
      <c r="K6673" s="1"/>
      <c r="L6673" s="2"/>
    </row>
    <row r="6674" spans="1:12" x14ac:dyDescent="0.2">
      <c r="A6674"/>
      <c r="B6674"/>
      <c r="C6674"/>
      <c r="D6674"/>
      <c r="E6674"/>
      <c r="F6674"/>
      <c r="G6674"/>
      <c r="H6674"/>
      <c r="I6674"/>
      <c r="J6674"/>
      <c r="K6674" s="1"/>
      <c r="L6674" s="2"/>
    </row>
    <row r="6675" spans="1:12" x14ac:dyDescent="0.2">
      <c r="A6675"/>
      <c r="B6675"/>
      <c r="C6675"/>
      <c r="D6675"/>
      <c r="E6675"/>
      <c r="F6675"/>
      <c r="G6675"/>
      <c r="H6675"/>
      <c r="I6675"/>
      <c r="J6675"/>
      <c r="K6675" s="1"/>
      <c r="L6675" s="2"/>
    </row>
    <row r="6676" spans="1:12" x14ac:dyDescent="0.2">
      <c r="A6676"/>
      <c r="B6676"/>
      <c r="C6676"/>
      <c r="D6676"/>
      <c r="E6676"/>
      <c r="F6676"/>
      <c r="G6676"/>
      <c r="H6676"/>
      <c r="I6676"/>
      <c r="J6676"/>
      <c r="K6676" s="1"/>
      <c r="L6676" s="2"/>
    </row>
    <row r="6677" spans="1:12" x14ac:dyDescent="0.2">
      <c r="A6677"/>
      <c r="B6677"/>
      <c r="C6677"/>
      <c r="D6677"/>
      <c r="E6677"/>
      <c r="F6677"/>
      <c r="G6677"/>
      <c r="H6677"/>
      <c r="I6677"/>
      <c r="J6677"/>
      <c r="K6677" s="1"/>
      <c r="L6677" s="2"/>
    </row>
    <row r="6678" spans="1:12" x14ac:dyDescent="0.2">
      <c r="A6678"/>
      <c r="B6678"/>
      <c r="C6678"/>
      <c r="D6678"/>
      <c r="E6678"/>
      <c r="F6678"/>
      <c r="G6678"/>
      <c r="H6678"/>
      <c r="I6678"/>
      <c r="J6678"/>
      <c r="K6678" s="1"/>
      <c r="L6678" s="2"/>
    </row>
    <row r="6679" spans="1:12" x14ac:dyDescent="0.2">
      <c r="A6679"/>
      <c r="B6679"/>
      <c r="C6679"/>
      <c r="D6679"/>
      <c r="E6679"/>
      <c r="F6679"/>
      <c r="G6679"/>
      <c r="H6679"/>
      <c r="I6679"/>
      <c r="J6679"/>
      <c r="K6679" s="1"/>
      <c r="L6679" s="2"/>
    </row>
    <row r="6680" spans="1:12" x14ac:dyDescent="0.2">
      <c r="A6680"/>
      <c r="B6680"/>
      <c r="C6680"/>
      <c r="D6680"/>
      <c r="E6680"/>
      <c r="F6680"/>
      <c r="G6680"/>
      <c r="H6680"/>
      <c r="I6680"/>
      <c r="J6680"/>
      <c r="K6680" s="1"/>
      <c r="L6680" s="2"/>
    </row>
    <row r="6681" spans="1:12" x14ac:dyDescent="0.2">
      <c r="A6681"/>
      <c r="B6681"/>
      <c r="C6681"/>
      <c r="D6681"/>
      <c r="E6681"/>
      <c r="F6681"/>
      <c r="G6681"/>
      <c r="H6681"/>
      <c r="I6681"/>
      <c r="J6681"/>
      <c r="K6681" s="1"/>
      <c r="L6681" s="2"/>
    </row>
    <row r="6682" spans="1:12" x14ac:dyDescent="0.2">
      <c r="A6682"/>
      <c r="B6682"/>
      <c r="C6682"/>
      <c r="D6682"/>
      <c r="E6682"/>
      <c r="F6682"/>
      <c r="G6682"/>
      <c r="H6682"/>
      <c r="I6682"/>
      <c r="J6682"/>
      <c r="K6682" s="1"/>
      <c r="L6682" s="2"/>
    </row>
    <row r="6683" spans="1:12" x14ac:dyDescent="0.2">
      <c r="A6683"/>
      <c r="B6683"/>
      <c r="C6683"/>
      <c r="D6683"/>
      <c r="E6683"/>
      <c r="F6683"/>
      <c r="G6683"/>
      <c r="H6683"/>
      <c r="I6683"/>
      <c r="J6683"/>
      <c r="K6683" s="1"/>
      <c r="L6683" s="2"/>
    </row>
    <row r="6684" spans="1:12" x14ac:dyDescent="0.2">
      <c r="A6684"/>
      <c r="B6684"/>
      <c r="C6684"/>
      <c r="D6684"/>
      <c r="E6684"/>
      <c r="F6684"/>
      <c r="G6684"/>
      <c r="H6684"/>
      <c r="I6684"/>
      <c r="J6684"/>
      <c r="K6684" s="1"/>
      <c r="L6684" s="2"/>
    </row>
    <row r="6685" spans="1:12" x14ac:dyDescent="0.2">
      <c r="A6685"/>
      <c r="B6685"/>
      <c r="C6685"/>
      <c r="D6685"/>
      <c r="E6685"/>
      <c r="F6685"/>
      <c r="G6685"/>
      <c r="H6685"/>
      <c r="I6685"/>
      <c r="J6685"/>
      <c r="K6685" s="1"/>
      <c r="L6685" s="2"/>
    </row>
    <row r="6686" spans="1:12" x14ac:dyDescent="0.2">
      <c r="A6686"/>
      <c r="B6686"/>
      <c r="C6686"/>
      <c r="D6686"/>
      <c r="E6686"/>
      <c r="F6686"/>
      <c r="G6686"/>
      <c r="H6686"/>
      <c r="I6686"/>
      <c r="J6686"/>
      <c r="K6686" s="1"/>
      <c r="L6686" s="2"/>
    </row>
    <row r="6687" spans="1:12" x14ac:dyDescent="0.2">
      <c r="A6687"/>
      <c r="B6687"/>
      <c r="C6687"/>
      <c r="D6687"/>
      <c r="E6687"/>
      <c r="F6687"/>
      <c r="G6687"/>
      <c r="H6687"/>
      <c r="I6687"/>
      <c r="J6687"/>
      <c r="K6687" s="1"/>
      <c r="L6687" s="2"/>
    </row>
    <row r="6688" spans="1:12" x14ac:dyDescent="0.2">
      <c r="A6688"/>
      <c r="B6688"/>
      <c r="C6688"/>
      <c r="D6688"/>
      <c r="E6688"/>
      <c r="F6688"/>
      <c r="G6688"/>
      <c r="H6688"/>
      <c r="I6688"/>
      <c r="J6688"/>
      <c r="K6688" s="1"/>
      <c r="L6688" s="2"/>
    </row>
    <row r="6689" spans="1:12" x14ac:dyDescent="0.2">
      <c r="A6689"/>
      <c r="B6689"/>
      <c r="C6689"/>
      <c r="D6689"/>
      <c r="E6689"/>
      <c r="F6689"/>
      <c r="G6689"/>
      <c r="H6689"/>
      <c r="I6689"/>
      <c r="J6689"/>
      <c r="K6689" s="1"/>
      <c r="L6689" s="2"/>
    </row>
    <row r="6690" spans="1:12" x14ac:dyDescent="0.2">
      <c r="A6690"/>
      <c r="B6690"/>
      <c r="C6690"/>
      <c r="D6690"/>
      <c r="E6690"/>
      <c r="F6690"/>
      <c r="G6690"/>
      <c r="H6690"/>
      <c r="I6690"/>
      <c r="J6690"/>
      <c r="K6690" s="1"/>
      <c r="L6690" s="2"/>
    </row>
    <row r="6691" spans="1:12" x14ac:dyDescent="0.2">
      <c r="A6691"/>
      <c r="B6691"/>
      <c r="C6691"/>
      <c r="D6691"/>
      <c r="E6691"/>
      <c r="F6691"/>
      <c r="G6691"/>
      <c r="H6691"/>
      <c r="I6691"/>
      <c r="J6691"/>
      <c r="K6691" s="1"/>
      <c r="L6691" s="2"/>
    </row>
    <row r="6692" spans="1:12" x14ac:dyDescent="0.2">
      <c r="A6692"/>
      <c r="B6692"/>
      <c r="C6692"/>
      <c r="D6692"/>
      <c r="E6692"/>
      <c r="F6692"/>
      <c r="G6692"/>
      <c r="H6692"/>
      <c r="I6692"/>
      <c r="J6692"/>
      <c r="K6692" s="1"/>
      <c r="L6692" s="2"/>
    </row>
    <row r="6693" spans="1:12" x14ac:dyDescent="0.2">
      <c r="A6693"/>
      <c r="B6693"/>
      <c r="C6693"/>
      <c r="D6693"/>
      <c r="E6693"/>
      <c r="F6693"/>
      <c r="G6693"/>
      <c r="H6693"/>
      <c r="I6693"/>
      <c r="J6693"/>
      <c r="K6693" s="1"/>
      <c r="L6693" s="2"/>
    </row>
    <row r="6694" spans="1:12" x14ac:dyDescent="0.2">
      <c r="A6694"/>
      <c r="B6694"/>
      <c r="C6694"/>
      <c r="D6694"/>
      <c r="E6694"/>
      <c r="F6694"/>
      <c r="G6694"/>
      <c r="H6694"/>
      <c r="I6694"/>
      <c r="J6694"/>
      <c r="K6694" s="1"/>
      <c r="L6694" s="2"/>
    </row>
    <row r="6695" spans="1:12" x14ac:dyDescent="0.2">
      <c r="A6695"/>
      <c r="B6695"/>
      <c r="C6695"/>
      <c r="D6695"/>
      <c r="E6695"/>
      <c r="F6695"/>
      <c r="G6695"/>
      <c r="H6695"/>
      <c r="I6695"/>
      <c r="J6695"/>
      <c r="K6695" s="1"/>
      <c r="L6695" s="2"/>
    </row>
    <row r="6696" spans="1:12" x14ac:dyDescent="0.2">
      <c r="A6696"/>
      <c r="B6696"/>
      <c r="C6696"/>
      <c r="D6696"/>
      <c r="E6696"/>
      <c r="F6696"/>
      <c r="G6696"/>
      <c r="H6696"/>
      <c r="I6696"/>
      <c r="J6696"/>
      <c r="K6696" s="1"/>
      <c r="L6696" s="2"/>
    </row>
    <row r="6697" spans="1:12" x14ac:dyDescent="0.2">
      <c r="A6697"/>
      <c r="B6697"/>
      <c r="C6697"/>
      <c r="D6697"/>
      <c r="E6697"/>
      <c r="F6697"/>
      <c r="G6697"/>
      <c r="H6697"/>
      <c r="I6697"/>
      <c r="J6697"/>
      <c r="K6697" s="1"/>
      <c r="L6697" s="2"/>
    </row>
    <row r="6698" spans="1:12" x14ac:dyDescent="0.2">
      <c r="A6698"/>
      <c r="B6698"/>
      <c r="C6698"/>
      <c r="D6698"/>
      <c r="E6698"/>
      <c r="F6698"/>
      <c r="G6698"/>
      <c r="H6698"/>
      <c r="I6698"/>
      <c r="J6698"/>
      <c r="K6698" s="1"/>
      <c r="L6698" s="2"/>
    </row>
    <row r="6699" spans="1:12" x14ac:dyDescent="0.2">
      <c r="A6699"/>
      <c r="B6699"/>
      <c r="C6699"/>
      <c r="D6699"/>
      <c r="E6699"/>
      <c r="F6699"/>
      <c r="G6699"/>
      <c r="H6699"/>
      <c r="I6699"/>
      <c r="J6699"/>
      <c r="K6699" s="1"/>
      <c r="L6699" s="2"/>
    </row>
    <row r="6700" spans="1:12" x14ac:dyDescent="0.2">
      <c r="A6700"/>
      <c r="B6700"/>
      <c r="C6700"/>
      <c r="D6700"/>
      <c r="E6700"/>
      <c r="F6700"/>
      <c r="G6700"/>
      <c r="H6700"/>
      <c r="I6700"/>
      <c r="J6700"/>
      <c r="K6700" s="1"/>
      <c r="L6700" s="2"/>
    </row>
    <row r="6701" spans="1:12" x14ac:dyDescent="0.2">
      <c r="A6701"/>
      <c r="B6701"/>
      <c r="C6701"/>
      <c r="D6701"/>
      <c r="E6701"/>
      <c r="F6701"/>
      <c r="G6701"/>
      <c r="H6701"/>
      <c r="I6701"/>
      <c r="J6701"/>
      <c r="K6701" s="1"/>
      <c r="L6701" s="2"/>
    </row>
    <row r="6702" spans="1:12" x14ac:dyDescent="0.2">
      <c r="A6702"/>
      <c r="B6702"/>
      <c r="C6702"/>
      <c r="D6702"/>
      <c r="E6702"/>
      <c r="F6702"/>
      <c r="G6702"/>
      <c r="H6702"/>
      <c r="I6702"/>
      <c r="J6702"/>
      <c r="K6702" s="1"/>
      <c r="L6702" s="2"/>
    </row>
    <row r="6703" spans="1:12" x14ac:dyDescent="0.2">
      <c r="A6703"/>
      <c r="B6703"/>
      <c r="C6703"/>
      <c r="D6703"/>
      <c r="E6703"/>
      <c r="F6703"/>
      <c r="G6703"/>
      <c r="H6703"/>
      <c r="I6703"/>
      <c r="J6703"/>
      <c r="K6703" s="1"/>
      <c r="L6703" s="2"/>
    </row>
    <row r="6704" spans="1:12" x14ac:dyDescent="0.2">
      <c r="A6704"/>
      <c r="B6704"/>
      <c r="C6704"/>
      <c r="D6704"/>
      <c r="E6704"/>
      <c r="F6704"/>
      <c r="G6704"/>
      <c r="H6704"/>
      <c r="I6704"/>
      <c r="J6704"/>
      <c r="K6704" s="1"/>
      <c r="L6704" s="2"/>
    </row>
    <row r="6705" spans="1:12" x14ac:dyDescent="0.2">
      <c r="A6705"/>
      <c r="B6705"/>
      <c r="C6705"/>
      <c r="D6705"/>
      <c r="E6705"/>
      <c r="F6705"/>
      <c r="G6705"/>
      <c r="H6705"/>
      <c r="I6705"/>
      <c r="J6705"/>
      <c r="K6705" s="1"/>
      <c r="L6705" s="2"/>
    </row>
    <row r="6706" spans="1:12" x14ac:dyDescent="0.2">
      <c r="A6706"/>
      <c r="B6706"/>
      <c r="C6706"/>
      <c r="D6706"/>
      <c r="E6706"/>
      <c r="F6706"/>
      <c r="G6706"/>
      <c r="H6706"/>
      <c r="I6706"/>
      <c r="J6706"/>
      <c r="K6706" s="1"/>
      <c r="L6706" s="2"/>
    </row>
    <row r="6707" spans="1:12" x14ac:dyDescent="0.2">
      <c r="A6707"/>
      <c r="B6707"/>
      <c r="C6707"/>
      <c r="D6707"/>
      <c r="E6707"/>
      <c r="F6707"/>
      <c r="G6707"/>
      <c r="H6707"/>
      <c r="I6707"/>
      <c r="J6707"/>
      <c r="K6707" s="1"/>
      <c r="L6707" s="2"/>
    </row>
    <row r="6708" spans="1:12" x14ac:dyDescent="0.2">
      <c r="A6708"/>
      <c r="B6708"/>
      <c r="C6708"/>
      <c r="D6708"/>
      <c r="E6708"/>
      <c r="F6708"/>
      <c r="G6708"/>
      <c r="H6708"/>
      <c r="I6708"/>
      <c r="J6708"/>
      <c r="K6708" s="1"/>
      <c r="L6708" s="2"/>
    </row>
    <row r="6709" spans="1:12" x14ac:dyDescent="0.2">
      <c r="A6709"/>
      <c r="B6709"/>
      <c r="C6709"/>
      <c r="D6709"/>
      <c r="E6709"/>
      <c r="F6709"/>
      <c r="G6709"/>
      <c r="H6709"/>
      <c r="I6709"/>
      <c r="J6709"/>
      <c r="K6709" s="1"/>
      <c r="L6709" s="2"/>
    </row>
    <row r="6710" spans="1:12" x14ac:dyDescent="0.2">
      <c r="A6710"/>
      <c r="B6710"/>
      <c r="C6710"/>
      <c r="D6710"/>
      <c r="E6710"/>
      <c r="F6710"/>
      <c r="G6710"/>
      <c r="H6710"/>
      <c r="I6710"/>
      <c r="J6710"/>
      <c r="K6710" s="1"/>
      <c r="L6710" s="2"/>
    </row>
    <row r="6711" spans="1:12" x14ac:dyDescent="0.2">
      <c r="A6711"/>
      <c r="B6711"/>
      <c r="C6711"/>
      <c r="D6711"/>
      <c r="E6711"/>
      <c r="F6711"/>
      <c r="G6711"/>
      <c r="H6711"/>
      <c r="I6711"/>
      <c r="J6711"/>
      <c r="K6711" s="1"/>
      <c r="L6711" s="2"/>
    </row>
    <row r="6712" spans="1:12" x14ac:dyDescent="0.2">
      <c r="A6712"/>
      <c r="B6712"/>
      <c r="C6712"/>
      <c r="D6712"/>
      <c r="E6712"/>
      <c r="F6712"/>
      <c r="G6712"/>
      <c r="H6712"/>
      <c r="I6712"/>
      <c r="J6712"/>
      <c r="K6712" s="1"/>
      <c r="L6712" s="2"/>
    </row>
    <row r="6713" spans="1:12" x14ac:dyDescent="0.2">
      <c r="A6713"/>
      <c r="B6713"/>
      <c r="C6713"/>
      <c r="D6713"/>
      <c r="E6713"/>
      <c r="F6713"/>
      <c r="G6713"/>
      <c r="H6713"/>
      <c r="I6713"/>
      <c r="J6713"/>
      <c r="K6713" s="1"/>
      <c r="L6713" s="2"/>
    </row>
    <row r="6714" spans="1:12" x14ac:dyDescent="0.2">
      <c r="A6714"/>
      <c r="B6714"/>
      <c r="C6714"/>
      <c r="D6714"/>
      <c r="E6714"/>
      <c r="F6714"/>
      <c r="G6714"/>
      <c r="H6714"/>
      <c r="I6714"/>
      <c r="J6714"/>
      <c r="K6714" s="1"/>
      <c r="L6714" s="2"/>
    </row>
    <row r="6715" spans="1:12" x14ac:dyDescent="0.2">
      <c r="A6715"/>
      <c r="B6715"/>
      <c r="C6715"/>
      <c r="D6715"/>
      <c r="E6715"/>
      <c r="F6715"/>
      <c r="G6715"/>
      <c r="H6715"/>
      <c r="I6715"/>
      <c r="J6715"/>
      <c r="K6715" s="1"/>
      <c r="L6715" s="2"/>
    </row>
    <row r="6716" spans="1:12" x14ac:dyDescent="0.2">
      <c r="A6716"/>
      <c r="B6716"/>
      <c r="C6716"/>
      <c r="D6716"/>
      <c r="E6716"/>
      <c r="F6716"/>
      <c r="G6716"/>
      <c r="H6716"/>
      <c r="I6716"/>
      <c r="J6716"/>
      <c r="K6716" s="1"/>
      <c r="L6716" s="2"/>
    </row>
    <row r="6717" spans="1:12" x14ac:dyDescent="0.2">
      <c r="A6717"/>
      <c r="B6717"/>
      <c r="C6717"/>
      <c r="D6717"/>
      <c r="E6717"/>
      <c r="F6717"/>
      <c r="G6717"/>
      <c r="H6717"/>
      <c r="I6717"/>
      <c r="J6717"/>
      <c r="K6717" s="1"/>
      <c r="L6717" s="2"/>
    </row>
    <row r="6718" spans="1:12" x14ac:dyDescent="0.2">
      <c r="A6718"/>
      <c r="B6718"/>
      <c r="C6718"/>
      <c r="D6718"/>
      <c r="E6718"/>
      <c r="F6718"/>
      <c r="G6718"/>
      <c r="H6718"/>
      <c r="I6718"/>
      <c r="J6718"/>
      <c r="K6718" s="1"/>
      <c r="L6718" s="2"/>
    </row>
    <row r="6719" spans="1:12" x14ac:dyDescent="0.2">
      <c r="A6719"/>
      <c r="B6719"/>
      <c r="C6719"/>
      <c r="D6719"/>
      <c r="E6719"/>
      <c r="F6719"/>
      <c r="G6719"/>
      <c r="H6719"/>
      <c r="I6719"/>
      <c r="J6719"/>
      <c r="K6719" s="1"/>
      <c r="L6719" s="2"/>
    </row>
    <row r="6720" spans="1:12" x14ac:dyDescent="0.2">
      <c r="A6720"/>
      <c r="B6720"/>
      <c r="C6720"/>
      <c r="D6720"/>
      <c r="E6720"/>
      <c r="F6720"/>
      <c r="G6720"/>
      <c r="H6720"/>
      <c r="I6720"/>
      <c r="J6720"/>
      <c r="K6720" s="1"/>
      <c r="L6720" s="2"/>
    </row>
    <row r="6721" spans="1:12" x14ac:dyDescent="0.2">
      <c r="A6721"/>
      <c r="B6721"/>
      <c r="C6721"/>
      <c r="D6721"/>
      <c r="E6721"/>
      <c r="F6721"/>
      <c r="G6721"/>
      <c r="H6721"/>
      <c r="I6721"/>
      <c r="J6721"/>
      <c r="K6721" s="1"/>
      <c r="L6721" s="2"/>
    </row>
    <row r="6722" spans="1:12" x14ac:dyDescent="0.2">
      <c r="A6722"/>
      <c r="B6722"/>
      <c r="C6722"/>
      <c r="D6722"/>
      <c r="E6722"/>
      <c r="F6722"/>
      <c r="G6722"/>
      <c r="H6722"/>
      <c r="I6722"/>
      <c r="J6722"/>
      <c r="K6722" s="1"/>
      <c r="L6722" s="2"/>
    </row>
    <row r="6723" spans="1:12" x14ac:dyDescent="0.2">
      <c r="A6723"/>
      <c r="B6723"/>
      <c r="C6723"/>
      <c r="D6723"/>
      <c r="E6723"/>
      <c r="F6723"/>
      <c r="G6723"/>
      <c r="H6723"/>
      <c r="I6723"/>
      <c r="J6723"/>
      <c r="K6723" s="1"/>
      <c r="L6723" s="2"/>
    </row>
    <row r="6724" spans="1:12" x14ac:dyDescent="0.2">
      <c r="A6724"/>
      <c r="B6724"/>
      <c r="C6724"/>
      <c r="D6724"/>
      <c r="E6724"/>
      <c r="F6724"/>
      <c r="G6724"/>
      <c r="H6724"/>
      <c r="I6724"/>
      <c r="J6724"/>
      <c r="K6724" s="1"/>
      <c r="L6724" s="2"/>
    </row>
    <row r="6725" spans="1:12" x14ac:dyDescent="0.2">
      <c r="A6725"/>
      <c r="B6725"/>
      <c r="C6725"/>
      <c r="D6725"/>
      <c r="E6725"/>
      <c r="F6725"/>
      <c r="G6725"/>
      <c r="H6725"/>
      <c r="I6725"/>
      <c r="J6725"/>
      <c r="K6725" s="1"/>
      <c r="L6725" s="2"/>
    </row>
    <row r="6726" spans="1:12" x14ac:dyDescent="0.2">
      <c r="A6726"/>
      <c r="B6726"/>
      <c r="C6726"/>
      <c r="D6726"/>
      <c r="E6726"/>
      <c r="F6726"/>
      <c r="G6726"/>
      <c r="H6726"/>
      <c r="I6726"/>
      <c r="J6726"/>
      <c r="K6726" s="1"/>
      <c r="L6726" s="2"/>
    </row>
    <row r="6727" spans="1:12" x14ac:dyDescent="0.2">
      <c r="A6727"/>
      <c r="B6727"/>
      <c r="C6727"/>
      <c r="D6727"/>
      <c r="E6727"/>
      <c r="F6727"/>
      <c r="G6727"/>
      <c r="H6727"/>
      <c r="I6727"/>
      <c r="J6727"/>
      <c r="K6727" s="1"/>
      <c r="L6727" s="2"/>
    </row>
    <row r="6728" spans="1:12" x14ac:dyDescent="0.2">
      <c r="A6728"/>
      <c r="B6728"/>
      <c r="C6728"/>
      <c r="D6728"/>
      <c r="E6728"/>
      <c r="F6728"/>
      <c r="G6728"/>
      <c r="H6728"/>
      <c r="I6728"/>
      <c r="J6728"/>
      <c r="K6728" s="1"/>
      <c r="L6728" s="2"/>
    </row>
    <row r="6729" spans="1:12" x14ac:dyDescent="0.2">
      <c r="A6729"/>
      <c r="B6729"/>
      <c r="C6729"/>
      <c r="D6729"/>
      <c r="E6729"/>
      <c r="F6729"/>
      <c r="G6729"/>
      <c r="H6729"/>
      <c r="I6729"/>
      <c r="J6729"/>
      <c r="K6729" s="1"/>
      <c r="L6729" s="2"/>
    </row>
    <row r="6730" spans="1:12" x14ac:dyDescent="0.2">
      <c r="A6730"/>
      <c r="B6730"/>
      <c r="C6730"/>
      <c r="D6730"/>
      <c r="E6730"/>
      <c r="F6730"/>
      <c r="G6730"/>
      <c r="H6730"/>
      <c r="I6730"/>
      <c r="J6730"/>
      <c r="K6730" s="1"/>
      <c r="L6730" s="2"/>
    </row>
    <row r="6731" spans="1:12" x14ac:dyDescent="0.2">
      <c r="A6731"/>
      <c r="B6731"/>
      <c r="C6731"/>
      <c r="D6731"/>
      <c r="E6731"/>
      <c r="F6731"/>
      <c r="G6731"/>
      <c r="H6731"/>
      <c r="I6731"/>
      <c r="J6731"/>
      <c r="K6731" s="1"/>
      <c r="L6731" s="2"/>
    </row>
    <row r="6732" spans="1:12" x14ac:dyDescent="0.2">
      <c r="A6732"/>
      <c r="B6732"/>
      <c r="C6732"/>
      <c r="D6732"/>
      <c r="E6732"/>
      <c r="F6732"/>
      <c r="G6732"/>
      <c r="H6732"/>
      <c r="I6732"/>
      <c r="J6732"/>
      <c r="K6732" s="1"/>
      <c r="L6732" s="2"/>
    </row>
    <row r="6733" spans="1:12" x14ac:dyDescent="0.2">
      <c r="A6733"/>
      <c r="B6733"/>
      <c r="C6733"/>
      <c r="D6733"/>
      <c r="E6733"/>
      <c r="F6733"/>
      <c r="G6733"/>
      <c r="H6733"/>
      <c r="I6733"/>
      <c r="J6733"/>
      <c r="K6733" s="1"/>
      <c r="L6733" s="2"/>
    </row>
    <row r="6734" spans="1:12" x14ac:dyDescent="0.2">
      <c r="A6734"/>
      <c r="B6734"/>
      <c r="C6734"/>
      <c r="D6734"/>
      <c r="E6734"/>
      <c r="F6734"/>
      <c r="G6734"/>
      <c r="H6734"/>
      <c r="I6734"/>
      <c r="J6734"/>
      <c r="K6734" s="1"/>
      <c r="L6734" s="2"/>
    </row>
    <row r="6735" spans="1:12" x14ac:dyDescent="0.2">
      <c r="A6735"/>
      <c r="B6735"/>
      <c r="C6735"/>
      <c r="D6735"/>
      <c r="E6735"/>
      <c r="F6735"/>
      <c r="G6735"/>
      <c r="H6735"/>
      <c r="I6735"/>
      <c r="J6735"/>
      <c r="K6735" s="1"/>
      <c r="L6735" s="2"/>
    </row>
    <row r="6736" spans="1:12" x14ac:dyDescent="0.2">
      <c r="A6736"/>
      <c r="B6736"/>
      <c r="C6736"/>
      <c r="D6736"/>
      <c r="E6736"/>
      <c r="F6736"/>
      <c r="G6736"/>
      <c r="H6736"/>
      <c r="I6736"/>
      <c r="J6736"/>
      <c r="K6736" s="1"/>
      <c r="L6736" s="2"/>
    </row>
    <row r="6737" spans="1:12" x14ac:dyDescent="0.2">
      <c r="A6737"/>
      <c r="B6737"/>
      <c r="C6737"/>
      <c r="D6737"/>
      <c r="E6737"/>
      <c r="F6737"/>
      <c r="G6737"/>
      <c r="H6737"/>
      <c r="I6737"/>
      <c r="J6737"/>
      <c r="K6737" s="1"/>
      <c r="L6737" s="2"/>
    </row>
    <row r="6738" spans="1:12" x14ac:dyDescent="0.2">
      <c r="A6738"/>
      <c r="B6738"/>
      <c r="C6738"/>
      <c r="D6738"/>
      <c r="E6738"/>
      <c r="F6738"/>
      <c r="G6738"/>
      <c r="H6738"/>
      <c r="I6738"/>
      <c r="J6738"/>
      <c r="K6738" s="1"/>
      <c r="L6738" s="2"/>
    </row>
    <row r="6739" spans="1:12" x14ac:dyDescent="0.2">
      <c r="A6739"/>
      <c r="B6739"/>
      <c r="C6739"/>
      <c r="D6739"/>
      <c r="E6739"/>
      <c r="F6739"/>
      <c r="G6739"/>
      <c r="H6739"/>
      <c r="I6739"/>
      <c r="J6739"/>
      <c r="K6739" s="1"/>
      <c r="L6739" s="2"/>
    </row>
    <row r="6740" spans="1:12" x14ac:dyDescent="0.2">
      <c r="A6740"/>
      <c r="B6740"/>
      <c r="C6740"/>
      <c r="D6740"/>
      <c r="E6740"/>
      <c r="F6740"/>
      <c r="G6740"/>
      <c r="H6740"/>
      <c r="I6740"/>
      <c r="J6740"/>
      <c r="K6740" s="1"/>
      <c r="L6740" s="2"/>
    </row>
    <row r="6741" spans="1:12" x14ac:dyDescent="0.2">
      <c r="A6741"/>
      <c r="B6741"/>
      <c r="C6741"/>
      <c r="D6741"/>
      <c r="E6741"/>
      <c r="F6741"/>
      <c r="G6741"/>
      <c r="H6741"/>
      <c r="I6741"/>
      <c r="J6741"/>
      <c r="K6741" s="1"/>
      <c r="L6741" s="2"/>
    </row>
    <row r="6742" spans="1:12" x14ac:dyDescent="0.2">
      <c r="A6742"/>
      <c r="B6742"/>
      <c r="C6742"/>
      <c r="D6742"/>
      <c r="E6742"/>
      <c r="F6742"/>
      <c r="G6742"/>
      <c r="H6742"/>
      <c r="I6742"/>
      <c r="J6742"/>
      <c r="K6742" s="1"/>
      <c r="L6742" s="2"/>
    </row>
    <row r="6743" spans="1:12" x14ac:dyDescent="0.2">
      <c r="A6743"/>
      <c r="B6743"/>
      <c r="C6743"/>
      <c r="D6743"/>
      <c r="E6743"/>
      <c r="F6743"/>
      <c r="G6743"/>
      <c r="H6743"/>
      <c r="I6743"/>
      <c r="J6743"/>
      <c r="K6743" s="1"/>
      <c r="L6743" s="2"/>
    </row>
    <row r="6744" spans="1:12" x14ac:dyDescent="0.2">
      <c r="A6744"/>
      <c r="B6744"/>
      <c r="C6744"/>
      <c r="D6744"/>
      <c r="E6744"/>
      <c r="F6744"/>
      <c r="G6744"/>
      <c r="H6744"/>
      <c r="I6744"/>
      <c r="J6744"/>
      <c r="K6744" s="1"/>
      <c r="L6744" s="2"/>
    </row>
    <row r="6745" spans="1:12" x14ac:dyDescent="0.2">
      <c r="A6745"/>
      <c r="B6745"/>
      <c r="C6745"/>
      <c r="D6745"/>
      <c r="E6745"/>
      <c r="F6745"/>
      <c r="G6745"/>
      <c r="H6745"/>
      <c r="I6745"/>
      <c r="J6745"/>
      <c r="K6745" s="1"/>
      <c r="L6745" s="2"/>
    </row>
    <row r="6746" spans="1:12" x14ac:dyDescent="0.2">
      <c r="A6746"/>
      <c r="B6746"/>
      <c r="C6746"/>
      <c r="D6746"/>
      <c r="E6746"/>
      <c r="F6746"/>
      <c r="G6746"/>
      <c r="H6746"/>
      <c r="I6746"/>
      <c r="J6746"/>
      <c r="K6746" s="1"/>
      <c r="L6746" s="2"/>
    </row>
    <row r="6747" spans="1:12" x14ac:dyDescent="0.2">
      <c r="A6747"/>
      <c r="B6747"/>
      <c r="C6747"/>
      <c r="D6747"/>
      <c r="E6747"/>
      <c r="F6747"/>
      <c r="G6747"/>
      <c r="H6747"/>
      <c r="I6747"/>
      <c r="J6747"/>
      <c r="K6747" s="1"/>
      <c r="L6747" s="2"/>
    </row>
    <row r="6748" spans="1:12" x14ac:dyDescent="0.2">
      <c r="A6748"/>
      <c r="B6748"/>
      <c r="C6748"/>
      <c r="D6748"/>
      <c r="E6748"/>
      <c r="F6748"/>
      <c r="G6748"/>
      <c r="H6748"/>
      <c r="I6748"/>
      <c r="J6748"/>
      <c r="K6748" s="1"/>
      <c r="L6748" s="2"/>
    </row>
    <row r="6749" spans="1:12" x14ac:dyDescent="0.2">
      <c r="A6749"/>
      <c r="B6749"/>
      <c r="C6749"/>
      <c r="D6749"/>
      <c r="E6749"/>
      <c r="F6749"/>
      <c r="G6749"/>
      <c r="H6749"/>
      <c r="I6749"/>
      <c r="J6749"/>
      <c r="K6749" s="1"/>
      <c r="L6749" s="2"/>
    </row>
    <row r="6750" spans="1:12" x14ac:dyDescent="0.2">
      <c r="A6750"/>
      <c r="B6750"/>
      <c r="C6750"/>
      <c r="D6750"/>
      <c r="E6750"/>
      <c r="F6750"/>
      <c r="G6750"/>
      <c r="H6750"/>
      <c r="I6750"/>
      <c r="J6750"/>
      <c r="K6750" s="1"/>
      <c r="L6750" s="2"/>
    </row>
    <row r="6751" spans="1:12" x14ac:dyDescent="0.2">
      <c r="A6751"/>
      <c r="B6751"/>
      <c r="C6751"/>
      <c r="D6751"/>
      <c r="E6751"/>
      <c r="F6751"/>
      <c r="G6751"/>
      <c r="H6751"/>
      <c r="I6751"/>
      <c r="J6751"/>
      <c r="K6751" s="1"/>
      <c r="L6751" s="2"/>
    </row>
    <row r="6752" spans="1:12" x14ac:dyDescent="0.2">
      <c r="A6752"/>
      <c r="B6752"/>
      <c r="C6752"/>
      <c r="D6752"/>
      <c r="E6752"/>
      <c r="F6752"/>
      <c r="G6752"/>
      <c r="H6752"/>
      <c r="I6752"/>
      <c r="J6752"/>
      <c r="K6752" s="1"/>
      <c r="L6752" s="2"/>
    </row>
    <row r="6753" spans="1:12" x14ac:dyDescent="0.2">
      <c r="A6753"/>
      <c r="B6753"/>
      <c r="C6753"/>
      <c r="D6753"/>
      <c r="E6753"/>
      <c r="F6753"/>
      <c r="G6753"/>
      <c r="H6753"/>
      <c r="I6753"/>
      <c r="J6753"/>
      <c r="K6753" s="1"/>
      <c r="L6753" s="2"/>
    </row>
    <row r="6754" spans="1:12" x14ac:dyDescent="0.2">
      <c r="A6754"/>
      <c r="B6754"/>
      <c r="C6754"/>
      <c r="D6754"/>
      <c r="E6754"/>
      <c r="F6754"/>
      <c r="G6754"/>
      <c r="H6754"/>
      <c r="I6754"/>
      <c r="J6754"/>
      <c r="K6754" s="1"/>
      <c r="L6754" s="2"/>
    </row>
    <row r="6755" spans="1:12" x14ac:dyDescent="0.2">
      <c r="A6755"/>
      <c r="B6755"/>
      <c r="C6755"/>
      <c r="D6755"/>
      <c r="E6755"/>
      <c r="F6755"/>
      <c r="G6755"/>
      <c r="H6755"/>
      <c r="I6755"/>
      <c r="J6755"/>
      <c r="K6755" s="1"/>
      <c r="L6755" s="2"/>
    </row>
    <row r="6756" spans="1:12" x14ac:dyDescent="0.2">
      <c r="A6756"/>
      <c r="B6756"/>
      <c r="C6756"/>
      <c r="D6756"/>
      <c r="E6756"/>
      <c r="F6756"/>
      <c r="G6756"/>
      <c r="H6756"/>
      <c r="I6756"/>
      <c r="J6756"/>
      <c r="K6756" s="1"/>
      <c r="L6756" s="2"/>
    </row>
    <row r="6757" spans="1:12" x14ac:dyDescent="0.2">
      <c r="A6757"/>
      <c r="B6757"/>
      <c r="C6757"/>
      <c r="D6757"/>
      <c r="E6757"/>
      <c r="F6757"/>
      <c r="G6757"/>
      <c r="H6757"/>
      <c r="I6757"/>
      <c r="J6757"/>
      <c r="K6757" s="1"/>
      <c r="L6757" s="2"/>
    </row>
    <row r="6758" spans="1:12" x14ac:dyDescent="0.2">
      <c r="A6758"/>
      <c r="B6758"/>
      <c r="C6758"/>
      <c r="D6758"/>
      <c r="E6758"/>
      <c r="F6758"/>
      <c r="G6758"/>
      <c r="H6758"/>
      <c r="I6758"/>
      <c r="J6758"/>
      <c r="K6758" s="1"/>
      <c r="L6758" s="2"/>
    </row>
    <row r="6759" spans="1:12" x14ac:dyDescent="0.2">
      <c r="A6759"/>
      <c r="B6759"/>
      <c r="C6759"/>
      <c r="D6759"/>
      <c r="E6759"/>
      <c r="F6759"/>
      <c r="G6759"/>
      <c r="H6759"/>
      <c r="I6759"/>
      <c r="J6759"/>
      <c r="K6759" s="1"/>
      <c r="L6759" s="2"/>
    </row>
    <row r="6760" spans="1:12" x14ac:dyDescent="0.2">
      <c r="A6760"/>
      <c r="B6760"/>
      <c r="C6760"/>
      <c r="D6760"/>
      <c r="E6760"/>
      <c r="F6760"/>
      <c r="G6760"/>
      <c r="H6760"/>
      <c r="I6760"/>
      <c r="J6760"/>
      <c r="K6760" s="1"/>
      <c r="L6760" s="2"/>
    </row>
    <row r="6761" spans="1:12" x14ac:dyDescent="0.2">
      <c r="A6761"/>
      <c r="B6761"/>
      <c r="C6761"/>
      <c r="D6761"/>
      <c r="E6761"/>
      <c r="F6761"/>
      <c r="G6761"/>
      <c r="H6761"/>
      <c r="I6761"/>
      <c r="J6761"/>
      <c r="K6761" s="1"/>
      <c r="L6761" s="2"/>
    </row>
    <row r="6762" spans="1:12" x14ac:dyDescent="0.2">
      <c r="A6762"/>
      <c r="B6762"/>
      <c r="C6762"/>
      <c r="D6762"/>
      <c r="E6762"/>
      <c r="F6762"/>
      <c r="G6762"/>
      <c r="H6762"/>
      <c r="I6762"/>
      <c r="J6762"/>
      <c r="K6762" s="1"/>
      <c r="L6762" s="2"/>
    </row>
    <row r="6763" spans="1:12" x14ac:dyDescent="0.2">
      <c r="A6763"/>
      <c r="B6763"/>
      <c r="C6763"/>
      <c r="D6763"/>
      <c r="E6763"/>
      <c r="F6763"/>
      <c r="G6763"/>
      <c r="H6763"/>
      <c r="I6763"/>
      <c r="J6763"/>
      <c r="K6763" s="1"/>
      <c r="L6763" s="2"/>
    </row>
    <row r="6764" spans="1:12" x14ac:dyDescent="0.2">
      <c r="A6764"/>
      <c r="B6764"/>
      <c r="C6764"/>
      <c r="D6764"/>
      <c r="E6764"/>
      <c r="F6764"/>
      <c r="G6764"/>
      <c r="H6764"/>
      <c r="I6764"/>
      <c r="J6764"/>
      <c r="K6764" s="1"/>
      <c r="L6764" s="2"/>
    </row>
    <row r="6765" spans="1:12" x14ac:dyDescent="0.2">
      <c r="A6765"/>
      <c r="B6765"/>
      <c r="C6765"/>
      <c r="D6765"/>
      <c r="E6765"/>
      <c r="F6765"/>
      <c r="G6765"/>
      <c r="H6765"/>
      <c r="I6765"/>
      <c r="J6765"/>
      <c r="K6765" s="1"/>
      <c r="L6765" s="2"/>
    </row>
    <row r="6766" spans="1:12" x14ac:dyDescent="0.2">
      <c r="A6766"/>
      <c r="B6766"/>
      <c r="C6766"/>
      <c r="D6766"/>
      <c r="E6766"/>
      <c r="F6766"/>
      <c r="G6766"/>
      <c r="H6766"/>
      <c r="I6766"/>
      <c r="J6766"/>
      <c r="K6766" s="1"/>
      <c r="L6766" s="2"/>
    </row>
    <row r="6767" spans="1:12" x14ac:dyDescent="0.2">
      <c r="A6767"/>
      <c r="B6767"/>
      <c r="C6767"/>
      <c r="D6767"/>
      <c r="E6767"/>
      <c r="F6767"/>
      <c r="G6767"/>
      <c r="H6767"/>
      <c r="I6767"/>
      <c r="J6767"/>
      <c r="K6767" s="1"/>
      <c r="L6767" s="2"/>
    </row>
    <row r="6768" spans="1:12" x14ac:dyDescent="0.2">
      <c r="A6768"/>
      <c r="B6768"/>
      <c r="C6768"/>
      <c r="D6768"/>
      <c r="E6768"/>
      <c r="F6768"/>
      <c r="G6768"/>
      <c r="H6768"/>
      <c r="I6768"/>
      <c r="J6768"/>
      <c r="K6768" s="1"/>
      <c r="L6768" s="2"/>
    </row>
    <row r="6769" spans="1:12" x14ac:dyDescent="0.2">
      <c r="A6769"/>
      <c r="B6769"/>
      <c r="C6769"/>
      <c r="D6769"/>
      <c r="E6769"/>
      <c r="F6769"/>
      <c r="G6769"/>
      <c r="H6769"/>
      <c r="I6769"/>
      <c r="J6769"/>
      <c r="K6769" s="1"/>
      <c r="L6769" s="2"/>
    </row>
    <row r="6770" spans="1:12" x14ac:dyDescent="0.2">
      <c r="A6770"/>
      <c r="B6770"/>
      <c r="C6770"/>
      <c r="D6770"/>
      <c r="E6770"/>
      <c r="F6770"/>
      <c r="G6770"/>
      <c r="H6770"/>
      <c r="I6770"/>
      <c r="J6770"/>
      <c r="K6770" s="1"/>
      <c r="L6770" s="2"/>
    </row>
    <row r="6771" spans="1:12" x14ac:dyDescent="0.2">
      <c r="A6771"/>
      <c r="B6771"/>
      <c r="C6771"/>
      <c r="D6771"/>
      <c r="E6771"/>
      <c r="F6771"/>
      <c r="G6771"/>
      <c r="H6771"/>
      <c r="I6771"/>
      <c r="J6771"/>
      <c r="K6771" s="1"/>
      <c r="L6771" s="2"/>
    </row>
    <row r="6772" spans="1:12" x14ac:dyDescent="0.2">
      <c r="A6772"/>
      <c r="B6772"/>
      <c r="C6772"/>
      <c r="D6772"/>
      <c r="E6772"/>
      <c r="F6772"/>
      <c r="G6772"/>
      <c r="H6772"/>
      <c r="I6772"/>
      <c r="J6772"/>
      <c r="K6772" s="1"/>
      <c r="L6772" s="2"/>
    </row>
    <row r="6773" spans="1:12" x14ac:dyDescent="0.2">
      <c r="A6773"/>
      <c r="B6773"/>
      <c r="C6773"/>
      <c r="D6773"/>
      <c r="E6773"/>
      <c r="F6773"/>
      <c r="G6773"/>
      <c r="H6773"/>
      <c r="I6773"/>
      <c r="J6773"/>
      <c r="K6773" s="1"/>
      <c r="L6773" s="2"/>
    </row>
    <row r="6774" spans="1:12" x14ac:dyDescent="0.2">
      <c r="A6774"/>
      <c r="B6774"/>
      <c r="C6774"/>
      <c r="D6774"/>
      <c r="E6774"/>
      <c r="F6774"/>
      <c r="G6774"/>
      <c r="H6774"/>
      <c r="I6774"/>
      <c r="J6774"/>
      <c r="K6774" s="1"/>
      <c r="L6774" s="2"/>
    </row>
    <row r="6775" spans="1:12" x14ac:dyDescent="0.2">
      <c r="A6775"/>
      <c r="B6775"/>
      <c r="C6775"/>
      <c r="D6775"/>
      <c r="E6775"/>
      <c r="F6775"/>
      <c r="G6775"/>
      <c r="H6775"/>
      <c r="I6775"/>
      <c r="J6775"/>
      <c r="K6775" s="1"/>
      <c r="L6775" s="2"/>
    </row>
    <row r="6776" spans="1:12" x14ac:dyDescent="0.2">
      <c r="A6776"/>
      <c r="B6776"/>
      <c r="C6776"/>
      <c r="D6776"/>
      <c r="E6776"/>
      <c r="F6776"/>
      <c r="G6776"/>
      <c r="H6776"/>
      <c r="I6776"/>
      <c r="J6776"/>
      <c r="K6776" s="1"/>
      <c r="L6776" s="2"/>
    </row>
    <row r="6777" spans="1:12" x14ac:dyDescent="0.2">
      <c r="A6777"/>
      <c r="B6777"/>
      <c r="C6777"/>
      <c r="D6777"/>
      <c r="E6777"/>
      <c r="F6777"/>
      <c r="G6777"/>
      <c r="H6777"/>
      <c r="I6777"/>
      <c r="J6777"/>
      <c r="K6777" s="1"/>
      <c r="L6777" s="2"/>
    </row>
    <row r="6778" spans="1:12" x14ac:dyDescent="0.2">
      <c r="A6778"/>
      <c r="B6778"/>
      <c r="C6778"/>
      <c r="D6778"/>
      <c r="E6778"/>
      <c r="F6778"/>
      <c r="G6778"/>
      <c r="H6778"/>
      <c r="I6778"/>
      <c r="J6778"/>
      <c r="K6778" s="1"/>
      <c r="L6778" s="2"/>
    </row>
    <row r="6779" spans="1:12" x14ac:dyDescent="0.2">
      <c r="A6779"/>
      <c r="B6779"/>
      <c r="C6779"/>
      <c r="D6779"/>
      <c r="E6779"/>
      <c r="F6779"/>
      <c r="G6779"/>
      <c r="H6779"/>
      <c r="I6779"/>
      <c r="J6779"/>
      <c r="K6779" s="1"/>
      <c r="L6779" s="2"/>
    </row>
    <row r="6780" spans="1:12" x14ac:dyDescent="0.2">
      <c r="A6780"/>
      <c r="B6780"/>
      <c r="C6780"/>
      <c r="D6780"/>
      <c r="E6780"/>
      <c r="F6780"/>
      <c r="G6780"/>
      <c r="H6780"/>
      <c r="I6780"/>
      <c r="J6780"/>
      <c r="K6780" s="1"/>
      <c r="L6780" s="2"/>
    </row>
    <row r="6781" spans="1:12" x14ac:dyDescent="0.2">
      <c r="A6781"/>
      <c r="B6781"/>
      <c r="C6781"/>
      <c r="D6781"/>
      <c r="E6781"/>
      <c r="F6781"/>
      <c r="G6781"/>
      <c r="H6781"/>
      <c r="I6781"/>
      <c r="J6781"/>
      <c r="K6781" s="1"/>
      <c r="L6781" s="2"/>
    </row>
    <row r="6782" spans="1:12" x14ac:dyDescent="0.2">
      <c r="A6782"/>
      <c r="B6782"/>
      <c r="C6782"/>
      <c r="D6782"/>
      <c r="E6782"/>
      <c r="F6782"/>
      <c r="G6782"/>
      <c r="H6782"/>
      <c r="I6782"/>
      <c r="J6782"/>
      <c r="K6782" s="1"/>
      <c r="L6782" s="2"/>
    </row>
    <row r="6783" spans="1:12" x14ac:dyDescent="0.2">
      <c r="A6783"/>
      <c r="B6783"/>
      <c r="C6783"/>
      <c r="D6783"/>
      <c r="E6783"/>
      <c r="F6783"/>
      <c r="G6783"/>
      <c r="H6783"/>
      <c r="I6783"/>
      <c r="J6783"/>
      <c r="K6783" s="1"/>
      <c r="L6783" s="2"/>
    </row>
    <row r="6784" spans="1:12" x14ac:dyDescent="0.2">
      <c r="A6784"/>
      <c r="B6784"/>
      <c r="C6784"/>
      <c r="D6784"/>
      <c r="E6784"/>
      <c r="F6784"/>
      <c r="G6784"/>
      <c r="H6784"/>
      <c r="I6784"/>
      <c r="J6784"/>
      <c r="K6784" s="1"/>
      <c r="L6784" s="2"/>
    </row>
    <row r="6785" spans="1:12" x14ac:dyDescent="0.2">
      <c r="A6785"/>
      <c r="B6785"/>
      <c r="C6785"/>
      <c r="D6785"/>
      <c r="E6785"/>
      <c r="F6785"/>
      <c r="G6785"/>
      <c r="H6785"/>
      <c r="I6785"/>
      <c r="J6785"/>
      <c r="K6785" s="1"/>
      <c r="L6785" s="2"/>
    </row>
    <row r="6786" spans="1:12" x14ac:dyDescent="0.2">
      <c r="A6786"/>
      <c r="B6786"/>
      <c r="C6786"/>
      <c r="D6786"/>
      <c r="E6786"/>
      <c r="F6786"/>
      <c r="G6786"/>
      <c r="H6786"/>
      <c r="I6786"/>
      <c r="J6786"/>
      <c r="K6786" s="1"/>
      <c r="L6786" s="2"/>
    </row>
    <row r="6787" spans="1:12" x14ac:dyDescent="0.2">
      <c r="A6787"/>
      <c r="B6787"/>
      <c r="C6787"/>
      <c r="D6787"/>
      <c r="E6787"/>
      <c r="F6787"/>
      <c r="G6787"/>
      <c r="H6787"/>
      <c r="I6787"/>
      <c r="J6787"/>
      <c r="K6787" s="1"/>
      <c r="L6787" s="2"/>
    </row>
    <row r="6788" spans="1:12" x14ac:dyDescent="0.2">
      <c r="A6788"/>
      <c r="B6788"/>
      <c r="C6788"/>
      <c r="D6788"/>
      <c r="E6788"/>
      <c r="F6788"/>
      <c r="G6788"/>
      <c r="H6788"/>
      <c r="I6788"/>
      <c r="J6788"/>
      <c r="K6788" s="1"/>
      <c r="L6788" s="2"/>
    </row>
    <row r="6789" spans="1:12" x14ac:dyDescent="0.2">
      <c r="A6789"/>
      <c r="B6789"/>
      <c r="C6789"/>
      <c r="D6789"/>
      <c r="E6789"/>
      <c r="F6789"/>
      <c r="G6789"/>
      <c r="H6789"/>
      <c r="I6789"/>
      <c r="J6789"/>
      <c r="K6789" s="1"/>
      <c r="L6789" s="2"/>
    </row>
    <row r="6790" spans="1:12" x14ac:dyDescent="0.2">
      <c r="A6790"/>
      <c r="B6790"/>
      <c r="C6790"/>
      <c r="D6790"/>
      <c r="E6790"/>
      <c r="F6790"/>
      <c r="G6790"/>
      <c r="H6790"/>
      <c r="I6790"/>
      <c r="J6790"/>
      <c r="K6790" s="1"/>
      <c r="L6790" s="2"/>
    </row>
    <row r="6791" spans="1:12" x14ac:dyDescent="0.2">
      <c r="A6791"/>
      <c r="B6791"/>
      <c r="C6791"/>
      <c r="D6791"/>
      <c r="E6791"/>
      <c r="F6791"/>
      <c r="G6791"/>
      <c r="H6791"/>
      <c r="I6791"/>
      <c r="J6791"/>
      <c r="K6791" s="1"/>
      <c r="L6791" s="2"/>
    </row>
    <row r="6792" spans="1:12" x14ac:dyDescent="0.2">
      <c r="A6792"/>
      <c r="B6792"/>
      <c r="C6792"/>
      <c r="D6792"/>
      <c r="E6792"/>
      <c r="F6792"/>
      <c r="G6792"/>
      <c r="H6792"/>
      <c r="I6792"/>
      <c r="J6792"/>
      <c r="K6792" s="1"/>
      <c r="L6792" s="2"/>
    </row>
    <row r="6793" spans="1:12" x14ac:dyDescent="0.2">
      <c r="A6793"/>
      <c r="B6793"/>
      <c r="C6793"/>
      <c r="D6793"/>
      <c r="E6793"/>
      <c r="F6793"/>
      <c r="G6793"/>
      <c r="H6793"/>
      <c r="I6793"/>
      <c r="J6793"/>
      <c r="K6793" s="1"/>
      <c r="L6793" s="2"/>
    </row>
    <row r="6794" spans="1:12" x14ac:dyDescent="0.2">
      <c r="A6794"/>
      <c r="B6794"/>
      <c r="C6794"/>
      <c r="D6794"/>
      <c r="E6794"/>
      <c r="F6794"/>
      <c r="G6794"/>
      <c r="H6794"/>
      <c r="I6794"/>
      <c r="J6794"/>
      <c r="K6794" s="1"/>
      <c r="L6794" s="2"/>
    </row>
    <row r="6795" spans="1:12" x14ac:dyDescent="0.2">
      <c r="A6795"/>
      <c r="B6795"/>
      <c r="C6795"/>
      <c r="D6795"/>
      <c r="E6795"/>
      <c r="F6795"/>
      <c r="G6795"/>
      <c r="H6795"/>
      <c r="I6795"/>
      <c r="J6795"/>
      <c r="K6795" s="1"/>
      <c r="L6795" s="2"/>
    </row>
    <row r="6796" spans="1:12" x14ac:dyDescent="0.2">
      <c r="A6796"/>
      <c r="B6796"/>
      <c r="C6796"/>
      <c r="D6796"/>
      <c r="E6796"/>
      <c r="F6796"/>
      <c r="G6796"/>
      <c r="H6796"/>
      <c r="I6796"/>
      <c r="J6796"/>
      <c r="K6796" s="1"/>
      <c r="L6796" s="2"/>
    </row>
    <row r="6797" spans="1:12" x14ac:dyDescent="0.2">
      <c r="A6797"/>
      <c r="B6797"/>
      <c r="C6797"/>
      <c r="D6797"/>
      <c r="E6797"/>
      <c r="F6797"/>
      <c r="G6797"/>
      <c r="H6797"/>
      <c r="I6797"/>
      <c r="J6797"/>
      <c r="K6797" s="1"/>
      <c r="L6797" s="2"/>
    </row>
    <row r="6798" spans="1:12" x14ac:dyDescent="0.2">
      <c r="A6798"/>
      <c r="B6798"/>
      <c r="C6798"/>
      <c r="D6798"/>
      <c r="E6798"/>
      <c r="F6798"/>
      <c r="G6798"/>
      <c r="H6798"/>
      <c r="I6798"/>
      <c r="J6798"/>
      <c r="K6798" s="1"/>
      <c r="L6798" s="2"/>
    </row>
    <row r="6799" spans="1:12" x14ac:dyDescent="0.2">
      <c r="A6799"/>
      <c r="B6799"/>
      <c r="C6799"/>
      <c r="D6799"/>
      <c r="E6799"/>
      <c r="F6799"/>
      <c r="G6799"/>
      <c r="H6799"/>
      <c r="I6799"/>
      <c r="J6799"/>
      <c r="K6799" s="1"/>
      <c r="L6799" s="2"/>
    </row>
    <row r="6800" spans="1:12" x14ac:dyDescent="0.2">
      <c r="A6800"/>
      <c r="B6800"/>
      <c r="C6800"/>
      <c r="D6800"/>
      <c r="E6800"/>
      <c r="F6800"/>
      <c r="G6800"/>
      <c r="H6800"/>
      <c r="I6800"/>
      <c r="J6800"/>
      <c r="K6800" s="1"/>
      <c r="L6800" s="2"/>
    </row>
    <row r="6801" spans="1:12" x14ac:dyDescent="0.2">
      <c r="A6801"/>
      <c r="B6801"/>
      <c r="C6801"/>
      <c r="D6801"/>
      <c r="E6801"/>
      <c r="F6801"/>
      <c r="G6801"/>
      <c r="H6801"/>
      <c r="I6801"/>
      <c r="J6801"/>
      <c r="K6801" s="1"/>
      <c r="L6801" s="2"/>
    </row>
    <row r="6802" spans="1:12" x14ac:dyDescent="0.2">
      <c r="A6802"/>
      <c r="B6802"/>
      <c r="C6802"/>
      <c r="D6802"/>
      <c r="E6802"/>
      <c r="F6802"/>
      <c r="G6802"/>
      <c r="H6802"/>
      <c r="I6802"/>
      <c r="J6802"/>
      <c r="K6802" s="1"/>
      <c r="L6802" s="2"/>
    </row>
    <row r="6803" spans="1:12" x14ac:dyDescent="0.2">
      <c r="A6803"/>
      <c r="B6803"/>
      <c r="C6803"/>
      <c r="D6803"/>
      <c r="E6803"/>
      <c r="F6803"/>
      <c r="G6803"/>
      <c r="H6803"/>
      <c r="I6803"/>
      <c r="J6803"/>
      <c r="K6803" s="1"/>
      <c r="L6803" s="2"/>
    </row>
    <row r="6804" spans="1:12" x14ac:dyDescent="0.2">
      <c r="A6804"/>
      <c r="B6804"/>
      <c r="C6804"/>
      <c r="D6804"/>
      <c r="E6804"/>
      <c r="F6804"/>
      <c r="G6804"/>
      <c r="H6804"/>
      <c r="I6804"/>
      <c r="J6804"/>
      <c r="K6804" s="1"/>
      <c r="L6804" s="2"/>
    </row>
    <row r="6805" spans="1:12" x14ac:dyDescent="0.2">
      <c r="A6805"/>
      <c r="B6805"/>
      <c r="C6805"/>
      <c r="D6805"/>
      <c r="E6805"/>
      <c r="F6805"/>
      <c r="G6805"/>
      <c r="H6805"/>
      <c r="I6805"/>
      <c r="J6805"/>
      <c r="K6805" s="1"/>
      <c r="L6805" s="2"/>
    </row>
    <row r="6806" spans="1:12" x14ac:dyDescent="0.2">
      <c r="A6806"/>
      <c r="B6806"/>
      <c r="C6806"/>
      <c r="D6806"/>
      <c r="E6806"/>
      <c r="F6806"/>
      <c r="G6806"/>
      <c r="H6806"/>
      <c r="I6806"/>
      <c r="J6806"/>
      <c r="K6806" s="1"/>
      <c r="L6806" s="2"/>
    </row>
    <row r="6807" spans="1:12" x14ac:dyDescent="0.2">
      <c r="A6807"/>
      <c r="B6807"/>
      <c r="C6807"/>
      <c r="D6807"/>
      <c r="E6807"/>
      <c r="F6807"/>
      <c r="G6807"/>
      <c r="H6807"/>
      <c r="I6807"/>
      <c r="J6807"/>
      <c r="K6807" s="1"/>
      <c r="L6807" s="2"/>
    </row>
    <row r="6808" spans="1:12" x14ac:dyDescent="0.2">
      <c r="A6808"/>
      <c r="B6808"/>
      <c r="C6808"/>
      <c r="D6808"/>
      <c r="E6808"/>
      <c r="F6808"/>
      <c r="G6808"/>
      <c r="H6808"/>
      <c r="I6808"/>
      <c r="J6808"/>
      <c r="K6808" s="1"/>
      <c r="L6808" s="2"/>
    </row>
    <row r="6809" spans="1:12" x14ac:dyDescent="0.2">
      <c r="A6809"/>
      <c r="B6809"/>
      <c r="C6809"/>
      <c r="D6809"/>
      <c r="E6809"/>
      <c r="F6809"/>
      <c r="G6809"/>
      <c r="H6809"/>
      <c r="I6809"/>
      <c r="J6809"/>
      <c r="K6809" s="1"/>
      <c r="L6809" s="2"/>
    </row>
    <row r="6810" spans="1:12" x14ac:dyDescent="0.2">
      <c r="A6810"/>
      <c r="B6810"/>
      <c r="C6810"/>
      <c r="D6810"/>
      <c r="E6810"/>
      <c r="F6810"/>
      <c r="G6810"/>
      <c r="H6810"/>
      <c r="I6810"/>
      <c r="J6810"/>
      <c r="K6810" s="1"/>
      <c r="L6810" s="2"/>
    </row>
    <row r="6811" spans="1:12" x14ac:dyDescent="0.2">
      <c r="A6811"/>
      <c r="B6811"/>
      <c r="C6811"/>
      <c r="D6811"/>
      <c r="E6811"/>
      <c r="F6811"/>
      <c r="G6811"/>
      <c r="H6811"/>
      <c r="I6811"/>
      <c r="J6811"/>
      <c r="K6811" s="1"/>
      <c r="L6811" s="2"/>
    </row>
    <row r="6812" spans="1:12" x14ac:dyDescent="0.2">
      <c r="A6812"/>
      <c r="B6812"/>
      <c r="C6812"/>
      <c r="D6812"/>
      <c r="E6812"/>
      <c r="F6812"/>
      <c r="G6812"/>
      <c r="H6812"/>
      <c r="I6812"/>
      <c r="J6812"/>
      <c r="K6812" s="1"/>
      <c r="L6812" s="2"/>
    </row>
    <row r="6813" spans="1:12" x14ac:dyDescent="0.2">
      <c r="A6813"/>
      <c r="B6813"/>
      <c r="C6813"/>
      <c r="D6813"/>
      <c r="E6813"/>
      <c r="F6813"/>
      <c r="G6813"/>
      <c r="H6813"/>
      <c r="I6813"/>
      <c r="J6813"/>
      <c r="K6813" s="1"/>
      <c r="L6813" s="2"/>
    </row>
    <row r="6814" spans="1:12" x14ac:dyDescent="0.2">
      <c r="A6814"/>
      <c r="B6814"/>
      <c r="C6814"/>
      <c r="D6814"/>
      <c r="E6814"/>
      <c r="F6814"/>
      <c r="G6814"/>
      <c r="H6814"/>
      <c r="I6814"/>
      <c r="J6814"/>
      <c r="K6814" s="1"/>
      <c r="L6814" s="2"/>
    </row>
    <row r="6815" spans="1:12" x14ac:dyDescent="0.2">
      <c r="A6815"/>
      <c r="B6815"/>
      <c r="C6815"/>
      <c r="D6815"/>
      <c r="E6815"/>
      <c r="F6815"/>
      <c r="G6815"/>
      <c r="H6815"/>
      <c r="I6815"/>
      <c r="J6815"/>
      <c r="K6815" s="1"/>
      <c r="L6815" s="2"/>
    </row>
    <row r="6816" spans="1:12" x14ac:dyDescent="0.2">
      <c r="A6816"/>
      <c r="B6816"/>
      <c r="C6816"/>
      <c r="D6816"/>
      <c r="E6816"/>
      <c r="F6816"/>
      <c r="G6816"/>
      <c r="H6816"/>
      <c r="I6816"/>
      <c r="J6816"/>
      <c r="K6816" s="1"/>
      <c r="L6816" s="2"/>
    </row>
    <row r="6817" spans="1:12" x14ac:dyDescent="0.2">
      <c r="A6817"/>
      <c r="B6817"/>
      <c r="C6817"/>
      <c r="D6817"/>
      <c r="E6817"/>
      <c r="F6817"/>
      <c r="G6817"/>
      <c r="H6817"/>
      <c r="I6817"/>
      <c r="J6817"/>
      <c r="K6817" s="1"/>
      <c r="L6817" s="2"/>
    </row>
    <row r="6818" spans="1:12" x14ac:dyDescent="0.2">
      <c r="A6818"/>
      <c r="B6818"/>
      <c r="C6818"/>
      <c r="D6818"/>
      <c r="E6818"/>
      <c r="F6818"/>
      <c r="G6818"/>
      <c r="H6818"/>
      <c r="I6818"/>
      <c r="J6818"/>
      <c r="K6818" s="1"/>
      <c r="L6818" s="2"/>
    </row>
    <row r="6819" spans="1:12" x14ac:dyDescent="0.2">
      <c r="A6819"/>
      <c r="B6819"/>
      <c r="C6819"/>
      <c r="D6819"/>
      <c r="E6819"/>
      <c r="F6819"/>
      <c r="G6819"/>
      <c r="H6819"/>
      <c r="I6819"/>
      <c r="J6819"/>
      <c r="K6819" s="1"/>
      <c r="L6819" s="2"/>
    </row>
    <row r="6820" spans="1:12" x14ac:dyDescent="0.2">
      <c r="A6820"/>
      <c r="B6820"/>
      <c r="C6820"/>
      <c r="D6820"/>
      <c r="E6820"/>
      <c r="F6820"/>
      <c r="G6820"/>
      <c r="H6820"/>
      <c r="I6820"/>
      <c r="J6820"/>
      <c r="K6820" s="1"/>
      <c r="L6820" s="2"/>
    </row>
    <row r="6821" spans="1:12" x14ac:dyDescent="0.2">
      <c r="A6821"/>
      <c r="B6821"/>
      <c r="C6821"/>
      <c r="D6821"/>
      <c r="E6821"/>
      <c r="F6821"/>
      <c r="G6821"/>
      <c r="H6821"/>
      <c r="I6821"/>
      <c r="J6821"/>
      <c r="K6821" s="1"/>
      <c r="L6821" s="2"/>
    </row>
    <row r="6822" spans="1:12" x14ac:dyDescent="0.2">
      <c r="A6822"/>
      <c r="B6822"/>
      <c r="C6822"/>
      <c r="D6822"/>
      <c r="E6822"/>
      <c r="F6822"/>
      <c r="G6822"/>
      <c r="H6822"/>
      <c r="I6822"/>
      <c r="J6822"/>
      <c r="K6822" s="1"/>
      <c r="L6822" s="2"/>
    </row>
    <row r="6823" spans="1:12" x14ac:dyDescent="0.2">
      <c r="A6823"/>
      <c r="B6823"/>
      <c r="C6823"/>
      <c r="D6823"/>
      <c r="E6823"/>
      <c r="F6823"/>
      <c r="G6823"/>
      <c r="H6823"/>
      <c r="I6823"/>
      <c r="J6823"/>
      <c r="K6823" s="1"/>
      <c r="L6823" s="2"/>
    </row>
    <row r="6824" spans="1:12" x14ac:dyDescent="0.2">
      <c r="A6824"/>
      <c r="B6824"/>
      <c r="C6824"/>
      <c r="D6824"/>
      <c r="E6824"/>
      <c r="F6824"/>
      <c r="G6824"/>
      <c r="H6824"/>
      <c r="I6824"/>
      <c r="J6824"/>
      <c r="K6824" s="1"/>
      <c r="L6824" s="2"/>
    </row>
    <row r="6825" spans="1:12" x14ac:dyDescent="0.2">
      <c r="A6825"/>
      <c r="B6825"/>
      <c r="C6825"/>
      <c r="D6825"/>
      <c r="E6825"/>
      <c r="F6825"/>
      <c r="G6825"/>
      <c r="H6825"/>
      <c r="I6825"/>
      <c r="J6825"/>
      <c r="K6825" s="1"/>
      <c r="L6825" s="2"/>
    </row>
    <row r="6826" spans="1:12" x14ac:dyDescent="0.2">
      <c r="A6826"/>
      <c r="B6826"/>
      <c r="C6826"/>
      <c r="D6826"/>
      <c r="E6826"/>
      <c r="F6826"/>
      <c r="G6826"/>
      <c r="H6826"/>
      <c r="I6826"/>
      <c r="J6826"/>
      <c r="K6826" s="1"/>
      <c r="L6826" s="2"/>
    </row>
    <row r="6827" spans="1:12" x14ac:dyDescent="0.2">
      <c r="A6827"/>
      <c r="B6827"/>
      <c r="C6827"/>
      <c r="D6827"/>
      <c r="E6827"/>
      <c r="F6827"/>
      <c r="G6827"/>
      <c r="H6827"/>
      <c r="I6827"/>
      <c r="J6827"/>
      <c r="K6827" s="1"/>
      <c r="L6827" s="2"/>
    </row>
    <row r="6828" spans="1:12" x14ac:dyDescent="0.2">
      <c r="A6828"/>
      <c r="B6828"/>
      <c r="C6828"/>
      <c r="D6828"/>
      <c r="E6828"/>
      <c r="F6828"/>
      <c r="G6828"/>
      <c r="H6828"/>
      <c r="I6828"/>
      <c r="J6828"/>
      <c r="K6828" s="1"/>
      <c r="L6828" s="2"/>
    </row>
    <row r="6829" spans="1:12" x14ac:dyDescent="0.2">
      <c r="A6829"/>
      <c r="B6829"/>
      <c r="C6829"/>
      <c r="D6829"/>
      <c r="E6829"/>
      <c r="F6829"/>
      <c r="G6829"/>
      <c r="H6829"/>
      <c r="I6829"/>
      <c r="J6829"/>
      <c r="K6829" s="1"/>
      <c r="L6829" s="2"/>
    </row>
    <row r="6830" spans="1:12" x14ac:dyDescent="0.2">
      <c r="A6830"/>
      <c r="B6830"/>
      <c r="C6830"/>
      <c r="D6830"/>
      <c r="E6830"/>
      <c r="F6830"/>
      <c r="G6830"/>
      <c r="H6830"/>
      <c r="I6830"/>
      <c r="J6830"/>
      <c r="K6830" s="1"/>
      <c r="L6830" s="2"/>
    </row>
    <row r="6831" spans="1:12" x14ac:dyDescent="0.2">
      <c r="A6831"/>
      <c r="B6831"/>
      <c r="C6831"/>
      <c r="D6831"/>
      <c r="E6831"/>
      <c r="F6831"/>
      <c r="G6831"/>
      <c r="H6831"/>
      <c r="I6831"/>
      <c r="J6831"/>
      <c r="K6831" s="1"/>
      <c r="L6831" s="2"/>
    </row>
    <row r="6832" spans="1:12" x14ac:dyDescent="0.2">
      <c r="A6832"/>
      <c r="B6832"/>
      <c r="C6832"/>
      <c r="D6832"/>
      <c r="E6832"/>
      <c r="F6832"/>
      <c r="G6832"/>
      <c r="H6832"/>
      <c r="I6832"/>
      <c r="J6832"/>
      <c r="K6832" s="1"/>
      <c r="L6832" s="2"/>
    </row>
    <row r="6833" spans="1:12" x14ac:dyDescent="0.2">
      <c r="A6833"/>
      <c r="B6833"/>
      <c r="C6833"/>
      <c r="D6833"/>
      <c r="E6833"/>
      <c r="F6833"/>
      <c r="G6833"/>
      <c r="H6833"/>
      <c r="I6833"/>
      <c r="J6833"/>
      <c r="K6833" s="1"/>
      <c r="L6833" s="2"/>
    </row>
    <row r="6834" spans="1:12" x14ac:dyDescent="0.2">
      <c r="A6834"/>
      <c r="B6834"/>
      <c r="C6834"/>
      <c r="D6834"/>
      <c r="E6834"/>
      <c r="F6834"/>
      <c r="G6834"/>
      <c r="H6834"/>
      <c r="I6834"/>
      <c r="J6834"/>
      <c r="K6834" s="1"/>
      <c r="L6834" s="2"/>
    </row>
    <row r="6835" spans="1:12" x14ac:dyDescent="0.2">
      <c r="A6835"/>
      <c r="B6835"/>
      <c r="C6835"/>
      <c r="D6835"/>
      <c r="E6835"/>
      <c r="F6835"/>
      <c r="G6835"/>
      <c r="H6835"/>
      <c r="I6835"/>
      <c r="J6835"/>
      <c r="K6835" s="1"/>
      <c r="L6835" s="2"/>
    </row>
    <row r="6836" spans="1:12" x14ac:dyDescent="0.2">
      <c r="A6836"/>
      <c r="B6836"/>
      <c r="C6836"/>
      <c r="D6836"/>
      <c r="E6836"/>
      <c r="F6836"/>
      <c r="G6836"/>
      <c r="H6836"/>
      <c r="I6836"/>
      <c r="J6836"/>
      <c r="K6836" s="1"/>
      <c r="L6836" s="2"/>
    </row>
    <row r="6837" spans="1:12" x14ac:dyDescent="0.2">
      <c r="A6837"/>
      <c r="B6837"/>
      <c r="C6837"/>
      <c r="D6837"/>
      <c r="E6837"/>
      <c r="F6837"/>
      <c r="G6837"/>
      <c r="H6837"/>
      <c r="I6837"/>
      <c r="J6837"/>
      <c r="K6837" s="1"/>
      <c r="L6837" s="2"/>
    </row>
    <row r="6838" spans="1:12" x14ac:dyDescent="0.2">
      <c r="A6838"/>
      <c r="B6838"/>
      <c r="C6838"/>
      <c r="D6838"/>
      <c r="E6838"/>
      <c r="F6838"/>
      <c r="G6838"/>
      <c r="H6838"/>
      <c r="I6838"/>
      <c r="J6838"/>
      <c r="K6838" s="1"/>
      <c r="L6838" s="2"/>
    </row>
    <row r="6839" spans="1:12" x14ac:dyDescent="0.2">
      <c r="A6839"/>
      <c r="B6839"/>
      <c r="C6839"/>
      <c r="D6839"/>
      <c r="E6839"/>
      <c r="F6839"/>
      <c r="G6839"/>
      <c r="H6839"/>
      <c r="I6839"/>
      <c r="J6839"/>
      <c r="K6839" s="1"/>
      <c r="L6839" s="2"/>
    </row>
    <row r="6840" spans="1:12" x14ac:dyDescent="0.2">
      <c r="A6840"/>
      <c r="B6840"/>
      <c r="C6840"/>
      <c r="D6840"/>
      <c r="E6840"/>
      <c r="F6840"/>
      <c r="G6840"/>
      <c r="H6840"/>
      <c r="I6840"/>
      <c r="J6840"/>
      <c r="K6840" s="1"/>
      <c r="L6840" s="2"/>
    </row>
    <row r="6841" spans="1:12" x14ac:dyDescent="0.2">
      <c r="A6841"/>
      <c r="B6841"/>
      <c r="C6841"/>
      <c r="D6841"/>
      <c r="E6841"/>
      <c r="F6841"/>
      <c r="G6841"/>
      <c r="H6841"/>
      <c r="I6841"/>
      <c r="J6841"/>
      <c r="K6841" s="1"/>
      <c r="L6841" s="2"/>
    </row>
    <row r="6842" spans="1:12" x14ac:dyDescent="0.2">
      <c r="A6842"/>
      <c r="B6842"/>
      <c r="C6842"/>
      <c r="D6842"/>
      <c r="E6842"/>
      <c r="F6842"/>
      <c r="G6842"/>
      <c r="H6842"/>
      <c r="I6842"/>
      <c r="J6842"/>
      <c r="K6842" s="1"/>
      <c r="L6842" s="2"/>
    </row>
    <row r="6843" spans="1:12" x14ac:dyDescent="0.2">
      <c r="A6843"/>
      <c r="B6843"/>
      <c r="C6843"/>
      <c r="D6843"/>
      <c r="E6843"/>
      <c r="F6843"/>
      <c r="G6843"/>
      <c r="H6843"/>
      <c r="I6843"/>
      <c r="J6843"/>
      <c r="K6843" s="1"/>
      <c r="L6843" s="2"/>
    </row>
    <row r="6844" spans="1:12" x14ac:dyDescent="0.2">
      <c r="A6844"/>
      <c r="B6844"/>
      <c r="C6844"/>
      <c r="D6844"/>
      <c r="E6844"/>
      <c r="F6844"/>
      <c r="G6844"/>
      <c r="H6844"/>
      <c r="I6844"/>
      <c r="J6844"/>
      <c r="K6844" s="1"/>
      <c r="L6844" s="2"/>
    </row>
    <row r="6845" spans="1:12" x14ac:dyDescent="0.2">
      <c r="A6845"/>
      <c r="B6845"/>
      <c r="C6845"/>
      <c r="D6845"/>
      <c r="E6845"/>
      <c r="F6845"/>
      <c r="G6845"/>
      <c r="H6845"/>
      <c r="I6845"/>
      <c r="J6845"/>
      <c r="K6845" s="1"/>
      <c r="L6845" s="2"/>
    </row>
    <row r="6846" spans="1:12" x14ac:dyDescent="0.2">
      <c r="A6846"/>
      <c r="B6846"/>
      <c r="C6846"/>
      <c r="D6846"/>
      <c r="E6846"/>
      <c r="F6846"/>
      <c r="G6846"/>
      <c r="H6846"/>
      <c r="I6846"/>
      <c r="J6846"/>
      <c r="K6846" s="1"/>
      <c r="L6846" s="2"/>
    </row>
    <row r="6847" spans="1:12" x14ac:dyDescent="0.2">
      <c r="A6847"/>
      <c r="B6847"/>
      <c r="C6847"/>
      <c r="D6847"/>
      <c r="E6847"/>
      <c r="F6847"/>
      <c r="G6847"/>
      <c r="H6847"/>
      <c r="I6847"/>
      <c r="J6847"/>
      <c r="K6847" s="1"/>
      <c r="L6847" s="2"/>
    </row>
    <row r="6848" spans="1:12" x14ac:dyDescent="0.2">
      <c r="A6848"/>
      <c r="B6848"/>
      <c r="C6848"/>
      <c r="D6848"/>
      <c r="E6848"/>
      <c r="F6848"/>
      <c r="G6848"/>
      <c r="H6848"/>
      <c r="I6848"/>
      <c r="J6848"/>
      <c r="K6848" s="1"/>
      <c r="L6848" s="2"/>
    </row>
    <row r="6849" spans="1:12" x14ac:dyDescent="0.2">
      <c r="A6849"/>
      <c r="B6849"/>
      <c r="C6849"/>
      <c r="D6849"/>
      <c r="E6849"/>
      <c r="F6849"/>
      <c r="G6849"/>
      <c r="H6849"/>
      <c r="I6849"/>
      <c r="J6849"/>
      <c r="K6849" s="1"/>
      <c r="L6849" s="2"/>
    </row>
    <row r="6850" spans="1:12" x14ac:dyDescent="0.2">
      <c r="A6850"/>
      <c r="B6850"/>
      <c r="C6850"/>
      <c r="D6850"/>
      <c r="E6850"/>
      <c r="F6850"/>
      <c r="G6850"/>
      <c r="H6850"/>
      <c r="I6850"/>
      <c r="J6850"/>
      <c r="K6850" s="1"/>
      <c r="L6850" s="2"/>
    </row>
    <row r="6851" spans="1:12" x14ac:dyDescent="0.2">
      <c r="A6851"/>
      <c r="B6851"/>
      <c r="C6851"/>
      <c r="D6851"/>
      <c r="E6851"/>
      <c r="F6851"/>
      <c r="G6851"/>
      <c r="H6851"/>
      <c r="I6851"/>
      <c r="J6851"/>
      <c r="K6851" s="1"/>
      <c r="L6851" s="2"/>
    </row>
    <row r="6852" spans="1:12" x14ac:dyDescent="0.2">
      <c r="A6852"/>
      <c r="B6852"/>
      <c r="C6852"/>
      <c r="D6852"/>
      <c r="E6852"/>
      <c r="F6852"/>
      <c r="G6852"/>
      <c r="H6852"/>
      <c r="I6852"/>
      <c r="J6852"/>
      <c r="K6852" s="1"/>
      <c r="L6852" s="2"/>
    </row>
    <row r="6853" spans="1:12" x14ac:dyDescent="0.2">
      <c r="A6853"/>
      <c r="B6853"/>
      <c r="C6853"/>
      <c r="D6853"/>
      <c r="E6853"/>
      <c r="F6853"/>
      <c r="G6853"/>
      <c r="H6853"/>
      <c r="I6853"/>
      <c r="J6853"/>
      <c r="K6853" s="1"/>
      <c r="L6853" s="2"/>
    </row>
    <row r="6854" spans="1:12" x14ac:dyDescent="0.2">
      <c r="A6854"/>
      <c r="B6854"/>
      <c r="C6854"/>
      <c r="D6854"/>
      <c r="E6854"/>
      <c r="F6854"/>
      <c r="G6854"/>
      <c r="H6854"/>
      <c r="I6854"/>
      <c r="J6854"/>
      <c r="K6854" s="1"/>
      <c r="L6854" s="2"/>
    </row>
    <row r="6855" spans="1:12" x14ac:dyDescent="0.2">
      <c r="A6855"/>
      <c r="B6855"/>
      <c r="C6855"/>
      <c r="D6855"/>
      <c r="E6855"/>
      <c r="F6855"/>
      <c r="G6855"/>
      <c r="H6855"/>
      <c r="I6855"/>
      <c r="J6855"/>
      <c r="K6855" s="1"/>
      <c r="L6855" s="2"/>
    </row>
    <row r="6856" spans="1:12" x14ac:dyDescent="0.2">
      <c r="A6856"/>
      <c r="B6856"/>
      <c r="C6856"/>
      <c r="D6856"/>
      <c r="E6856"/>
      <c r="F6856"/>
      <c r="G6856"/>
      <c r="H6856"/>
      <c r="I6856"/>
      <c r="J6856"/>
      <c r="K6856" s="1"/>
      <c r="L6856" s="2"/>
    </row>
    <row r="6857" spans="1:12" x14ac:dyDescent="0.2">
      <c r="A6857"/>
      <c r="B6857"/>
      <c r="C6857"/>
      <c r="D6857"/>
      <c r="E6857"/>
      <c r="F6857"/>
      <c r="G6857"/>
      <c r="H6857"/>
      <c r="I6857"/>
      <c r="J6857"/>
      <c r="K6857" s="1"/>
      <c r="L6857" s="2"/>
    </row>
    <row r="6858" spans="1:12" x14ac:dyDescent="0.2">
      <c r="A6858"/>
      <c r="B6858"/>
      <c r="C6858"/>
      <c r="D6858"/>
      <c r="E6858"/>
      <c r="F6858"/>
      <c r="G6858"/>
      <c r="H6858"/>
      <c r="I6858"/>
      <c r="J6858"/>
      <c r="K6858" s="1"/>
      <c r="L6858" s="2"/>
    </row>
    <row r="6859" spans="1:12" x14ac:dyDescent="0.2">
      <c r="A6859"/>
      <c r="B6859"/>
      <c r="C6859"/>
      <c r="D6859"/>
      <c r="E6859"/>
      <c r="F6859"/>
      <c r="G6859"/>
      <c r="H6859"/>
      <c r="I6859"/>
      <c r="J6859"/>
      <c r="K6859" s="1"/>
      <c r="L6859" s="2"/>
    </row>
    <row r="6860" spans="1:12" x14ac:dyDescent="0.2">
      <c r="A6860"/>
      <c r="B6860"/>
      <c r="C6860"/>
      <c r="D6860"/>
      <c r="E6860"/>
      <c r="F6860"/>
      <c r="G6860"/>
      <c r="H6860"/>
      <c r="I6860"/>
      <c r="J6860"/>
      <c r="K6860" s="1"/>
      <c r="L6860" s="2"/>
    </row>
    <row r="6861" spans="1:12" x14ac:dyDescent="0.2">
      <c r="A6861"/>
      <c r="B6861"/>
      <c r="C6861"/>
      <c r="D6861"/>
      <c r="E6861"/>
      <c r="F6861"/>
      <c r="G6861"/>
      <c r="H6861"/>
      <c r="I6861"/>
      <c r="J6861"/>
      <c r="K6861" s="1"/>
      <c r="L6861" s="2"/>
    </row>
    <row r="6862" spans="1:12" x14ac:dyDescent="0.2">
      <c r="A6862"/>
      <c r="B6862"/>
      <c r="C6862"/>
      <c r="D6862"/>
      <c r="E6862"/>
      <c r="F6862"/>
      <c r="G6862"/>
      <c r="H6862"/>
      <c r="I6862"/>
      <c r="J6862"/>
      <c r="K6862" s="1"/>
      <c r="L6862" s="2"/>
    </row>
    <row r="6863" spans="1:12" x14ac:dyDescent="0.2">
      <c r="A6863"/>
      <c r="B6863"/>
      <c r="C6863"/>
      <c r="D6863"/>
      <c r="E6863"/>
      <c r="F6863"/>
      <c r="G6863"/>
      <c r="H6863"/>
      <c r="I6863"/>
      <c r="J6863"/>
      <c r="K6863" s="1"/>
      <c r="L6863" s="2"/>
    </row>
    <row r="6864" spans="1:12" x14ac:dyDescent="0.2">
      <c r="A6864"/>
      <c r="B6864"/>
      <c r="C6864"/>
      <c r="D6864"/>
      <c r="E6864"/>
      <c r="F6864"/>
      <c r="G6864"/>
      <c r="H6864"/>
      <c r="I6864"/>
      <c r="J6864"/>
      <c r="K6864" s="1"/>
      <c r="L6864" s="2"/>
    </row>
    <row r="6865" spans="1:12" x14ac:dyDescent="0.2">
      <c r="A6865"/>
      <c r="B6865"/>
      <c r="C6865"/>
      <c r="D6865"/>
      <c r="E6865"/>
      <c r="F6865"/>
      <c r="G6865"/>
      <c r="H6865"/>
      <c r="I6865"/>
      <c r="J6865"/>
      <c r="K6865" s="1"/>
      <c r="L6865" s="2"/>
    </row>
    <row r="6866" spans="1:12" x14ac:dyDescent="0.2">
      <c r="A6866"/>
      <c r="B6866"/>
      <c r="C6866"/>
      <c r="D6866"/>
      <c r="E6866"/>
      <c r="F6866"/>
      <c r="G6866"/>
      <c r="H6866"/>
      <c r="I6866"/>
      <c r="J6866"/>
      <c r="K6866" s="1"/>
      <c r="L6866" s="2"/>
    </row>
    <row r="6867" spans="1:12" x14ac:dyDescent="0.2">
      <c r="A6867"/>
      <c r="B6867"/>
      <c r="C6867"/>
      <c r="D6867"/>
      <c r="E6867"/>
      <c r="F6867"/>
      <c r="G6867"/>
      <c r="H6867"/>
      <c r="I6867"/>
      <c r="J6867"/>
      <c r="K6867" s="1"/>
      <c r="L6867" s="2"/>
    </row>
    <row r="6868" spans="1:12" x14ac:dyDescent="0.2">
      <c r="A6868"/>
      <c r="B6868"/>
      <c r="C6868"/>
      <c r="D6868"/>
      <c r="E6868"/>
      <c r="F6868"/>
      <c r="G6868"/>
      <c r="H6868"/>
      <c r="I6868"/>
      <c r="J6868"/>
      <c r="K6868" s="1"/>
      <c r="L6868" s="2"/>
    </row>
    <row r="6869" spans="1:12" x14ac:dyDescent="0.2">
      <c r="A6869"/>
      <c r="B6869"/>
      <c r="C6869"/>
      <c r="D6869"/>
      <c r="E6869"/>
      <c r="F6869"/>
      <c r="G6869"/>
      <c r="H6869"/>
      <c r="I6869"/>
      <c r="J6869"/>
      <c r="K6869" s="1"/>
      <c r="L6869" s="2"/>
    </row>
    <row r="6870" spans="1:12" x14ac:dyDescent="0.2">
      <c r="A6870"/>
      <c r="B6870"/>
      <c r="C6870"/>
      <c r="D6870"/>
      <c r="E6870"/>
      <c r="F6870"/>
      <c r="G6870"/>
      <c r="H6870"/>
      <c r="I6870"/>
      <c r="J6870"/>
      <c r="K6870" s="1"/>
      <c r="L6870" s="2"/>
    </row>
    <row r="6871" spans="1:12" x14ac:dyDescent="0.2">
      <c r="A6871"/>
      <c r="B6871"/>
      <c r="C6871"/>
      <c r="D6871"/>
      <c r="E6871"/>
      <c r="F6871"/>
      <c r="G6871"/>
      <c r="H6871"/>
      <c r="I6871"/>
      <c r="J6871"/>
      <c r="K6871" s="1"/>
      <c r="L6871" s="2"/>
    </row>
    <row r="6872" spans="1:12" x14ac:dyDescent="0.2">
      <c r="A6872"/>
      <c r="B6872"/>
      <c r="C6872"/>
      <c r="D6872"/>
      <c r="E6872"/>
      <c r="F6872"/>
      <c r="G6872"/>
      <c r="H6872"/>
      <c r="I6872"/>
      <c r="J6872"/>
      <c r="K6872" s="1"/>
      <c r="L6872" s="2"/>
    </row>
    <row r="6873" spans="1:12" x14ac:dyDescent="0.2">
      <c r="A6873"/>
      <c r="B6873"/>
      <c r="C6873"/>
      <c r="D6873"/>
      <c r="E6873"/>
      <c r="F6873"/>
      <c r="G6873"/>
      <c r="H6873"/>
      <c r="I6873"/>
      <c r="J6873"/>
      <c r="K6873" s="1"/>
      <c r="L6873" s="2"/>
    </row>
    <row r="6874" spans="1:12" x14ac:dyDescent="0.2">
      <c r="A6874"/>
      <c r="B6874"/>
      <c r="C6874"/>
      <c r="D6874"/>
      <c r="E6874"/>
      <c r="F6874"/>
      <c r="G6874"/>
      <c r="H6874"/>
      <c r="I6874"/>
      <c r="J6874"/>
      <c r="K6874" s="1"/>
      <c r="L6874" s="2"/>
    </row>
    <row r="6875" spans="1:12" x14ac:dyDescent="0.2">
      <c r="A6875"/>
      <c r="B6875"/>
      <c r="C6875"/>
      <c r="D6875"/>
      <c r="E6875"/>
      <c r="F6875"/>
      <c r="G6875"/>
      <c r="H6875"/>
      <c r="I6875"/>
      <c r="J6875"/>
      <c r="K6875" s="1"/>
      <c r="L6875" s="2"/>
    </row>
    <row r="6876" spans="1:12" x14ac:dyDescent="0.2">
      <c r="A6876"/>
      <c r="B6876"/>
      <c r="C6876"/>
      <c r="D6876"/>
      <c r="E6876"/>
      <c r="F6876"/>
      <c r="G6876"/>
      <c r="H6876"/>
      <c r="I6876"/>
      <c r="J6876"/>
      <c r="K6876" s="1"/>
      <c r="L6876" s="2"/>
    </row>
    <row r="6877" spans="1:12" x14ac:dyDescent="0.2">
      <c r="A6877"/>
      <c r="B6877"/>
      <c r="C6877"/>
      <c r="D6877"/>
      <c r="E6877"/>
      <c r="F6877"/>
      <c r="G6877"/>
      <c r="H6877"/>
      <c r="I6877"/>
      <c r="J6877"/>
      <c r="K6877" s="1"/>
      <c r="L6877" s="2"/>
    </row>
    <row r="6878" spans="1:12" x14ac:dyDescent="0.2">
      <c r="A6878"/>
      <c r="B6878"/>
      <c r="C6878"/>
      <c r="D6878"/>
      <c r="E6878"/>
      <c r="F6878"/>
      <c r="G6878"/>
      <c r="H6878"/>
      <c r="I6878"/>
      <c r="J6878"/>
      <c r="K6878" s="1"/>
      <c r="L6878" s="2"/>
    </row>
    <row r="6879" spans="1:12" x14ac:dyDescent="0.2">
      <c r="A6879"/>
      <c r="B6879"/>
      <c r="C6879"/>
      <c r="D6879"/>
      <c r="E6879"/>
      <c r="F6879"/>
      <c r="G6879"/>
      <c r="H6879"/>
      <c r="I6879"/>
      <c r="J6879"/>
      <c r="K6879" s="1"/>
      <c r="L6879" s="2"/>
    </row>
    <row r="6880" spans="1:12" x14ac:dyDescent="0.2">
      <c r="A6880"/>
      <c r="B6880"/>
      <c r="C6880"/>
      <c r="D6880"/>
      <c r="E6880"/>
      <c r="F6880"/>
      <c r="G6880"/>
      <c r="H6880"/>
      <c r="I6880"/>
      <c r="J6880"/>
      <c r="K6880" s="1"/>
      <c r="L6880" s="2"/>
    </row>
    <row r="6881" spans="1:12" x14ac:dyDescent="0.2">
      <c r="A6881"/>
      <c r="B6881"/>
      <c r="C6881"/>
      <c r="D6881"/>
      <c r="E6881"/>
      <c r="F6881"/>
      <c r="G6881"/>
      <c r="H6881"/>
      <c r="I6881"/>
      <c r="J6881"/>
      <c r="K6881" s="1"/>
      <c r="L6881" s="2"/>
    </row>
    <row r="6882" spans="1:12" x14ac:dyDescent="0.2">
      <c r="A6882"/>
      <c r="B6882"/>
      <c r="C6882"/>
      <c r="D6882"/>
      <c r="E6882"/>
      <c r="F6882"/>
      <c r="G6882"/>
      <c r="H6882"/>
      <c r="I6882"/>
      <c r="J6882"/>
      <c r="K6882" s="1"/>
      <c r="L6882" s="2"/>
    </row>
    <row r="6883" spans="1:12" x14ac:dyDescent="0.2">
      <c r="A6883"/>
      <c r="B6883"/>
      <c r="C6883"/>
      <c r="D6883"/>
      <c r="E6883"/>
      <c r="F6883"/>
      <c r="G6883"/>
      <c r="H6883"/>
      <c r="I6883"/>
      <c r="J6883"/>
      <c r="K6883" s="1"/>
      <c r="L6883" s="2"/>
    </row>
    <row r="6884" spans="1:12" x14ac:dyDescent="0.2">
      <c r="A6884"/>
      <c r="B6884"/>
      <c r="C6884"/>
      <c r="D6884"/>
      <c r="E6884"/>
      <c r="F6884"/>
      <c r="G6884"/>
      <c r="H6884"/>
      <c r="I6884"/>
      <c r="J6884"/>
      <c r="K6884" s="1"/>
      <c r="L6884" s="2"/>
    </row>
    <row r="6885" spans="1:12" x14ac:dyDescent="0.2">
      <c r="A6885"/>
      <c r="B6885"/>
      <c r="C6885"/>
      <c r="D6885"/>
      <c r="E6885"/>
      <c r="F6885"/>
      <c r="G6885"/>
      <c r="H6885"/>
      <c r="I6885"/>
      <c r="J6885"/>
      <c r="K6885" s="1"/>
      <c r="L6885" s="2"/>
    </row>
    <row r="6886" spans="1:12" x14ac:dyDescent="0.2">
      <c r="A6886"/>
      <c r="B6886"/>
      <c r="C6886"/>
      <c r="D6886"/>
      <c r="E6886"/>
      <c r="F6886"/>
      <c r="G6886"/>
      <c r="H6886"/>
      <c r="I6886"/>
      <c r="J6886"/>
      <c r="K6886" s="1"/>
      <c r="L6886" s="2"/>
    </row>
    <row r="6887" spans="1:12" x14ac:dyDescent="0.2">
      <c r="A6887"/>
      <c r="B6887"/>
      <c r="C6887"/>
      <c r="D6887"/>
      <c r="E6887"/>
      <c r="F6887"/>
      <c r="G6887"/>
      <c r="H6887"/>
      <c r="I6887"/>
      <c r="J6887"/>
      <c r="K6887" s="1"/>
      <c r="L6887" s="2"/>
    </row>
    <row r="6888" spans="1:12" x14ac:dyDescent="0.2">
      <c r="A6888"/>
      <c r="B6888"/>
      <c r="C6888"/>
      <c r="D6888"/>
      <c r="E6888"/>
      <c r="F6888"/>
      <c r="G6888"/>
      <c r="H6888"/>
      <c r="I6888"/>
      <c r="J6888"/>
      <c r="K6888" s="1"/>
      <c r="L6888" s="2"/>
    </row>
    <row r="6889" spans="1:12" x14ac:dyDescent="0.2">
      <c r="A6889"/>
      <c r="B6889"/>
      <c r="C6889"/>
      <c r="D6889"/>
      <c r="E6889"/>
      <c r="F6889"/>
      <c r="G6889"/>
      <c r="H6889"/>
      <c r="I6889"/>
      <c r="J6889"/>
      <c r="K6889" s="1"/>
      <c r="L6889" s="2"/>
    </row>
    <row r="6890" spans="1:12" x14ac:dyDescent="0.2">
      <c r="A6890"/>
      <c r="B6890"/>
      <c r="C6890"/>
      <c r="D6890"/>
      <c r="E6890"/>
      <c r="F6890"/>
      <c r="G6890"/>
      <c r="H6890"/>
      <c r="I6890"/>
      <c r="J6890"/>
      <c r="K6890" s="1"/>
      <c r="L6890" s="2"/>
    </row>
    <row r="6891" spans="1:12" x14ac:dyDescent="0.2">
      <c r="A6891"/>
      <c r="B6891"/>
      <c r="C6891"/>
      <c r="D6891"/>
      <c r="E6891"/>
      <c r="F6891"/>
      <c r="G6891"/>
      <c r="H6891"/>
      <c r="I6891"/>
      <c r="J6891"/>
      <c r="K6891" s="1"/>
      <c r="L6891" s="2"/>
    </row>
    <row r="6892" spans="1:12" x14ac:dyDescent="0.2">
      <c r="A6892"/>
      <c r="B6892"/>
      <c r="C6892"/>
      <c r="D6892"/>
      <c r="E6892"/>
      <c r="F6892"/>
      <c r="G6892"/>
      <c r="H6892"/>
      <c r="I6892"/>
      <c r="J6892"/>
      <c r="K6892" s="1"/>
      <c r="L6892" s="2"/>
    </row>
    <row r="6893" spans="1:12" x14ac:dyDescent="0.2">
      <c r="A6893"/>
      <c r="B6893"/>
      <c r="C6893"/>
      <c r="D6893"/>
      <c r="E6893"/>
      <c r="F6893"/>
      <c r="G6893"/>
      <c r="H6893"/>
      <c r="I6893"/>
      <c r="J6893"/>
      <c r="K6893" s="1"/>
      <c r="L6893" s="2"/>
    </row>
    <row r="6894" spans="1:12" x14ac:dyDescent="0.2">
      <c r="A6894"/>
      <c r="B6894"/>
      <c r="C6894"/>
      <c r="D6894"/>
      <c r="E6894"/>
      <c r="F6894"/>
      <c r="G6894"/>
      <c r="H6894"/>
      <c r="I6894"/>
      <c r="J6894"/>
      <c r="K6894" s="1"/>
      <c r="L6894" s="2"/>
    </row>
    <row r="6895" spans="1:12" x14ac:dyDescent="0.2">
      <c r="A6895"/>
      <c r="B6895"/>
      <c r="C6895"/>
      <c r="D6895"/>
      <c r="E6895"/>
      <c r="F6895"/>
      <c r="G6895"/>
      <c r="H6895"/>
      <c r="I6895"/>
      <c r="J6895"/>
      <c r="K6895" s="1"/>
      <c r="L6895" s="2"/>
    </row>
    <row r="6896" spans="1:12" x14ac:dyDescent="0.2">
      <c r="A6896"/>
      <c r="B6896"/>
      <c r="C6896"/>
      <c r="D6896"/>
      <c r="E6896"/>
      <c r="F6896"/>
      <c r="G6896"/>
      <c r="H6896"/>
      <c r="I6896"/>
      <c r="J6896"/>
      <c r="K6896" s="1"/>
      <c r="L6896" s="2"/>
    </row>
    <row r="6897" spans="1:12" x14ac:dyDescent="0.2">
      <c r="A6897"/>
      <c r="B6897"/>
      <c r="C6897"/>
      <c r="D6897"/>
      <c r="E6897"/>
      <c r="F6897"/>
      <c r="G6897"/>
      <c r="H6897"/>
      <c r="I6897"/>
      <c r="J6897"/>
      <c r="K6897" s="1"/>
      <c r="L6897" s="2"/>
    </row>
    <row r="6898" spans="1:12" x14ac:dyDescent="0.2">
      <c r="A6898"/>
      <c r="B6898"/>
      <c r="C6898"/>
      <c r="D6898"/>
      <c r="E6898"/>
      <c r="F6898"/>
      <c r="G6898"/>
      <c r="H6898"/>
      <c r="I6898"/>
      <c r="J6898"/>
      <c r="K6898" s="1"/>
      <c r="L6898" s="2"/>
    </row>
    <row r="6899" spans="1:12" x14ac:dyDescent="0.2">
      <c r="A6899"/>
      <c r="B6899"/>
      <c r="C6899"/>
      <c r="D6899"/>
      <c r="E6899"/>
      <c r="F6899"/>
      <c r="G6899"/>
      <c r="H6899"/>
      <c r="I6899"/>
      <c r="J6899"/>
      <c r="K6899" s="1"/>
      <c r="L6899" s="2"/>
    </row>
    <row r="6900" spans="1:12" x14ac:dyDescent="0.2">
      <c r="A6900"/>
      <c r="B6900"/>
      <c r="C6900"/>
      <c r="D6900"/>
      <c r="E6900"/>
      <c r="F6900"/>
      <c r="G6900"/>
      <c r="H6900"/>
      <c r="I6900"/>
      <c r="J6900"/>
      <c r="K6900" s="1"/>
      <c r="L6900" s="2"/>
    </row>
    <row r="6901" spans="1:12" x14ac:dyDescent="0.2">
      <c r="A6901"/>
      <c r="B6901"/>
      <c r="C6901"/>
      <c r="D6901"/>
      <c r="E6901"/>
      <c r="F6901"/>
      <c r="G6901"/>
      <c r="H6901"/>
      <c r="I6901"/>
      <c r="J6901"/>
      <c r="K6901" s="1"/>
      <c r="L6901" s="2"/>
    </row>
    <row r="6902" spans="1:12" x14ac:dyDescent="0.2">
      <c r="A6902"/>
      <c r="B6902"/>
      <c r="C6902"/>
      <c r="D6902"/>
      <c r="E6902"/>
      <c r="F6902"/>
      <c r="G6902"/>
      <c r="H6902"/>
      <c r="I6902"/>
      <c r="J6902"/>
      <c r="K6902" s="1"/>
      <c r="L6902" s="2"/>
    </row>
    <row r="6903" spans="1:12" x14ac:dyDescent="0.2">
      <c r="A6903"/>
      <c r="B6903"/>
      <c r="C6903"/>
      <c r="D6903"/>
      <c r="E6903"/>
      <c r="F6903"/>
      <c r="G6903"/>
      <c r="H6903"/>
      <c r="I6903"/>
      <c r="J6903"/>
      <c r="K6903" s="1"/>
      <c r="L6903" s="2"/>
    </row>
    <row r="6904" spans="1:12" x14ac:dyDescent="0.2">
      <c r="A6904"/>
      <c r="B6904"/>
      <c r="C6904"/>
      <c r="D6904"/>
      <c r="E6904"/>
      <c r="F6904"/>
      <c r="G6904"/>
      <c r="H6904"/>
      <c r="I6904"/>
      <c r="J6904"/>
      <c r="K6904" s="1"/>
      <c r="L6904" s="2"/>
    </row>
    <row r="6905" spans="1:12" x14ac:dyDescent="0.2">
      <c r="A6905"/>
      <c r="B6905"/>
      <c r="C6905"/>
      <c r="D6905"/>
      <c r="E6905"/>
      <c r="F6905"/>
      <c r="G6905"/>
      <c r="H6905"/>
      <c r="I6905"/>
      <c r="J6905"/>
      <c r="K6905" s="1"/>
      <c r="L6905" s="2"/>
    </row>
    <row r="6906" spans="1:12" x14ac:dyDescent="0.2">
      <c r="A6906"/>
      <c r="B6906"/>
      <c r="C6906"/>
      <c r="D6906"/>
      <c r="E6906"/>
      <c r="F6906"/>
      <c r="G6906"/>
      <c r="H6906"/>
      <c r="I6906"/>
      <c r="J6906"/>
      <c r="K6906" s="1"/>
      <c r="L6906" s="2"/>
    </row>
    <row r="6907" spans="1:12" x14ac:dyDescent="0.2">
      <c r="A6907"/>
      <c r="B6907"/>
      <c r="C6907"/>
      <c r="D6907"/>
      <c r="E6907"/>
      <c r="F6907"/>
      <c r="G6907"/>
      <c r="H6907"/>
      <c r="I6907"/>
      <c r="J6907"/>
      <c r="K6907" s="1"/>
      <c r="L6907" s="2"/>
    </row>
    <row r="6908" spans="1:12" x14ac:dyDescent="0.2">
      <c r="A6908"/>
      <c r="B6908"/>
      <c r="C6908"/>
      <c r="D6908"/>
      <c r="E6908"/>
      <c r="F6908"/>
      <c r="G6908"/>
      <c r="H6908"/>
      <c r="I6908"/>
      <c r="J6908"/>
      <c r="K6908" s="1"/>
      <c r="L6908" s="2"/>
    </row>
    <row r="6909" spans="1:12" x14ac:dyDescent="0.2">
      <c r="A6909"/>
      <c r="B6909"/>
      <c r="C6909"/>
      <c r="D6909"/>
      <c r="E6909"/>
      <c r="F6909"/>
      <c r="G6909"/>
      <c r="H6909"/>
      <c r="I6909"/>
      <c r="J6909"/>
      <c r="K6909" s="1"/>
      <c r="L6909" s="2"/>
    </row>
    <row r="6910" spans="1:12" x14ac:dyDescent="0.2">
      <c r="A6910"/>
      <c r="B6910"/>
      <c r="C6910"/>
      <c r="D6910"/>
      <c r="E6910"/>
      <c r="F6910"/>
      <c r="G6910"/>
      <c r="H6910"/>
      <c r="I6910"/>
      <c r="J6910"/>
      <c r="K6910" s="1"/>
      <c r="L6910" s="2"/>
    </row>
    <row r="6911" spans="1:12" x14ac:dyDescent="0.2">
      <c r="A6911"/>
      <c r="B6911"/>
      <c r="C6911"/>
      <c r="D6911"/>
      <c r="E6911"/>
      <c r="F6911"/>
      <c r="G6911"/>
      <c r="H6911"/>
      <c r="I6911"/>
      <c r="J6911"/>
      <c r="K6911" s="1"/>
      <c r="L6911" s="2"/>
    </row>
    <row r="6912" spans="1:12" x14ac:dyDescent="0.2">
      <c r="A6912"/>
      <c r="B6912"/>
      <c r="C6912"/>
      <c r="D6912"/>
      <c r="E6912"/>
      <c r="F6912"/>
      <c r="G6912"/>
      <c r="H6912"/>
      <c r="I6912"/>
      <c r="J6912"/>
      <c r="K6912" s="1"/>
      <c r="L6912" s="2"/>
    </row>
    <row r="6913" spans="1:12" x14ac:dyDescent="0.2">
      <c r="A6913"/>
      <c r="B6913"/>
      <c r="C6913"/>
      <c r="D6913"/>
      <c r="E6913"/>
      <c r="F6913"/>
      <c r="G6913"/>
      <c r="H6913"/>
      <c r="I6913"/>
      <c r="J6913"/>
      <c r="K6913" s="1"/>
      <c r="L6913" s="2"/>
    </row>
    <row r="6914" spans="1:12" x14ac:dyDescent="0.2">
      <c r="A6914"/>
      <c r="B6914"/>
      <c r="C6914"/>
      <c r="D6914"/>
      <c r="E6914"/>
      <c r="F6914"/>
      <c r="G6914"/>
      <c r="H6914"/>
      <c r="I6914"/>
      <c r="J6914"/>
      <c r="K6914" s="1"/>
      <c r="L6914" s="2"/>
    </row>
    <row r="6915" spans="1:12" x14ac:dyDescent="0.2">
      <c r="A6915"/>
      <c r="B6915"/>
      <c r="C6915"/>
      <c r="D6915"/>
      <c r="E6915"/>
      <c r="F6915"/>
      <c r="G6915"/>
      <c r="H6915"/>
      <c r="I6915"/>
      <c r="J6915"/>
      <c r="K6915" s="1"/>
      <c r="L6915" s="2"/>
    </row>
    <row r="6916" spans="1:12" x14ac:dyDescent="0.2">
      <c r="A6916"/>
      <c r="B6916"/>
      <c r="C6916"/>
      <c r="D6916"/>
      <c r="E6916"/>
      <c r="F6916"/>
      <c r="G6916"/>
      <c r="H6916"/>
      <c r="I6916"/>
      <c r="J6916"/>
      <c r="K6916" s="1"/>
      <c r="L6916" s="2"/>
    </row>
    <row r="6917" spans="1:12" x14ac:dyDescent="0.2">
      <c r="A6917"/>
      <c r="B6917"/>
      <c r="C6917"/>
      <c r="D6917"/>
      <c r="E6917"/>
      <c r="F6917"/>
      <c r="G6917"/>
      <c r="H6917"/>
      <c r="I6917"/>
      <c r="J6917"/>
      <c r="K6917" s="1"/>
      <c r="L6917" s="2"/>
    </row>
    <row r="6918" spans="1:12" x14ac:dyDescent="0.2">
      <c r="A6918"/>
      <c r="B6918"/>
      <c r="C6918"/>
      <c r="D6918"/>
      <c r="E6918"/>
      <c r="F6918"/>
      <c r="G6918"/>
      <c r="H6918"/>
      <c r="I6918"/>
      <c r="J6918"/>
      <c r="K6918" s="1"/>
      <c r="L6918" s="2"/>
    </row>
    <row r="6919" spans="1:12" x14ac:dyDescent="0.2">
      <c r="A6919"/>
      <c r="B6919"/>
      <c r="C6919"/>
      <c r="D6919"/>
      <c r="E6919"/>
      <c r="F6919"/>
      <c r="G6919"/>
      <c r="H6919"/>
      <c r="I6919"/>
      <c r="J6919"/>
      <c r="K6919" s="1"/>
      <c r="L6919" s="2"/>
    </row>
    <row r="6920" spans="1:12" x14ac:dyDescent="0.2">
      <c r="A6920"/>
      <c r="B6920"/>
      <c r="C6920"/>
      <c r="D6920"/>
      <c r="E6920"/>
      <c r="F6920"/>
      <c r="G6920"/>
      <c r="H6920"/>
      <c r="I6920"/>
      <c r="J6920"/>
      <c r="K6920" s="1"/>
      <c r="L6920" s="2"/>
    </row>
    <row r="6921" spans="1:12" x14ac:dyDescent="0.2">
      <c r="A6921"/>
      <c r="B6921"/>
      <c r="C6921"/>
      <c r="D6921"/>
      <c r="E6921"/>
      <c r="F6921"/>
      <c r="G6921"/>
      <c r="H6921"/>
      <c r="I6921"/>
      <c r="J6921"/>
      <c r="K6921" s="1"/>
      <c r="L6921" s="2"/>
    </row>
    <row r="6922" spans="1:12" x14ac:dyDescent="0.2">
      <c r="A6922"/>
      <c r="B6922"/>
      <c r="C6922"/>
      <c r="D6922"/>
      <c r="E6922"/>
      <c r="F6922"/>
      <c r="G6922"/>
      <c r="H6922"/>
      <c r="I6922"/>
      <c r="J6922"/>
      <c r="K6922" s="1"/>
      <c r="L6922" s="2"/>
    </row>
    <row r="6923" spans="1:12" x14ac:dyDescent="0.2">
      <c r="A6923"/>
      <c r="B6923"/>
      <c r="C6923"/>
      <c r="D6923"/>
      <c r="E6923"/>
      <c r="F6923"/>
      <c r="G6923"/>
      <c r="H6923"/>
      <c r="I6923"/>
      <c r="J6923"/>
      <c r="K6923" s="1"/>
      <c r="L6923" s="2"/>
    </row>
    <row r="6924" spans="1:12" x14ac:dyDescent="0.2">
      <c r="A6924"/>
      <c r="B6924"/>
      <c r="C6924"/>
      <c r="D6924"/>
      <c r="E6924"/>
      <c r="F6924"/>
      <c r="G6924"/>
      <c r="H6924"/>
      <c r="I6924"/>
      <c r="J6924"/>
      <c r="K6924" s="1"/>
      <c r="L6924" s="2"/>
    </row>
    <row r="6925" spans="1:12" x14ac:dyDescent="0.2">
      <c r="A6925"/>
      <c r="B6925"/>
      <c r="C6925"/>
      <c r="D6925"/>
      <c r="E6925"/>
      <c r="F6925"/>
      <c r="G6925"/>
      <c r="H6925"/>
      <c r="I6925"/>
      <c r="J6925"/>
      <c r="K6925" s="1"/>
      <c r="L6925" s="2"/>
    </row>
    <row r="6926" spans="1:12" x14ac:dyDescent="0.2">
      <c r="A6926"/>
      <c r="B6926"/>
      <c r="C6926"/>
      <c r="D6926"/>
      <c r="E6926"/>
      <c r="F6926"/>
      <c r="G6926"/>
      <c r="H6926"/>
      <c r="I6926"/>
      <c r="J6926"/>
      <c r="K6926" s="1"/>
      <c r="L6926" s="2"/>
    </row>
    <row r="6927" spans="1:12" x14ac:dyDescent="0.2">
      <c r="A6927"/>
      <c r="B6927"/>
      <c r="C6927"/>
      <c r="D6927"/>
      <c r="E6927"/>
      <c r="F6927"/>
      <c r="G6927"/>
      <c r="H6927"/>
      <c r="I6927"/>
      <c r="J6927"/>
      <c r="K6927" s="1"/>
      <c r="L6927" s="2"/>
    </row>
    <row r="6928" spans="1:12" x14ac:dyDescent="0.2">
      <c r="A6928"/>
      <c r="B6928"/>
      <c r="C6928"/>
      <c r="D6928"/>
      <c r="E6928"/>
      <c r="F6928"/>
      <c r="G6928"/>
      <c r="H6928"/>
      <c r="I6928"/>
      <c r="J6928"/>
      <c r="K6928" s="1"/>
      <c r="L6928" s="2"/>
    </row>
    <row r="6929" spans="1:12" x14ac:dyDescent="0.2">
      <c r="A6929"/>
      <c r="B6929"/>
      <c r="C6929"/>
      <c r="D6929"/>
      <c r="E6929"/>
      <c r="F6929"/>
      <c r="G6929"/>
      <c r="H6929"/>
      <c r="I6929"/>
      <c r="J6929"/>
      <c r="K6929" s="1"/>
      <c r="L6929" s="2"/>
    </row>
    <row r="6930" spans="1:12" x14ac:dyDescent="0.2">
      <c r="A6930"/>
      <c r="B6930"/>
      <c r="C6930"/>
      <c r="D6930"/>
      <c r="E6930"/>
      <c r="F6930"/>
      <c r="G6930"/>
      <c r="H6930"/>
      <c r="I6930"/>
      <c r="J6930"/>
      <c r="K6930" s="1"/>
      <c r="L6930" s="2"/>
    </row>
    <row r="6931" spans="1:12" x14ac:dyDescent="0.2">
      <c r="A6931"/>
      <c r="B6931"/>
      <c r="C6931"/>
      <c r="D6931"/>
      <c r="E6931"/>
      <c r="F6931"/>
      <c r="G6931"/>
      <c r="H6931"/>
      <c r="I6931"/>
      <c r="J6931"/>
      <c r="K6931" s="1"/>
      <c r="L6931" s="2"/>
    </row>
    <row r="6932" spans="1:12" x14ac:dyDescent="0.2">
      <c r="A6932"/>
      <c r="B6932"/>
      <c r="C6932"/>
      <c r="D6932"/>
      <c r="E6932"/>
      <c r="F6932"/>
      <c r="G6932"/>
      <c r="H6932"/>
      <c r="I6932"/>
      <c r="J6932"/>
      <c r="K6932" s="1"/>
      <c r="L6932" s="2"/>
    </row>
    <row r="6933" spans="1:12" x14ac:dyDescent="0.2">
      <c r="A6933"/>
      <c r="B6933"/>
      <c r="C6933"/>
      <c r="D6933"/>
      <c r="E6933"/>
      <c r="F6933"/>
      <c r="G6933"/>
      <c r="H6933"/>
      <c r="I6933"/>
      <c r="J6933"/>
      <c r="K6933" s="1"/>
      <c r="L6933" s="2"/>
    </row>
    <row r="6934" spans="1:12" x14ac:dyDescent="0.2">
      <c r="A6934"/>
      <c r="B6934"/>
      <c r="C6934"/>
      <c r="D6934"/>
      <c r="E6934"/>
      <c r="F6934"/>
      <c r="G6934"/>
      <c r="H6934"/>
      <c r="I6934"/>
      <c r="J6934"/>
      <c r="K6934" s="1"/>
      <c r="L6934" s="2"/>
    </row>
    <row r="6935" spans="1:12" x14ac:dyDescent="0.2">
      <c r="A6935"/>
      <c r="B6935"/>
      <c r="C6935"/>
      <c r="D6935"/>
      <c r="E6935"/>
      <c r="F6935"/>
      <c r="G6935"/>
      <c r="H6935"/>
      <c r="I6935"/>
      <c r="J6935"/>
      <c r="K6935" s="1"/>
      <c r="L6935" s="2"/>
    </row>
    <row r="6936" spans="1:12" x14ac:dyDescent="0.2">
      <c r="A6936"/>
      <c r="B6936"/>
      <c r="C6936"/>
      <c r="D6936"/>
      <c r="E6936"/>
      <c r="F6936"/>
      <c r="G6936"/>
      <c r="H6936"/>
      <c r="I6936"/>
      <c r="J6936"/>
      <c r="K6936" s="1"/>
      <c r="L6936" s="2"/>
    </row>
    <row r="6937" spans="1:12" x14ac:dyDescent="0.2">
      <c r="A6937"/>
      <c r="B6937"/>
      <c r="C6937"/>
      <c r="D6937"/>
      <c r="E6937"/>
      <c r="F6937"/>
      <c r="G6937"/>
      <c r="H6937"/>
      <c r="I6937"/>
      <c r="J6937"/>
      <c r="K6937" s="1"/>
      <c r="L6937" s="2"/>
    </row>
    <row r="6938" spans="1:12" x14ac:dyDescent="0.2">
      <c r="A6938"/>
      <c r="B6938"/>
      <c r="C6938"/>
      <c r="D6938"/>
      <c r="E6938"/>
      <c r="F6938"/>
      <c r="G6938"/>
      <c r="H6938"/>
      <c r="I6938"/>
      <c r="J6938"/>
      <c r="K6938" s="1"/>
      <c r="L6938" s="2"/>
    </row>
    <row r="6939" spans="1:12" x14ac:dyDescent="0.2">
      <c r="A6939"/>
      <c r="B6939"/>
      <c r="C6939"/>
      <c r="D6939"/>
      <c r="E6939"/>
      <c r="F6939"/>
      <c r="G6939"/>
      <c r="H6939"/>
      <c r="I6939"/>
      <c r="J6939"/>
      <c r="K6939" s="1"/>
      <c r="L6939" s="2"/>
    </row>
    <row r="6940" spans="1:12" x14ac:dyDescent="0.2">
      <c r="A6940"/>
      <c r="B6940"/>
      <c r="C6940"/>
      <c r="D6940"/>
      <c r="E6940"/>
      <c r="F6940"/>
      <c r="G6940"/>
      <c r="H6940"/>
      <c r="I6940"/>
      <c r="J6940"/>
      <c r="K6940" s="1"/>
      <c r="L6940" s="2"/>
    </row>
    <row r="6941" spans="1:12" x14ac:dyDescent="0.2">
      <c r="A6941"/>
      <c r="B6941"/>
      <c r="C6941"/>
      <c r="D6941"/>
      <c r="E6941"/>
      <c r="F6941"/>
      <c r="G6941"/>
      <c r="H6941"/>
      <c r="I6941"/>
      <c r="J6941"/>
      <c r="K6941" s="1"/>
      <c r="L6941" s="2"/>
    </row>
    <row r="6942" spans="1:12" x14ac:dyDescent="0.2">
      <c r="A6942"/>
      <c r="B6942"/>
      <c r="C6942"/>
      <c r="D6942"/>
      <c r="E6942"/>
      <c r="F6942"/>
      <c r="G6942"/>
      <c r="H6942"/>
      <c r="I6942"/>
      <c r="J6942"/>
      <c r="K6942" s="1"/>
      <c r="L6942" s="2"/>
    </row>
    <row r="6943" spans="1:12" x14ac:dyDescent="0.2">
      <c r="A6943"/>
      <c r="B6943"/>
      <c r="C6943"/>
      <c r="D6943"/>
      <c r="E6943"/>
      <c r="F6943"/>
      <c r="G6943"/>
      <c r="H6943"/>
      <c r="I6943"/>
      <c r="J6943"/>
      <c r="K6943" s="1"/>
      <c r="L6943" s="2"/>
    </row>
    <row r="6944" spans="1:12" x14ac:dyDescent="0.2">
      <c r="A6944"/>
      <c r="B6944"/>
      <c r="C6944"/>
      <c r="D6944"/>
      <c r="E6944"/>
      <c r="F6944"/>
      <c r="G6944"/>
      <c r="H6944"/>
      <c r="I6944"/>
      <c r="J6944"/>
      <c r="K6944" s="1"/>
      <c r="L6944" s="2"/>
    </row>
    <row r="6945" spans="1:12" x14ac:dyDescent="0.2">
      <c r="A6945"/>
      <c r="B6945"/>
      <c r="C6945"/>
      <c r="D6945"/>
      <c r="E6945"/>
      <c r="F6945"/>
      <c r="G6945"/>
      <c r="H6945"/>
      <c r="I6945"/>
      <c r="J6945"/>
      <c r="K6945" s="1"/>
      <c r="L6945" s="2"/>
    </row>
    <row r="6946" spans="1:12" x14ac:dyDescent="0.2">
      <c r="A6946"/>
      <c r="B6946"/>
      <c r="C6946"/>
      <c r="D6946"/>
      <c r="E6946"/>
      <c r="F6946"/>
      <c r="G6946"/>
      <c r="H6946"/>
      <c r="I6946"/>
      <c r="J6946"/>
      <c r="K6946" s="1"/>
      <c r="L6946" s="2"/>
    </row>
    <row r="6947" spans="1:12" x14ac:dyDescent="0.2">
      <c r="A6947"/>
      <c r="B6947"/>
      <c r="C6947"/>
      <c r="D6947"/>
      <c r="E6947"/>
      <c r="F6947"/>
      <c r="G6947"/>
      <c r="H6947"/>
      <c r="I6947"/>
      <c r="J6947"/>
      <c r="K6947" s="1"/>
      <c r="L6947" s="2"/>
    </row>
    <row r="6948" spans="1:12" x14ac:dyDescent="0.2">
      <c r="A6948"/>
      <c r="B6948"/>
      <c r="C6948"/>
      <c r="D6948"/>
      <c r="E6948"/>
      <c r="F6948"/>
      <c r="G6948"/>
      <c r="H6948"/>
      <c r="I6948"/>
      <c r="J6948"/>
      <c r="K6948" s="1"/>
      <c r="L6948" s="2"/>
    </row>
    <row r="6949" spans="1:12" x14ac:dyDescent="0.2">
      <c r="A6949"/>
      <c r="B6949"/>
      <c r="C6949"/>
      <c r="D6949"/>
      <c r="E6949"/>
      <c r="F6949"/>
      <c r="G6949"/>
      <c r="H6949"/>
      <c r="I6949"/>
      <c r="J6949"/>
      <c r="K6949" s="1"/>
      <c r="L6949" s="2"/>
    </row>
    <row r="6950" spans="1:12" x14ac:dyDescent="0.2">
      <c r="A6950"/>
      <c r="B6950"/>
      <c r="C6950"/>
      <c r="D6950"/>
      <c r="E6950"/>
      <c r="F6950"/>
      <c r="G6950"/>
      <c r="H6950"/>
      <c r="I6950"/>
      <c r="J6950"/>
      <c r="K6950" s="1"/>
      <c r="L6950" s="2"/>
    </row>
    <row r="6951" spans="1:12" x14ac:dyDescent="0.2">
      <c r="A6951"/>
      <c r="B6951"/>
      <c r="C6951"/>
      <c r="D6951"/>
      <c r="E6951"/>
      <c r="F6951"/>
      <c r="G6951"/>
      <c r="H6951"/>
      <c r="I6951"/>
      <c r="J6951"/>
      <c r="K6951" s="1"/>
      <c r="L6951" s="2"/>
    </row>
    <row r="6952" spans="1:12" x14ac:dyDescent="0.2">
      <c r="A6952"/>
      <c r="B6952"/>
      <c r="C6952"/>
      <c r="D6952"/>
      <c r="E6952"/>
      <c r="F6952"/>
      <c r="G6952"/>
      <c r="H6952"/>
      <c r="I6952"/>
      <c r="J6952"/>
      <c r="K6952" s="1"/>
      <c r="L6952" s="2"/>
    </row>
    <row r="6953" spans="1:12" x14ac:dyDescent="0.2">
      <c r="A6953"/>
      <c r="B6953"/>
      <c r="C6953"/>
      <c r="D6953"/>
      <c r="E6953"/>
      <c r="F6953"/>
      <c r="G6953"/>
      <c r="H6953"/>
      <c r="I6953"/>
      <c r="J6953"/>
      <c r="K6953" s="1"/>
      <c r="L6953" s="2"/>
    </row>
    <row r="6954" spans="1:12" x14ac:dyDescent="0.2">
      <c r="A6954"/>
      <c r="B6954"/>
      <c r="C6954"/>
      <c r="D6954"/>
      <c r="E6954"/>
      <c r="F6954"/>
      <c r="G6954"/>
      <c r="H6954"/>
      <c r="I6954"/>
      <c r="J6954"/>
      <c r="K6954" s="1"/>
      <c r="L6954" s="2"/>
    </row>
    <row r="6955" spans="1:12" x14ac:dyDescent="0.2">
      <c r="A6955"/>
      <c r="B6955"/>
      <c r="C6955"/>
      <c r="D6955"/>
      <c r="E6955"/>
      <c r="F6955"/>
      <c r="G6955"/>
      <c r="H6955"/>
      <c r="I6955"/>
      <c r="J6955"/>
      <c r="K6955" s="1"/>
      <c r="L6955" s="2"/>
    </row>
    <row r="6956" spans="1:12" x14ac:dyDescent="0.2">
      <c r="A6956"/>
      <c r="B6956"/>
      <c r="C6956"/>
      <c r="D6956"/>
      <c r="E6956"/>
      <c r="F6956"/>
      <c r="G6956"/>
      <c r="H6956"/>
      <c r="I6956"/>
      <c r="J6956"/>
      <c r="K6956" s="1"/>
      <c r="L6956" s="2"/>
    </row>
    <row r="6957" spans="1:12" x14ac:dyDescent="0.2">
      <c r="A6957"/>
      <c r="B6957"/>
      <c r="C6957"/>
      <c r="D6957"/>
      <c r="E6957"/>
      <c r="F6957"/>
      <c r="G6957"/>
      <c r="H6957"/>
      <c r="I6957"/>
      <c r="J6957"/>
      <c r="K6957" s="1"/>
      <c r="L6957" s="2"/>
    </row>
    <row r="6958" spans="1:12" x14ac:dyDescent="0.2">
      <c r="A6958"/>
      <c r="B6958"/>
      <c r="C6958"/>
      <c r="D6958"/>
      <c r="E6958"/>
      <c r="F6958"/>
      <c r="G6958"/>
      <c r="H6958"/>
      <c r="I6958"/>
      <c r="J6958"/>
      <c r="K6958" s="1"/>
      <c r="L6958" s="2"/>
    </row>
    <row r="6959" spans="1:12" x14ac:dyDescent="0.2">
      <c r="A6959"/>
      <c r="B6959"/>
      <c r="C6959"/>
      <c r="D6959"/>
      <c r="E6959"/>
      <c r="F6959"/>
      <c r="G6959"/>
      <c r="H6959"/>
      <c r="I6959"/>
      <c r="J6959"/>
      <c r="K6959" s="1"/>
      <c r="L6959" s="2"/>
    </row>
    <row r="6960" spans="1:12" x14ac:dyDescent="0.2">
      <c r="A6960"/>
      <c r="B6960"/>
      <c r="C6960"/>
      <c r="D6960"/>
      <c r="E6960"/>
      <c r="F6960"/>
      <c r="G6960"/>
      <c r="H6960"/>
      <c r="I6960"/>
      <c r="J6960"/>
      <c r="K6960" s="1"/>
      <c r="L6960" s="2"/>
    </row>
    <row r="6961" spans="1:12" x14ac:dyDescent="0.2">
      <c r="A6961"/>
      <c r="B6961"/>
      <c r="C6961"/>
      <c r="D6961"/>
      <c r="E6961"/>
      <c r="F6961"/>
      <c r="G6961"/>
      <c r="H6961"/>
      <c r="I6961"/>
      <c r="J6961"/>
      <c r="K6961" s="1"/>
      <c r="L6961" s="2"/>
    </row>
    <row r="6962" spans="1:12" x14ac:dyDescent="0.2">
      <c r="A6962"/>
      <c r="B6962"/>
      <c r="C6962"/>
      <c r="D6962"/>
      <c r="E6962"/>
      <c r="F6962"/>
      <c r="G6962"/>
      <c r="H6962"/>
      <c r="I6962"/>
      <c r="J6962"/>
      <c r="K6962" s="1"/>
      <c r="L6962" s="2"/>
    </row>
    <row r="6963" spans="1:12" x14ac:dyDescent="0.2">
      <c r="A6963"/>
      <c r="B6963"/>
      <c r="C6963"/>
      <c r="D6963"/>
      <c r="E6963"/>
      <c r="F6963"/>
      <c r="G6963"/>
      <c r="H6963"/>
      <c r="I6963"/>
      <c r="J6963"/>
      <c r="K6963" s="1"/>
      <c r="L6963" s="2"/>
    </row>
    <row r="6964" spans="1:12" x14ac:dyDescent="0.2">
      <c r="A6964"/>
      <c r="B6964"/>
      <c r="C6964"/>
      <c r="D6964"/>
      <c r="E6964"/>
      <c r="F6964"/>
      <c r="G6964"/>
      <c r="H6964"/>
      <c r="I6964"/>
      <c r="J6964"/>
      <c r="K6964" s="1"/>
      <c r="L6964" s="2"/>
    </row>
    <row r="6965" spans="1:12" x14ac:dyDescent="0.2">
      <c r="A6965"/>
      <c r="B6965"/>
      <c r="C6965"/>
      <c r="D6965"/>
      <c r="E6965"/>
      <c r="F6965"/>
      <c r="G6965"/>
      <c r="H6965"/>
      <c r="I6965"/>
      <c r="J6965"/>
      <c r="K6965" s="1"/>
      <c r="L6965" s="2"/>
    </row>
    <row r="6966" spans="1:12" x14ac:dyDescent="0.2">
      <c r="A6966"/>
      <c r="B6966"/>
      <c r="C6966"/>
      <c r="D6966"/>
      <c r="E6966"/>
      <c r="F6966"/>
      <c r="G6966"/>
      <c r="H6966"/>
      <c r="I6966"/>
      <c r="J6966"/>
      <c r="K6966" s="1"/>
      <c r="L6966" s="2"/>
    </row>
    <row r="6967" spans="1:12" x14ac:dyDescent="0.2">
      <c r="A6967"/>
      <c r="B6967"/>
      <c r="C6967"/>
      <c r="D6967"/>
      <c r="E6967"/>
      <c r="F6967"/>
      <c r="G6967"/>
      <c r="H6967"/>
      <c r="I6967"/>
      <c r="J6967"/>
      <c r="K6967" s="1"/>
      <c r="L6967" s="2"/>
    </row>
    <row r="6968" spans="1:12" x14ac:dyDescent="0.2">
      <c r="A6968"/>
      <c r="B6968"/>
      <c r="C6968"/>
      <c r="D6968"/>
      <c r="E6968"/>
      <c r="F6968"/>
      <c r="G6968"/>
      <c r="H6968"/>
      <c r="I6968"/>
      <c r="J6968"/>
      <c r="K6968" s="1"/>
      <c r="L6968" s="2"/>
    </row>
    <row r="6969" spans="1:12" x14ac:dyDescent="0.2">
      <c r="A6969"/>
      <c r="B6969"/>
      <c r="C6969"/>
      <c r="D6969"/>
      <c r="E6969"/>
      <c r="F6969"/>
      <c r="G6969"/>
      <c r="H6969"/>
      <c r="I6969"/>
      <c r="J6969"/>
      <c r="K6969" s="1"/>
      <c r="L6969" s="2"/>
    </row>
    <row r="6970" spans="1:12" x14ac:dyDescent="0.2">
      <c r="A6970"/>
      <c r="B6970"/>
      <c r="C6970"/>
      <c r="D6970"/>
      <c r="E6970"/>
      <c r="F6970"/>
      <c r="G6970"/>
      <c r="H6970"/>
      <c r="I6970"/>
      <c r="J6970"/>
      <c r="K6970" s="1"/>
      <c r="L6970" s="2"/>
    </row>
    <row r="6971" spans="1:12" x14ac:dyDescent="0.2">
      <c r="A6971"/>
      <c r="B6971"/>
      <c r="C6971"/>
      <c r="D6971"/>
      <c r="E6971"/>
      <c r="F6971"/>
      <c r="G6971"/>
      <c r="H6971"/>
      <c r="I6971"/>
      <c r="J6971"/>
      <c r="K6971" s="1"/>
      <c r="L6971" s="2"/>
    </row>
    <row r="6972" spans="1:12" x14ac:dyDescent="0.2">
      <c r="A6972"/>
      <c r="B6972"/>
      <c r="C6972"/>
      <c r="D6972"/>
      <c r="E6972"/>
      <c r="F6972"/>
      <c r="G6972"/>
      <c r="H6972"/>
      <c r="I6972"/>
      <c r="J6972"/>
      <c r="K6972" s="1"/>
      <c r="L6972" s="2"/>
    </row>
    <row r="6973" spans="1:12" x14ac:dyDescent="0.2">
      <c r="A6973"/>
      <c r="B6973"/>
      <c r="C6973"/>
      <c r="D6973"/>
      <c r="E6973"/>
      <c r="F6973"/>
      <c r="G6973"/>
      <c r="H6973"/>
      <c r="I6973"/>
      <c r="J6973"/>
      <c r="K6973" s="1"/>
      <c r="L6973" s="2"/>
    </row>
    <row r="6974" spans="1:12" x14ac:dyDescent="0.2">
      <c r="A6974"/>
      <c r="B6974"/>
      <c r="C6974"/>
      <c r="D6974"/>
      <c r="E6974"/>
      <c r="F6974"/>
      <c r="G6974"/>
      <c r="H6974"/>
      <c r="I6974"/>
      <c r="J6974"/>
      <c r="K6974" s="1"/>
      <c r="L6974" s="2"/>
    </row>
    <row r="6975" spans="1:12" x14ac:dyDescent="0.2">
      <c r="A6975"/>
      <c r="B6975"/>
      <c r="C6975"/>
      <c r="D6975"/>
      <c r="E6975"/>
      <c r="F6975"/>
      <c r="G6975"/>
      <c r="H6975"/>
      <c r="I6975"/>
      <c r="J6975"/>
      <c r="K6975" s="1"/>
      <c r="L6975" s="2"/>
    </row>
    <row r="6976" spans="1:12" x14ac:dyDescent="0.2">
      <c r="A6976"/>
      <c r="B6976"/>
      <c r="C6976"/>
      <c r="D6976"/>
      <c r="E6976"/>
      <c r="F6976"/>
      <c r="G6976"/>
      <c r="H6976"/>
      <c r="I6976"/>
      <c r="J6976"/>
      <c r="K6976" s="1"/>
      <c r="L6976" s="2"/>
    </row>
    <row r="6977" spans="1:12" x14ac:dyDescent="0.2">
      <c r="A6977"/>
      <c r="B6977"/>
      <c r="C6977"/>
      <c r="D6977"/>
      <c r="E6977"/>
      <c r="F6977"/>
      <c r="G6977"/>
      <c r="H6977"/>
      <c r="I6977"/>
      <c r="J6977"/>
      <c r="K6977" s="1"/>
      <c r="L6977" s="2"/>
    </row>
    <row r="6978" spans="1:12" x14ac:dyDescent="0.2">
      <c r="A6978"/>
      <c r="B6978"/>
      <c r="C6978"/>
      <c r="D6978"/>
      <c r="E6978"/>
      <c r="F6978"/>
      <c r="G6978"/>
      <c r="H6978"/>
      <c r="I6978"/>
      <c r="J6978"/>
      <c r="K6978" s="1"/>
      <c r="L6978" s="2"/>
    </row>
    <row r="6979" spans="1:12" x14ac:dyDescent="0.2">
      <c r="A6979"/>
      <c r="B6979"/>
      <c r="C6979"/>
      <c r="D6979"/>
      <c r="E6979"/>
      <c r="F6979"/>
      <c r="G6979"/>
      <c r="H6979"/>
      <c r="I6979"/>
      <c r="J6979"/>
      <c r="K6979" s="1"/>
      <c r="L6979" s="2"/>
    </row>
    <row r="6980" spans="1:12" x14ac:dyDescent="0.2">
      <c r="A6980"/>
      <c r="B6980"/>
      <c r="C6980"/>
      <c r="D6980"/>
      <c r="E6980"/>
      <c r="F6980"/>
      <c r="G6980"/>
      <c r="H6980"/>
      <c r="I6980"/>
      <c r="J6980"/>
      <c r="K6980" s="1"/>
      <c r="L6980" s="2"/>
    </row>
    <row r="6981" spans="1:12" x14ac:dyDescent="0.2">
      <c r="A6981"/>
      <c r="B6981"/>
      <c r="C6981"/>
      <c r="D6981"/>
      <c r="E6981"/>
      <c r="F6981"/>
      <c r="G6981"/>
      <c r="H6981"/>
      <c r="I6981"/>
      <c r="J6981"/>
      <c r="K6981" s="1"/>
      <c r="L6981" s="2"/>
    </row>
    <row r="6982" spans="1:12" x14ac:dyDescent="0.2">
      <c r="A6982"/>
      <c r="B6982"/>
      <c r="C6982"/>
      <c r="D6982"/>
      <c r="E6982"/>
      <c r="F6982"/>
      <c r="G6982"/>
      <c r="H6982"/>
      <c r="I6982"/>
      <c r="J6982"/>
      <c r="K6982" s="1"/>
      <c r="L6982" s="2"/>
    </row>
    <row r="6983" spans="1:12" x14ac:dyDescent="0.2">
      <c r="A6983"/>
      <c r="B6983"/>
      <c r="C6983"/>
      <c r="D6983"/>
      <c r="E6983"/>
      <c r="F6983"/>
      <c r="G6983"/>
      <c r="H6983"/>
      <c r="I6983"/>
      <c r="J6983"/>
      <c r="K6983" s="1"/>
      <c r="L6983" s="2"/>
    </row>
    <row r="6984" spans="1:12" x14ac:dyDescent="0.2">
      <c r="A6984"/>
      <c r="B6984"/>
      <c r="C6984"/>
      <c r="D6984"/>
      <c r="E6984"/>
      <c r="F6984"/>
      <c r="G6984"/>
      <c r="H6984"/>
      <c r="I6984"/>
      <c r="J6984"/>
      <c r="K6984" s="1"/>
      <c r="L6984" s="2"/>
    </row>
    <row r="6985" spans="1:12" x14ac:dyDescent="0.2">
      <c r="A6985"/>
      <c r="B6985"/>
      <c r="C6985"/>
      <c r="D6985"/>
      <c r="E6985"/>
      <c r="F6985"/>
      <c r="G6985"/>
      <c r="H6985"/>
      <c r="I6985"/>
      <c r="J6985"/>
      <c r="K6985" s="1"/>
      <c r="L6985" s="2"/>
    </row>
    <row r="6986" spans="1:12" x14ac:dyDescent="0.2">
      <c r="A6986"/>
      <c r="B6986"/>
      <c r="C6986"/>
      <c r="D6986"/>
      <c r="E6986"/>
      <c r="F6986"/>
      <c r="G6986"/>
      <c r="H6986"/>
      <c r="I6986"/>
      <c r="J6986"/>
      <c r="K6986" s="1"/>
      <c r="L6986" s="2"/>
    </row>
    <row r="6987" spans="1:12" x14ac:dyDescent="0.2">
      <c r="A6987"/>
      <c r="B6987"/>
      <c r="C6987"/>
      <c r="D6987"/>
      <c r="E6987"/>
      <c r="F6987"/>
      <c r="G6987"/>
      <c r="H6987"/>
      <c r="I6987"/>
      <c r="J6987"/>
      <c r="K6987" s="1"/>
      <c r="L6987" s="2"/>
    </row>
    <row r="6988" spans="1:12" x14ac:dyDescent="0.2">
      <c r="A6988"/>
      <c r="B6988"/>
      <c r="C6988"/>
      <c r="D6988"/>
      <c r="E6988"/>
      <c r="F6988"/>
      <c r="G6988"/>
      <c r="H6988"/>
      <c r="I6988"/>
      <c r="J6988"/>
      <c r="K6988" s="1"/>
      <c r="L6988" s="2"/>
    </row>
    <row r="6989" spans="1:12" x14ac:dyDescent="0.2">
      <c r="A6989"/>
      <c r="B6989"/>
      <c r="C6989"/>
      <c r="D6989"/>
      <c r="E6989"/>
      <c r="F6989"/>
      <c r="G6989"/>
      <c r="H6989"/>
      <c r="I6989"/>
      <c r="J6989"/>
      <c r="K6989" s="1"/>
      <c r="L6989" s="2"/>
    </row>
    <row r="6990" spans="1:12" x14ac:dyDescent="0.2">
      <c r="A6990"/>
      <c r="B6990"/>
      <c r="C6990"/>
      <c r="D6990"/>
      <c r="E6990"/>
      <c r="F6990"/>
      <c r="G6990"/>
      <c r="H6990"/>
      <c r="I6990"/>
      <c r="J6990"/>
      <c r="K6990" s="1"/>
      <c r="L6990" s="2"/>
    </row>
    <row r="6991" spans="1:12" x14ac:dyDescent="0.2">
      <c r="A6991"/>
      <c r="B6991"/>
      <c r="C6991"/>
      <c r="D6991"/>
      <c r="E6991"/>
      <c r="F6991"/>
      <c r="G6991"/>
      <c r="H6991"/>
      <c r="I6991"/>
      <c r="J6991"/>
      <c r="K6991" s="1"/>
      <c r="L6991" s="2"/>
    </row>
    <row r="6992" spans="1:12" x14ac:dyDescent="0.2">
      <c r="A6992"/>
      <c r="B6992"/>
      <c r="C6992"/>
      <c r="D6992"/>
      <c r="E6992"/>
      <c r="F6992"/>
      <c r="G6992"/>
      <c r="H6992"/>
      <c r="I6992"/>
      <c r="J6992"/>
      <c r="K6992" s="1"/>
      <c r="L6992" s="2"/>
    </row>
    <row r="6993" spans="1:12" x14ac:dyDescent="0.2">
      <c r="A6993"/>
      <c r="B6993"/>
      <c r="C6993"/>
      <c r="D6993"/>
      <c r="E6993"/>
      <c r="F6993"/>
      <c r="G6993"/>
      <c r="H6993"/>
      <c r="I6993"/>
      <c r="J6993"/>
      <c r="K6993" s="1"/>
      <c r="L6993" s="2"/>
    </row>
    <row r="6994" spans="1:12" x14ac:dyDescent="0.2">
      <c r="A6994"/>
      <c r="B6994"/>
      <c r="C6994"/>
      <c r="D6994"/>
      <c r="E6994"/>
      <c r="F6994"/>
      <c r="G6994"/>
      <c r="H6994"/>
      <c r="I6994"/>
      <c r="J6994"/>
      <c r="K6994" s="1"/>
      <c r="L6994" s="2"/>
    </row>
    <row r="6995" spans="1:12" x14ac:dyDescent="0.2">
      <c r="A6995"/>
      <c r="B6995"/>
      <c r="C6995"/>
      <c r="D6995"/>
      <c r="E6995"/>
      <c r="F6995"/>
      <c r="G6995"/>
      <c r="H6995"/>
      <c r="I6995"/>
      <c r="J6995"/>
      <c r="K6995" s="1"/>
      <c r="L6995" s="2"/>
    </row>
    <row r="6996" spans="1:12" x14ac:dyDescent="0.2">
      <c r="A6996"/>
      <c r="B6996"/>
      <c r="C6996"/>
      <c r="D6996"/>
      <c r="E6996"/>
      <c r="F6996"/>
      <c r="G6996"/>
      <c r="H6996"/>
      <c r="I6996"/>
      <c r="J6996"/>
      <c r="K6996" s="1"/>
      <c r="L6996" s="2"/>
    </row>
    <row r="6997" spans="1:12" x14ac:dyDescent="0.2">
      <c r="A6997"/>
      <c r="B6997"/>
      <c r="C6997"/>
      <c r="D6997"/>
      <c r="E6997"/>
      <c r="F6997"/>
      <c r="G6997"/>
      <c r="H6997"/>
      <c r="I6997"/>
      <c r="J6997"/>
      <c r="K6997" s="1"/>
      <c r="L6997" s="2"/>
    </row>
    <row r="6998" spans="1:12" x14ac:dyDescent="0.2">
      <c r="A6998"/>
      <c r="B6998"/>
      <c r="C6998"/>
      <c r="D6998"/>
      <c r="E6998"/>
      <c r="F6998"/>
      <c r="G6998"/>
      <c r="H6998"/>
      <c r="I6998"/>
      <c r="J6998"/>
      <c r="K6998" s="1"/>
      <c r="L6998" s="2"/>
    </row>
    <row r="6999" spans="1:12" x14ac:dyDescent="0.2">
      <c r="A6999"/>
      <c r="B6999"/>
      <c r="C6999"/>
      <c r="D6999"/>
      <c r="E6999"/>
      <c r="F6999"/>
      <c r="G6999"/>
      <c r="H6999"/>
      <c r="I6999"/>
      <c r="J6999"/>
      <c r="K6999" s="1"/>
      <c r="L6999" s="2"/>
    </row>
    <row r="7000" spans="1:12" x14ac:dyDescent="0.2">
      <c r="A7000"/>
      <c r="B7000"/>
      <c r="C7000"/>
      <c r="D7000"/>
      <c r="E7000"/>
      <c r="F7000"/>
      <c r="G7000"/>
      <c r="H7000"/>
      <c r="I7000"/>
      <c r="J7000"/>
      <c r="K7000" s="1"/>
      <c r="L7000" s="2"/>
    </row>
    <row r="7001" spans="1:12" x14ac:dyDescent="0.2">
      <c r="A7001"/>
      <c r="B7001"/>
      <c r="C7001"/>
      <c r="D7001"/>
      <c r="E7001"/>
      <c r="F7001"/>
      <c r="G7001"/>
      <c r="H7001"/>
      <c r="I7001"/>
      <c r="J7001"/>
      <c r="K7001" s="1"/>
      <c r="L7001" s="2"/>
    </row>
    <row r="7002" spans="1:12" x14ac:dyDescent="0.2">
      <c r="A7002"/>
      <c r="B7002"/>
      <c r="C7002"/>
      <c r="D7002"/>
      <c r="E7002"/>
      <c r="F7002"/>
      <c r="G7002"/>
      <c r="H7002"/>
      <c r="I7002"/>
      <c r="J7002"/>
      <c r="K7002" s="1"/>
      <c r="L7002" s="2"/>
    </row>
    <row r="7003" spans="1:12" x14ac:dyDescent="0.2">
      <c r="A7003"/>
      <c r="B7003"/>
      <c r="C7003"/>
      <c r="D7003"/>
      <c r="E7003"/>
      <c r="F7003"/>
      <c r="G7003"/>
      <c r="H7003"/>
      <c r="I7003"/>
      <c r="J7003"/>
      <c r="K7003" s="1"/>
      <c r="L7003" s="2"/>
    </row>
    <row r="7004" spans="1:12" x14ac:dyDescent="0.2">
      <c r="A7004"/>
      <c r="B7004"/>
      <c r="C7004"/>
      <c r="D7004"/>
      <c r="E7004"/>
      <c r="F7004"/>
      <c r="G7004"/>
      <c r="H7004"/>
      <c r="I7004"/>
      <c r="J7004"/>
      <c r="K7004" s="1"/>
      <c r="L7004" s="2"/>
    </row>
    <row r="7005" spans="1:12" x14ac:dyDescent="0.2">
      <c r="A7005"/>
      <c r="B7005"/>
      <c r="C7005"/>
      <c r="D7005"/>
      <c r="E7005"/>
      <c r="F7005"/>
      <c r="G7005"/>
      <c r="H7005"/>
      <c r="I7005"/>
      <c r="J7005"/>
      <c r="K7005" s="1"/>
      <c r="L7005" s="2"/>
    </row>
    <row r="7006" spans="1:12" x14ac:dyDescent="0.2">
      <c r="A7006"/>
      <c r="B7006"/>
      <c r="C7006"/>
      <c r="D7006"/>
      <c r="E7006"/>
      <c r="F7006"/>
      <c r="G7006"/>
      <c r="H7006"/>
      <c r="I7006"/>
      <c r="J7006"/>
      <c r="K7006" s="1"/>
      <c r="L7006" s="2"/>
    </row>
    <row r="7007" spans="1:12" x14ac:dyDescent="0.2">
      <c r="A7007"/>
      <c r="B7007"/>
      <c r="C7007"/>
      <c r="D7007"/>
      <c r="E7007"/>
      <c r="F7007"/>
      <c r="G7007"/>
      <c r="H7007"/>
      <c r="I7007"/>
      <c r="J7007"/>
      <c r="K7007" s="1"/>
      <c r="L7007" s="2"/>
    </row>
    <row r="7008" spans="1:12" x14ac:dyDescent="0.2">
      <c r="A7008"/>
      <c r="B7008"/>
      <c r="C7008"/>
      <c r="D7008"/>
      <c r="E7008"/>
      <c r="F7008"/>
      <c r="G7008"/>
      <c r="H7008"/>
      <c r="I7008"/>
      <c r="J7008"/>
      <c r="K7008" s="1"/>
      <c r="L7008" s="2"/>
    </row>
    <row r="7009" spans="1:12" x14ac:dyDescent="0.2">
      <c r="A7009"/>
      <c r="B7009"/>
      <c r="C7009"/>
      <c r="D7009"/>
      <c r="E7009"/>
      <c r="F7009"/>
      <c r="G7009"/>
      <c r="H7009"/>
      <c r="I7009"/>
      <c r="J7009"/>
      <c r="K7009" s="1"/>
      <c r="L7009" s="2"/>
    </row>
    <row r="7010" spans="1:12" x14ac:dyDescent="0.2">
      <c r="A7010"/>
      <c r="B7010"/>
      <c r="C7010"/>
      <c r="D7010"/>
      <c r="E7010"/>
      <c r="F7010"/>
      <c r="G7010"/>
      <c r="H7010"/>
      <c r="I7010"/>
      <c r="J7010"/>
      <c r="K7010" s="1"/>
      <c r="L7010" s="2"/>
    </row>
    <row r="7011" spans="1:12" x14ac:dyDescent="0.2">
      <c r="A7011"/>
      <c r="B7011"/>
      <c r="C7011"/>
      <c r="D7011"/>
      <c r="E7011"/>
      <c r="F7011"/>
      <c r="G7011"/>
      <c r="H7011"/>
      <c r="I7011"/>
      <c r="J7011"/>
      <c r="K7011" s="1"/>
      <c r="L7011" s="2"/>
    </row>
    <row r="7012" spans="1:12" x14ac:dyDescent="0.2">
      <c r="A7012"/>
      <c r="B7012"/>
      <c r="C7012"/>
      <c r="D7012"/>
      <c r="E7012"/>
      <c r="F7012"/>
      <c r="G7012"/>
      <c r="H7012"/>
      <c r="I7012"/>
      <c r="J7012"/>
      <c r="K7012" s="1"/>
      <c r="L7012" s="2"/>
    </row>
    <row r="7013" spans="1:12" x14ac:dyDescent="0.2">
      <c r="A7013"/>
      <c r="B7013"/>
      <c r="C7013"/>
      <c r="D7013"/>
      <c r="E7013"/>
      <c r="F7013"/>
      <c r="G7013"/>
      <c r="H7013"/>
      <c r="I7013"/>
      <c r="J7013"/>
      <c r="K7013" s="1"/>
      <c r="L7013" s="2"/>
    </row>
    <row r="7014" spans="1:12" x14ac:dyDescent="0.2">
      <c r="A7014"/>
      <c r="B7014"/>
      <c r="C7014"/>
      <c r="D7014"/>
      <c r="E7014"/>
      <c r="F7014"/>
      <c r="G7014"/>
      <c r="H7014"/>
      <c r="I7014"/>
      <c r="J7014"/>
      <c r="K7014" s="1"/>
      <c r="L7014" s="2"/>
    </row>
    <row r="7015" spans="1:12" x14ac:dyDescent="0.2">
      <c r="A7015"/>
      <c r="B7015"/>
      <c r="C7015"/>
      <c r="D7015"/>
      <c r="E7015"/>
      <c r="F7015"/>
      <c r="G7015"/>
      <c r="H7015"/>
      <c r="I7015"/>
      <c r="J7015"/>
      <c r="K7015" s="1"/>
      <c r="L7015" s="2"/>
    </row>
    <row r="7016" spans="1:12" x14ac:dyDescent="0.2">
      <c r="A7016"/>
      <c r="B7016"/>
      <c r="C7016"/>
      <c r="D7016"/>
      <c r="E7016"/>
      <c r="F7016"/>
      <c r="G7016"/>
      <c r="H7016"/>
      <c r="I7016"/>
      <c r="J7016"/>
      <c r="K7016" s="1"/>
      <c r="L7016" s="2"/>
    </row>
    <row r="7017" spans="1:12" x14ac:dyDescent="0.2">
      <c r="A7017"/>
      <c r="B7017"/>
      <c r="C7017"/>
      <c r="D7017"/>
      <c r="E7017"/>
      <c r="F7017"/>
      <c r="G7017"/>
      <c r="H7017"/>
      <c r="I7017"/>
      <c r="J7017"/>
      <c r="K7017" s="1"/>
      <c r="L7017" s="2"/>
    </row>
    <row r="7018" spans="1:12" x14ac:dyDescent="0.2">
      <c r="A7018"/>
      <c r="B7018"/>
      <c r="C7018"/>
      <c r="D7018"/>
      <c r="E7018"/>
      <c r="F7018"/>
      <c r="G7018"/>
      <c r="H7018"/>
      <c r="I7018"/>
      <c r="J7018"/>
      <c r="K7018" s="1"/>
      <c r="L7018" s="2"/>
    </row>
    <row r="7019" spans="1:12" x14ac:dyDescent="0.2">
      <c r="A7019"/>
      <c r="B7019"/>
      <c r="C7019"/>
      <c r="D7019"/>
      <c r="E7019"/>
      <c r="F7019"/>
      <c r="G7019"/>
      <c r="H7019"/>
      <c r="I7019"/>
      <c r="J7019"/>
      <c r="K7019" s="1"/>
      <c r="L7019" s="2"/>
    </row>
    <row r="7020" spans="1:12" x14ac:dyDescent="0.2">
      <c r="A7020"/>
      <c r="B7020"/>
      <c r="C7020"/>
      <c r="D7020"/>
      <c r="E7020"/>
      <c r="F7020"/>
      <c r="G7020"/>
      <c r="H7020"/>
      <c r="I7020"/>
      <c r="J7020"/>
      <c r="K7020" s="1"/>
      <c r="L7020" s="2"/>
    </row>
    <row r="7021" spans="1:12" x14ac:dyDescent="0.2">
      <c r="A7021"/>
      <c r="B7021"/>
      <c r="C7021"/>
      <c r="D7021"/>
      <c r="E7021"/>
      <c r="F7021"/>
      <c r="G7021"/>
      <c r="H7021"/>
      <c r="I7021"/>
      <c r="J7021"/>
      <c r="K7021" s="1"/>
      <c r="L7021" s="2"/>
    </row>
    <row r="7022" spans="1:12" x14ac:dyDescent="0.2">
      <c r="A7022"/>
      <c r="B7022"/>
      <c r="C7022"/>
      <c r="D7022"/>
      <c r="E7022"/>
      <c r="F7022"/>
      <c r="G7022"/>
      <c r="H7022"/>
      <c r="I7022"/>
      <c r="J7022"/>
      <c r="K7022" s="1"/>
      <c r="L7022" s="2"/>
    </row>
    <row r="7023" spans="1:12" x14ac:dyDescent="0.2">
      <c r="A7023"/>
      <c r="B7023"/>
      <c r="C7023"/>
      <c r="D7023"/>
      <c r="E7023"/>
      <c r="F7023"/>
      <c r="G7023"/>
      <c r="H7023"/>
      <c r="I7023"/>
      <c r="J7023"/>
      <c r="K7023" s="1"/>
      <c r="L7023" s="2"/>
    </row>
    <row r="7024" spans="1:12" x14ac:dyDescent="0.2">
      <c r="A7024"/>
      <c r="B7024"/>
      <c r="C7024"/>
      <c r="D7024"/>
      <c r="E7024"/>
      <c r="F7024"/>
      <c r="G7024"/>
      <c r="H7024"/>
      <c r="I7024"/>
      <c r="J7024"/>
      <c r="K7024" s="1"/>
      <c r="L7024" s="2"/>
    </row>
    <row r="7025" spans="1:12" x14ac:dyDescent="0.2">
      <c r="A7025"/>
      <c r="B7025"/>
      <c r="C7025"/>
      <c r="D7025"/>
      <c r="E7025"/>
      <c r="F7025"/>
      <c r="G7025"/>
      <c r="H7025"/>
      <c r="I7025"/>
      <c r="J7025"/>
      <c r="K7025" s="1"/>
      <c r="L7025" s="2"/>
    </row>
    <row r="7026" spans="1:12" x14ac:dyDescent="0.2">
      <c r="A7026"/>
      <c r="B7026"/>
      <c r="C7026"/>
      <c r="D7026"/>
      <c r="E7026"/>
      <c r="F7026"/>
      <c r="G7026"/>
      <c r="H7026"/>
      <c r="I7026"/>
      <c r="J7026"/>
      <c r="K7026" s="1"/>
      <c r="L7026" s="2"/>
    </row>
    <row r="7027" spans="1:12" x14ac:dyDescent="0.2">
      <c r="A7027"/>
      <c r="B7027"/>
      <c r="C7027"/>
      <c r="D7027"/>
      <c r="E7027"/>
      <c r="F7027"/>
      <c r="G7027"/>
      <c r="H7027"/>
      <c r="I7027"/>
      <c r="J7027"/>
      <c r="K7027" s="1"/>
      <c r="L7027" s="2"/>
    </row>
    <row r="7028" spans="1:12" x14ac:dyDescent="0.2">
      <c r="A7028"/>
      <c r="B7028"/>
      <c r="C7028"/>
      <c r="D7028"/>
      <c r="E7028"/>
      <c r="F7028"/>
      <c r="G7028"/>
      <c r="H7028"/>
      <c r="I7028"/>
      <c r="J7028"/>
      <c r="K7028" s="1"/>
      <c r="L7028" s="2"/>
    </row>
    <row r="7029" spans="1:12" x14ac:dyDescent="0.2">
      <c r="A7029"/>
      <c r="B7029"/>
      <c r="C7029"/>
      <c r="D7029"/>
      <c r="E7029"/>
      <c r="F7029"/>
      <c r="G7029"/>
      <c r="H7029"/>
      <c r="I7029"/>
      <c r="J7029"/>
      <c r="K7029" s="1"/>
      <c r="L7029" s="2"/>
    </row>
    <row r="7030" spans="1:12" x14ac:dyDescent="0.2">
      <c r="A7030"/>
      <c r="B7030"/>
      <c r="C7030"/>
      <c r="D7030"/>
      <c r="E7030"/>
      <c r="F7030"/>
      <c r="G7030"/>
      <c r="H7030"/>
      <c r="I7030"/>
      <c r="J7030"/>
      <c r="K7030" s="1"/>
      <c r="L7030" s="2"/>
    </row>
    <row r="7031" spans="1:12" x14ac:dyDescent="0.2">
      <c r="A7031"/>
      <c r="B7031"/>
      <c r="C7031"/>
      <c r="D7031"/>
      <c r="E7031"/>
      <c r="F7031"/>
      <c r="G7031"/>
      <c r="H7031"/>
      <c r="I7031"/>
      <c r="J7031"/>
      <c r="K7031" s="1"/>
      <c r="L7031" s="2"/>
    </row>
    <row r="7032" spans="1:12" x14ac:dyDescent="0.2">
      <c r="A7032"/>
      <c r="B7032"/>
      <c r="C7032"/>
      <c r="D7032"/>
      <c r="E7032"/>
      <c r="F7032"/>
      <c r="G7032"/>
      <c r="H7032"/>
      <c r="I7032"/>
      <c r="J7032"/>
      <c r="K7032" s="1"/>
      <c r="L7032" s="2"/>
    </row>
    <row r="7033" spans="1:12" x14ac:dyDescent="0.2">
      <c r="A7033"/>
      <c r="B7033"/>
      <c r="C7033"/>
      <c r="D7033"/>
      <c r="E7033"/>
      <c r="F7033"/>
      <c r="G7033"/>
      <c r="H7033"/>
      <c r="I7033"/>
      <c r="J7033"/>
      <c r="K7033" s="1"/>
      <c r="L7033" s="2"/>
    </row>
    <row r="7034" spans="1:12" x14ac:dyDescent="0.2">
      <c r="A7034"/>
      <c r="B7034"/>
      <c r="C7034"/>
      <c r="D7034"/>
      <c r="E7034"/>
      <c r="F7034"/>
      <c r="G7034"/>
      <c r="H7034"/>
      <c r="I7034"/>
      <c r="J7034"/>
      <c r="K7034" s="1"/>
      <c r="L7034" s="2"/>
    </row>
    <row r="7035" spans="1:12" x14ac:dyDescent="0.2">
      <c r="A7035"/>
      <c r="B7035"/>
      <c r="C7035"/>
      <c r="D7035"/>
      <c r="E7035"/>
      <c r="F7035"/>
      <c r="G7035"/>
      <c r="H7035"/>
      <c r="I7035"/>
      <c r="J7035"/>
      <c r="K7035" s="1"/>
      <c r="L7035" s="2"/>
    </row>
    <row r="7036" spans="1:12" x14ac:dyDescent="0.2">
      <c r="A7036"/>
      <c r="B7036"/>
      <c r="C7036"/>
      <c r="D7036"/>
      <c r="E7036"/>
      <c r="F7036"/>
      <c r="G7036"/>
      <c r="H7036"/>
      <c r="I7036"/>
      <c r="J7036"/>
      <c r="K7036" s="1"/>
      <c r="L7036" s="2"/>
    </row>
    <row r="7037" spans="1:12" x14ac:dyDescent="0.2">
      <c r="A7037"/>
      <c r="B7037"/>
      <c r="C7037"/>
      <c r="D7037"/>
      <c r="E7037"/>
      <c r="F7037"/>
      <c r="G7037"/>
      <c r="H7037"/>
      <c r="I7037"/>
      <c r="J7037"/>
      <c r="K7037" s="1"/>
      <c r="L7037" s="2"/>
    </row>
    <row r="7038" spans="1:12" x14ac:dyDescent="0.2">
      <c r="A7038"/>
      <c r="B7038"/>
      <c r="C7038"/>
      <c r="D7038"/>
      <c r="E7038"/>
      <c r="F7038"/>
      <c r="G7038"/>
      <c r="H7038"/>
      <c r="I7038"/>
      <c r="J7038"/>
      <c r="K7038" s="1"/>
      <c r="L7038" s="2"/>
    </row>
    <row r="7039" spans="1:12" x14ac:dyDescent="0.2">
      <c r="A7039"/>
      <c r="B7039"/>
      <c r="C7039"/>
      <c r="D7039"/>
      <c r="E7039"/>
      <c r="F7039"/>
      <c r="G7039"/>
      <c r="H7039"/>
      <c r="I7039"/>
      <c r="J7039"/>
      <c r="K7039" s="1"/>
      <c r="L7039" s="2"/>
    </row>
    <row r="7040" spans="1:12" x14ac:dyDescent="0.2">
      <c r="A7040"/>
      <c r="B7040"/>
      <c r="C7040"/>
      <c r="D7040"/>
      <c r="E7040"/>
      <c r="F7040"/>
      <c r="G7040"/>
      <c r="H7040"/>
      <c r="I7040"/>
      <c r="J7040"/>
      <c r="K7040" s="1"/>
      <c r="L7040" s="2"/>
    </row>
    <row r="7041" spans="1:12" x14ac:dyDescent="0.2">
      <c r="A7041"/>
      <c r="B7041"/>
      <c r="C7041"/>
      <c r="D7041"/>
      <c r="E7041"/>
      <c r="F7041"/>
      <c r="G7041"/>
      <c r="H7041"/>
      <c r="I7041"/>
      <c r="J7041"/>
      <c r="K7041" s="1"/>
      <c r="L7041" s="2"/>
    </row>
    <row r="7042" spans="1:12" x14ac:dyDescent="0.2">
      <c r="A7042"/>
      <c r="B7042"/>
      <c r="C7042"/>
      <c r="D7042"/>
      <c r="E7042"/>
      <c r="F7042"/>
      <c r="G7042"/>
      <c r="H7042"/>
      <c r="I7042"/>
      <c r="J7042"/>
      <c r="K7042" s="1"/>
      <c r="L7042" s="2"/>
    </row>
    <row r="7043" spans="1:12" x14ac:dyDescent="0.2">
      <c r="A7043"/>
      <c r="B7043"/>
      <c r="C7043"/>
      <c r="D7043"/>
      <c r="E7043"/>
      <c r="F7043"/>
      <c r="G7043"/>
      <c r="H7043"/>
      <c r="I7043"/>
      <c r="J7043"/>
      <c r="K7043" s="1"/>
      <c r="L7043" s="2"/>
    </row>
    <row r="7044" spans="1:12" x14ac:dyDescent="0.2">
      <c r="A7044"/>
      <c r="B7044"/>
      <c r="C7044"/>
      <c r="D7044"/>
      <c r="E7044"/>
      <c r="F7044"/>
      <c r="G7044"/>
      <c r="H7044"/>
      <c r="I7044"/>
      <c r="J7044"/>
      <c r="K7044" s="1"/>
      <c r="L7044" s="2"/>
    </row>
    <row r="7045" spans="1:12" x14ac:dyDescent="0.2">
      <c r="A7045"/>
      <c r="B7045"/>
      <c r="C7045"/>
      <c r="D7045"/>
      <c r="E7045"/>
      <c r="F7045"/>
      <c r="G7045"/>
      <c r="H7045"/>
      <c r="I7045"/>
      <c r="J7045"/>
      <c r="K7045" s="1"/>
      <c r="L7045" s="2"/>
    </row>
    <row r="7046" spans="1:12" x14ac:dyDescent="0.2">
      <c r="A7046"/>
      <c r="B7046"/>
      <c r="C7046"/>
      <c r="D7046"/>
      <c r="E7046"/>
      <c r="F7046"/>
      <c r="G7046"/>
      <c r="H7046"/>
      <c r="I7046"/>
      <c r="J7046"/>
      <c r="K7046" s="1"/>
      <c r="L7046" s="2"/>
    </row>
    <row r="7047" spans="1:12" x14ac:dyDescent="0.2">
      <c r="A7047"/>
      <c r="B7047"/>
      <c r="C7047"/>
      <c r="D7047"/>
      <c r="E7047"/>
      <c r="F7047"/>
      <c r="G7047"/>
      <c r="H7047"/>
      <c r="I7047"/>
      <c r="J7047"/>
      <c r="K7047" s="1"/>
      <c r="L7047" s="2"/>
    </row>
    <row r="7048" spans="1:12" x14ac:dyDescent="0.2">
      <c r="A7048"/>
      <c r="B7048"/>
      <c r="C7048"/>
      <c r="D7048"/>
      <c r="E7048"/>
      <c r="F7048"/>
      <c r="G7048"/>
      <c r="H7048"/>
      <c r="I7048"/>
      <c r="J7048"/>
      <c r="K7048" s="1"/>
      <c r="L7048" s="2"/>
    </row>
    <row r="7049" spans="1:12" x14ac:dyDescent="0.2">
      <c r="A7049"/>
      <c r="B7049"/>
      <c r="C7049"/>
      <c r="D7049"/>
      <c r="E7049"/>
      <c r="F7049"/>
      <c r="G7049"/>
      <c r="H7049"/>
      <c r="I7049"/>
      <c r="J7049"/>
      <c r="K7049" s="1"/>
      <c r="L7049" s="2"/>
    </row>
    <row r="7050" spans="1:12" x14ac:dyDescent="0.2">
      <c r="A7050"/>
      <c r="B7050"/>
      <c r="C7050"/>
      <c r="D7050"/>
      <c r="E7050"/>
      <c r="F7050"/>
      <c r="G7050"/>
      <c r="H7050"/>
      <c r="I7050"/>
      <c r="J7050"/>
      <c r="K7050" s="1"/>
      <c r="L7050" s="2"/>
    </row>
    <row r="7051" spans="1:12" x14ac:dyDescent="0.2">
      <c r="A7051"/>
      <c r="B7051"/>
      <c r="C7051"/>
      <c r="D7051"/>
      <c r="E7051"/>
      <c r="F7051"/>
      <c r="G7051"/>
      <c r="H7051"/>
      <c r="I7051"/>
      <c r="J7051"/>
      <c r="K7051" s="1"/>
      <c r="L7051" s="2"/>
    </row>
    <row r="7052" spans="1:12" x14ac:dyDescent="0.2">
      <c r="A7052"/>
      <c r="B7052"/>
      <c r="C7052"/>
      <c r="D7052"/>
      <c r="E7052"/>
      <c r="F7052"/>
      <c r="G7052"/>
      <c r="H7052"/>
      <c r="I7052"/>
      <c r="J7052"/>
      <c r="K7052" s="1"/>
      <c r="L7052" s="2"/>
    </row>
    <row r="7053" spans="1:12" x14ac:dyDescent="0.2">
      <c r="A7053"/>
      <c r="B7053"/>
      <c r="C7053"/>
      <c r="D7053"/>
      <c r="E7053"/>
      <c r="F7053"/>
      <c r="G7053"/>
      <c r="H7053"/>
      <c r="I7053"/>
      <c r="J7053"/>
      <c r="K7053" s="1"/>
      <c r="L7053" s="2"/>
    </row>
    <row r="7054" spans="1:12" x14ac:dyDescent="0.2">
      <c r="A7054"/>
      <c r="B7054"/>
      <c r="C7054"/>
      <c r="D7054"/>
      <c r="E7054"/>
      <c r="F7054"/>
      <c r="G7054"/>
      <c r="H7054"/>
      <c r="I7054"/>
      <c r="J7054"/>
      <c r="K7054" s="1"/>
      <c r="L7054" s="2"/>
    </row>
    <row r="7055" spans="1:12" x14ac:dyDescent="0.2">
      <c r="A7055"/>
      <c r="B7055"/>
      <c r="C7055"/>
      <c r="D7055"/>
      <c r="E7055"/>
      <c r="F7055"/>
      <c r="G7055"/>
      <c r="H7055"/>
      <c r="I7055"/>
      <c r="J7055"/>
      <c r="K7055" s="1"/>
      <c r="L7055" s="2"/>
    </row>
    <row r="7056" spans="1:12" x14ac:dyDescent="0.2">
      <c r="A7056"/>
      <c r="B7056"/>
      <c r="C7056"/>
      <c r="D7056"/>
      <c r="E7056"/>
      <c r="F7056"/>
      <c r="G7056"/>
      <c r="H7056"/>
      <c r="I7056"/>
      <c r="J7056"/>
      <c r="K7056" s="1"/>
      <c r="L7056" s="2"/>
    </row>
    <row r="7057" spans="1:12" x14ac:dyDescent="0.2">
      <c r="A7057"/>
      <c r="B7057"/>
      <c r="C7057"/>
      <c r="D7057"/>
      <c r="E7057"/>
      <c r="F7057"/>
      <c r="G7057"/>
      <c r="H7057"/>
      <c r="I7057"/>
      <c r="J7057"/>
      <c r="K7057" s="1"/>
      <c r="L7057" s="2"/>
    </row>
    <row r="7058" spans="1:12" x14ac:dyDescent="0.2">
      <c r="A7058"/>
      <c r="B7058"/>
      <c r="C7058"/>
      <c r="D7058"/>
      <c r="E7058"/>
      <c r="F7058"/>
      <c r="G7058"/>
      <c r="H7058"/>
      <c r="I7058"/>
      <c r="J7058"/>
      <c r="K7058" s="1"/>
      <c r="L7058" s="2"/>
    </row>
    <row r="7059" spans="1:12" x14ac:dyDescent="0.2">
      <c r="A7059"/>
      <c r="B7059"/>
      <c r="C7059"/>
      <c r="D7059"/>
      <c r="E7059"/>
      <c r="F7059"/>
      <c r="G7059"/>
      <c r="H7059"/>
      <c r="I7059"/>
      <c r="J7059"/>
      <c r="K7059" s="1"/>
      <c r="L7059" s="2"/>
    </row>
    <row r="7060" spans="1:12" x14ac:dyDescent="0.2">
      <c r="A7060"/>
      <c r="B7060"/>
      <c r="C7060"/>
      <c r="D7060"/>
      <c r="E7060"/>
      <c r="F7060"/>
      <c r="G7060"/>
      <c r="H7060"/>
      <c r="I7060"/>
      <c r="J7060"/>
      <c r="K7060" s="1"/>
      <c r="L7060" s="2"/>
    </row>
    <row r="7061" spans="1:12" x14ac:dyDescent="0.2">
      <c r="A7061"/>
      <c r="B7061"/>
      <c r="C7061"/>
      <c r="D7061"/>
      <c r="E7061"/>
      <c r="F7061"/>
      <c r="G7061"/>
      <c r="H7061"/>
      <c r="I7061"/>
      <c r="J7061"/>
      <c r="K7061" s="1"/>
      <c r="L7061" s="2"/>
    </row>
    <row r="7062" spans="1:12" x14ac:dyDescent="0.2">
      <c r="A7062"/>
      <c r="B7062"/>
      <c r="C7062"/>
      <c r="D7062"/>
      <c r="E7062"/>
      <c r="F7062"/>
      <c r="G7062"/>
      <c r="H7062"/>
      <c r="I7062"/>
      <c r="J7062"/>
      <c r="K7062" s="1"/>
      <c r="L7062" s="2"/>
    </row>
    <row r="7063" spans="1:12" x14ac:dyDescent="0.2">
      <c r="A7063"/>
      <c r="B7063"/>
      <c r="C7063"/>
      <c r="D7063"/>
      <c r="E7063"/>
      <c r="F7063"/>
      <c r="G7063"/>
      <c r="H7063"/>
      <c r="I7063"/>
      <c r="J7063"/>
      <c r="K7063" s="1"/>
      <c r="L7063" s="2"/>
    </row>
    <row r="7064" spans="1:12" x14ac:dyDescent="0.2">
      <c r="A7064"/>
      <c r="B7064"/>
      <c r="C7064"/>
      <c r="D7064"/>
      <c r="E7064"/>
      <c r="F7064"/>
      <c r="G7064"/>
      <c r="H7064"/>
      <c r="I7064"/>
      <c r="J7064"/>
      <c r="K7064" s="1"/>
      <c r="L7064" s="2"/>
    </row>
    <row r="7065" spans="1:12" x14ac:dyDescent="0.2">
      <c r="A7065"/>
      <c r="B7065"/>
      <c r="C7065"/>
      <c r="D7065"/>
      <c r="E7065"/>
      <c r="F7065"/>
      <c r="G7065"/>
      <c r="H7065"/>
      <c r="I7065"/>
      <c r="J7065"/>
      <c r="K7065" s="1"/>
      <c r="L7065" s="2"/>
    </row>
    <row r="7066" spans="1:12" x14ac:dyDescent="0.2">
      <c r="A7066"/>
      <c r="B7066"/>
      <c r="C7066"/>
      <c r="D7066"/>
      <c r="E7066"/>
      <c r="F7066"/>
      <c r="G7066"/>
      <c r="H7066"/>
      <c r="I7066"/>
      <c r="J7066"/>
      <c r="K7066" s="1"/>
      <c r="L7066" s="2"/>
    </row>
    <row r="7067" spans="1:12" x14ac:dyDescent="0.2">
      <c r="A7067"/>
      <c r="B7067"/>
      <c r="C7067"/>
      <c r="D7067"/>
      <c r="E7067"/>
      <c r="F7067"/>
      <c r="G7067"/>
      <c r="H7067"/>
      <c r="I7067"/>
      <c r="J7067"/>
      <c r="K7067" s="1"/>
      <c r="L7067" s="2"/>
    </row>
    <row r="7068" spans="1:12" x14ac:dyDescent="0.2">
      <c r="A7068"/>
      <c r="B7068"/>
      <c r="C7068"/>
      <c r="D7068"/>
      <c r="E7068"/>
      <c r="F7068"/>
      <c r="G7068"/>
      <c r="H7068"/>
      <c r="I7068"/>
      <c r="J7068"/>
      <c r="K7068" s="1"/>
      <c r="L7068" s="2"/>
    </row>
    <row r="7069" spans="1:12" x14ac:dyDescent="0.2">
      <c r="A7069"/>
      <c r="B7069"/>
      <c r="C7069"/>
      <c r="D7069"/>
      <c r="E7069"/>
      <c r="F7069"/>
      <c r="G7069"/>
      <c r="H7069"/>
      <c r="I7069"/>
      <c r="J7069"/>
      <c r="K7069" s="1"/>
      <c r="L7069" s="2"/>
    </row>
    <row r="7070" spans="1:12" x14ac:dyDescent="0.2">
      <c r="A7070"/>
      <c r="B7070"/>
      <c r="C7070"/>
      <c r="D7070"/>
      <c r="E7070"/>
      <c r="F7070"/>
      <c r="G7070"/>
      <c r="H7070"/>
      <c r="I7070"/>
      <c r="J7070"/>
      <c r="K7070" s="1"/>
      <c r="L7070" s="2"/>
    </row>
    <row r="7071" spans="1:12" x14ac:dyDescent="0.2">
      <c r="A7071"/>
      <c r="B7071"/>
      <c r="C7071"/>
      <c r="D7071"/>
      <c r="E7071"/>
      <c r="F7071"/>
      <c r="G7071"/>
      <c r="H7071"/>
      <c r="I7071"/>
      <c r="J7071"/>
      <c r="K7071" s="1"/>
      <c r="L7071" s="2"/>
    </row>
    <row r="7072" spans="1:12" x14ac:dyDescent="0.2">
      <c r="A7072"/>
      <c r="B7072"/>
      <c r="C7072"/>
      <c r="D7072"/>
      <c r="E7072"/>
      <c r="F7072"/>
      <c r="G7072"/>
      <c r="H7072"/>
      <c r="I7072"/>
      <c r="J7072"/>
      <c r="K7072" s="1"/>
      <c r="L7072" s="2"/>
    </row>
    <row r="7073" spans="1:12" x14ac:dyDescent="0.2">
      <c r="A7073"/>
      <c r="B7073"/>
      <c r="C7073"/>
      <c r="D7073"/>
      <c r="E7073"/>
      <c r="F7073"/>
      <c r="G7073"/>
      <c r="H7073"/>
      <c r="I7073"/>
      <c r="J7073"/>
      <c r="K7073" s="1"/>
      <c r="L7073" s="2"/>
    </row>
    <row r="7074" spans="1:12" x14ac:dyDescent="0.2">
      <c r="A7074"/>
      <c r="B7074"/>
      <c r="C7074"/>
      <c r="D7074"/>
      <c r="E7074"/>
      <c r="F7074"/>
      <c r="G7074"/>
      <c r="H7074"/>
      <c r="I7074"/>
      <c r="J7074"/>
      <c r="K7074" s="1"/>
      <c r="L7074" s="2"/>
    </row>
    <row r="7075" spans="1:12" x14ac:dyDescent="0.2">
      <c r="A7075"/>
      <c r="B7075"/>
      <c r="C7075"/>
      <c r="D7075"/>
      <c r="E7075"/>
      <c r="F7075"/>
      <c r="G7075"/>
      <c r="H7075"/>
      <c r="I7075"/>
      <c r="J7075"/>
      <c r="K7075" s="1"/>
      <c r="L7075" s="2"/>
    </row>
    <row r="7076" spans="1:12" x14ac:dyDescent="0.2">
      <c r="A7076"/>
      <c r="B7076"/>
      <c r="C7076"/>
      <c r="D7076"/>
      <c r="E7076"/>
      <c r="F7076"/>
      <c r="G7076"/>
      <c r="H7076"/>
      <c r="I7076"/>
      <c r="J7076"/>
      <c r="K7076" s="1"/>
      <c r="L7076" s="2"/>
    </row>
    <row r="7077" spans="1:12" x14ac:dyDescent="0.2">
      <c r="A7077"/>
      <c r="B7077"/>
      <c r="C7077"/>
      <c r="D7077"/>
      <c r="E7077"/>
      <c r="F7077"/>
      <c r="G7077"/>
      <c r="H7077"/>
      <c r="I7077"/>
      <c r="J7077"/>
      <c r="K7077" s="1"/>
      <c r="L7077" s="2"/>
    </row>
    <row r="7078" spans="1:12" x14ac:dyDescent="0.2">
      <c r="A7078"/>
      <c r="B7078"/>
      <c r="C7078"/>
      <c r="D7078"/>
      <c r="E7078"/>
      <c r="F7078"/>
      <c r="G7078"/>
      <c r="H7078"/>
      <c r="I7078"/>
      <c r="J7078"/>
      <c r="K7078" s="1"/>
      <c r="L7078" s="2"/>
    </row>
    <row r="7079" spans="1:12" x14ac:dyDescent="0.2">
      <c r="A7079"/>
      <c r="B7079"/>
      <c r="C7079"/>
      <c r="D7079"/>
      <c r="E7079"/>
      <c r="F7079"/>
      <c r="G7079"/>
      <c r="H7079"/>
      <c r="I7079"/>
      <c r="J7079"/>
      <c r="K7079" s="1"/>
      <c r="L7079" s="2"/>
    </row>
    <row r="7080" spans="1:12" x14ac:dyDescent="0.2">
      <c r="A7080"/>
      <c r="B7080"/>
      <c r="C7080"/>
      <c r="D7080"/>
      <c r="E7080"/>
      <c r="F7080"/>
      <c r="G7080"/>
      <c r="H7080"/>
      <c r="I7080"/>
      <c r="J7080"/>
      <c r="K7080" s="1"/>
      <c r="L7080" s="2"/>
    </row>
    <row r="7081" spans="1:12" x14ac:dyDescent="0.2">
      <c r="A7081"/>
      <c r="B7081"/>
      <c r="C7081"/>
      <c r="D7081"/>
      <c r="E7081"/>
      <c r="F7081"/>
      <c r="G7081"/>
      <c r="H7081"/>
      <c r="I7081"/>
      <c r="J7081"/>
      <c r="K7081" s="1"/>
      <c r="L7081" s="2"/>
    </row>
    <row r="7082" spans="1:12" x14ac:dyDescent="0.2">
      <c r="A7082"/>
      <c r="B7082"/>
      <c r="C7082"/>
      <c r="D7082"/>
      <c r="E7082"/>
      <c r="F7082"/>
      <c r="G7082"/>
      <c r="H7082"/>
      <c r="I7082"/>
      <c r="J7082"/>
      <c r="K7082" s="1"/>
      <c r="L7082" s="2"/>
    </row>
    <row r="7083" spans="1:12" x14ac:dyDescent="0.2">
      <c r="A7083"/>
      <c r="B7083"/>
      <c r="C7083"/>
      <c r="D7083"/>
      <c r="E7083"/>
      <c r="F7083"/>
      <c r="G7083"/>
      <c r="H7083"/>
      <c r="I7083"/>
      <c r="J7083"/>
      <c r="K7083" s="1"/>
      <c r="L7083" s="2"/>
    </row>
    <row r="7084" spans="1:12" x14ac:dyDescent="0.2">
      <c r="A7084"/>
      <c r="B7084"/>
      <c r="C7084"/>
      <c r="D7084"/>
      <c r="E7084"/>
      <c r="F7084"/>
      <c r="G7084"/>
      <c r="H7084"/>
      <c r="I7084"/>
      <c r="J7084"/>
      <c r="K7084" s="1"/>
      <c r="L7084" s="2"/>
    </row>
    <row r="7085" spans="1:12" x14ac:dyDescent="0.2">
      <c r="A7085"/>
      <c r="B7085"/>
      <c r="C7085"/>
      <c r="D7085"/>
      <c r="E7085"/>
      <c r="F7085"/>
      <c r="G7085"/>
      <c r="H7085"/>
      <c r="I7085"/>
      <c r="J7085"/>
      <c r="K7085" s="1"/>
      <c r="L7085" s="2"/>
    </row>
    <row r="7086" spans="1:12" x14ac:dyDescent="0.2">
      <c r="A7086"/>
      <c r="B7086"/>
      <c r="C7086"/>
      <c r="D7086"/>
      <c r="E7086"/>
      <c r="F7086"/>
      <c r="G7086"/>
      <c r="H7086"/>
      <c r="I7086"/>
      <c r="J7086"/>
      <c r="K7086" s="1"/>
      <c r="L7086" s="2"/>
    </row>
    <row r="7087" spans="1:12" x14ac:dyDescent="0.2">
      <c r="A7087"/>
      <c r="B7087"/>
      <c r="C7087"/>
      <c r="D7087"/>
      <c r="E7087"/>
      <c r="F7087"/>
      <c r="G7087"/>
      <c r="H7087"/>
      <c r="I7087"/>
      <c r="J7087"/>
      <c r="K7087" s="1"/>
      <c r="L7087" s="2"/>
    </row>
    <row r="7088" spans="1:12" x14ac:dyDescent="0.2">
      <c r="A7088"/>
      <c r="B7088"/>
      <c r="C7088"/>
      <c r="D7088"/>
      <c r="E7088"/>
      <c r="F7088"/>
      <c r="G7088"/>
      <c r="H7088"/>
      <c r="I7088"/>
      <c r="J7088"/>
      <c r="K7088" s="1"/>
      <c r="L7088" s="2"/>
    </row>
    <row r="7089" spans="1:12" x14ac:dyDescent="0.2">
      <c r="A7089"/>
      <c r="B7089"/>
      <c r="C7089"/>
      <c r="D7089"/>
      <c r="E7089"/>
      <c r="F7089"/>
      <c r="G7089"/>
      <c r="H7089"/>
      <c r="I7089"/>
      <c r="J7089"/>
      <c r="K7089" s="1"/>
      <c r="L7089" s="2"/>
    </row>
    <row r="7090" spans="1:12" x14ac:dyDescent="0.2">
      <c r="A7090"/>
      <c r="B7090"/>
      <c r="C7090"/>
      <c r="D7090"/>
      <c r="E7090"/>
      <c r="F7090"/>
      <c r="G7090"/>
      <c r="H7090"/>
      <c r="I7090"/>
      <c r="J7090"/>
      <c r="K7090" s="1"/>
      <c r="L7090" s="2"/>
    </row>
    <row r="7091" spans="1:12" x14ac:dyDescent="0.2">
      <c r="A7091"/>
      <c r="B7091"/>
      <c r="C7091"/>
      <c r="D7091"/>
      <c r="E7091"/>
      <c r="F7091"/>
      <c r="G7091"/>
      <c r="H7091"/>
      <c r="I7091"/>
      <c r="J7091"/>
      <c r="K7091" s="1"/>
      <c r="L7091" s="2"/>
    </row>
    <row r="7092" spans="1:12" x14ac:dyDescent="0.2">
      <c r="A7092"/>
      <c r="B7092"/>
      <c r="C7092"/>
      <c r="D7092"/>
      <c r="E7092"/>
      <c r="F7092"/>
      <c r="G7092"/>
      <c r="H7092"/>
      <c r="I7092"/>
      <c r="J7092"/>
      <c r="K7092" s="1"/>
      <c r="L7092" s="2"/>
    </row>
    <row r="7093" spans="1:12" x14ac:dyDescent="0.2">
      <c r="A7093"/>
      <c r="B7093"/>
      <c r="C7093"/>
      <c r="D7093"/>
      <c r="E7093"/>
      <c r="F7093"/>
      <c r="G7093"/>
      <c r="H7093"/>
      <c r="I7093"/>
      <c r="J7093"/>
      <c r="K7093" s="1"/>
      <c r="L7093" s="2"/>
    </row>
    <row r="7094" spans="1:12" x14ac:dyDescent="0.2">
      <c r="A7094"/>
      <c r="B7094"/>
      <c r="C7094"/>
      <c r="D7094"/>
      <c r="E7094"/>
      <c r="F7094"/>
      <c r="G7094"/>
      <c r="H7094"/>
      <c r="I7094"/>
      <c r="J7094"/>
      <c r="K7094" s="1"/>
      <c r="L7094" s="2"/>
    </row>
    <row r="7095" spans="1:12" x14ac:dyDescent="0.2">
      <c r="A7095"/>
      <c r="B7095"/>
      <c r="C7095"/>
      <c r="D7095"/>
      <c r="E7095"/>
      <c r="F7095"/>
      <c r="G7095"/>
      <c r="H7095"/>
      <c r="I7095"/>
      <c r="J7095"/>
      <c r="K7095" s="1"/>
      <c r="L7095" s="2"/>
    </row>
    <row r="7096" spans="1:12" x14ac:dyDescent="0.2">
      <c r="A7096"/>
      <c r="B7096"/>
      <c r="C7096"/>
      <c r="D7096"/>
      <c r="E7096"/>
      <c r="F7096"/>
      <c r="G7096"/>
      <c r="H7096"/>
      <c r="I7096"/>
      <c r="J7096"/>
      <c r="K7096" s="1"/>
      <c r="L7096" s="2"/>
    </row>
    <row r="7097" spans="1:12" x14ac:dyDescent="0.2">
      <c r="A7097"/>
      <c r="B7097"/>
      <c r="C7097"/>
      <c r="D7097"/>
      <c r="E7097"/>
      <c r="F7097"/>
      <c r="G7097"/>
      <c r="H7097"/>
      <c r="I7097"/>
      <c r="J7097"/>
      <c r="K7097" s="1"/>
      <c r="L7097" s="2"/>
    </row>
    <row r="7098" spans="1:12" x14ac:dyDescent="0.2">
      <c r="A7098"/>
      <c r="B7098"/>
      <c r="C7098"/>
      <c r="D7098"/>
      <c r="E7098"/>
      <c r="F7098"/>
      <c r="G7098"/>
      <c r="H7098"/>
      <c r="I7098"/>
      <c r="J7098"/>
      <c r="K7098" s="1"/>
      <c r="L7098" s="2"/>
    </row>
    <row r="7099" spans="1:12" x14ac:dyDescent="0.2">
      <c r="A7099"/>
      <c r="B7099"/>
      <c r="C7099"/>
      <c r="D7099"/>
      <c r="E7099"/>
      <c r="F7099"/>
      <c r="G7099"/>
      <c r="H7099"/>
      <c r="I7099"/>
      <c r="J7099"/>
      <c r="K7099" s="1"/>
      <c r="L7099" s="2"/>
    </row>
    <row r="7100" spans="1:12" x14ac:dyDescent="0.2">
      <c r="A7100"/>
      <c r="B7100"/>
      <c r="C7100"/>
      <c r="D7100"/>
      <c r="E7100"/>
      <c r="F7100"/>
      <c r="G7100"/>
      <c r="H7100"/>
      <c r="I7100"/>
      <c r="J7100"/>
      <c r="K7100" s="1"/>
      <c r="L7100" s="2"/>
    </row>
    <row r="7101" spans="1:12" x14ac:dyDescent="0.2">
      <c r="A7101"/>
      <c r="B7101"/>
      <c r="C7101"/>
      <c r="D7101"/>
      <c r="E7101"/>
      <c r="F7101"/>
      <c r="G7101"/>
      <c r="H7101"/>
      <c r="I7101"/>
      <c r="J7101"/>
      <c r="K7101" s="1"/>
      <c r="L7101" s="2"/>
    </row>
    <row r="7102" spans="1:12" x14ac:dyDescent="0.2">
      <c r="A7102"/>
      <c r="B7102"/>
      <c r="C7102"/>
      <c r="D7102"/>
      <c r="E7102"/>
      <c r="F7102"/>
      <c r="G7102"/>
      <c r="H7102"/>
      <c r="I7102"/>
      <c r="J7102"/>
      <c r="K7102" s="1"/>
      <c r="L7102" s="2"/>
    </row>
    <row r="7103" spans="1:12" x14ac:dyDescent="0.2">
      <c r="A7103"/>
      <c r="B7103"/>
      <c r="C7103"/>
      <c r="D7103"/>
      <c r="E7103"/>
      <c r="F7103"/>
      <c r="G7103"/>
      <c r="H7103"/>
      <c r="I7103"/>
      <c r="J7103"/>
      <c r="K7103" s="1"/>
      <c r="L7103" s="2"/>
    </row>
    <row r="7104" spans="1:12" x14ac:dyDescent="0.2">
      <c r="A7104"/>
      <c r="B7104"/>
      <c r="C7104"/>
      <c r="D7104"/>
      <c r="E7104"/>
      <c r="F7104"/>
      <c r="G7104"/>
      <c r="H7104"/>
      <c r="I7104"/>
      <c r="J7104"/>
      <c r="K7104" s="1"/>
      <c r="L7104" s="2"/>
    </row>
    <row r="7105" spans="1:12" x14ac:dyDescent="0.2">
      <c r="A7105"/>
      <c r="B7105"/>
      <c r="C7105"/>
      <c r="D7105"/>
      <c r="E7105"/>
      <c r="F7105"/>
      <c r="G7105"/>
      <c r="H7105"/>
      <c r="I7105"/>
      <c r="J7105"/>
      <c r="K7105" s="1"/>
      <c r="L7105" s="2"/>
    </row>
    <row r="7106" spans="1:12" x14ac:dyDescent="0.2">
      <c r="A7106"/>
      <c r="B7106"/>
      <c r="C7106"/>
      <c r="D7106"/>
      <c r="E7106"/>
      <c r="F7106"/>
      <c r="G7106"/>
      <c r="H7106"/>
      <c r="I7106"/>
      <c r="J7106"/>
      <c r="K7106" s="1"/>
      <c r="L7106" s="2"/>
    </row>
    <row r="7107" spans="1:12" x14ac:dyDescent="0.2">
      <c r="A7107"/>
      <c r="B7107"/>
      <c r="C7107"/>
      <c r="D7107"/>
      <c r="E7107"/>
      <c r="F7107"/>
      <c r="G7107"/>
      <c r="H7107"/>
      <c r="I7107"/>
      <c r="J7107"/>
      <c r="K7107" s="1"/>
      <c r="L7107" s="2"/>
    </row>
    <row r="7108" spans="1:12" x14ac:dyDescent="0.2">
      <c r="A7108"/>
      <c r="B7108"/>
      <c r="C7108"/>
      <c r="D7108"/>
      <c r="E7108"/>
      <c r="F7108"/>
      <c r="G7108"/>
      <c r="H7108"/>
      <c r="I7108"/>
      <c r="J7108"/>
      <c r="K7108" s="1"/>
      <c r="L7108" s="2"/>
    </row>
    <row r="7109" spans="1:12" x14ac:dyDescent="0.2">
      <c r="A7109"/>
      <c r="B7109"/>
      <c r="C7109"/>
      <c r="D7109"/>
      <c r="E7109"/>
      <c r="F7109"/>
      <c r="G7109"/>
      <c r="H7109"/>
      <c r="I7109"/>
      <c r="J7109"/>
      <c r="K7109" s="1"/>
      <c r="L7109" s="2"/>
    </row>
    <row r="7110" spans="1:12" x14ac:dyDescent="0.2">
      <c r="A7110"/>
      <c r="B7110"/>
      <c r="C7110"/>
      <c r="D7110"/>
      <c r="E7110"/>
      <c r="F7110"/>
      <c r="G7110"/>
      <c r="H7110"/>
      <c r="I7110"/>
      <c r="J7110"/>
      <c r="K7110" s="1"/>
      <c r="L7110" s="2"/>
    </row>
    <row r="7111" spans="1:12" x14ac:dyDescent="0.2">
      <c r="A7111"/>
      <c r="B7111"/>
      <c r="C7111"/>
      <c r="D7111"/>
      <c r="E7111"/>
      <c r="F7111"/>
      <c r="G7111"/>
      <c r="H7111"/>
      <c r="I7111"/>
      <c r="J7111"/>
      <c r="K7111" s="1"/>
      <c r="L7111" s="2"/>
    </row>
    <row r="7112" spans="1:12" x14ac:dyDescent="0.2">
      <c r="A7112"/>
      <c r="B7112"/>
      <c r="C7112"/>
      <c r="D7112"/>
      <c r="E7112"/>
      <c r="F7112"/>
      <c r="G7112"/>
      <c r="H7112"/>
      <c r="I7112"/>
      <c r="J7112"/>
      <c r="K7112" s="1"/>
      <c r="L7112" s="2"/>
    </row>
    <row r="7113" spans="1:12" x14ac:dyDescent="0.2">
      <c r="A7113"/>
      <c r="B7113"/>
      <c r="C7113"/>
      <c r="D7113"/>
      <c r="E7113"/>
      <c r="F7113"/>
      <c r="G7113"/>
      <c r="H7113"/>
      <c r="I7113"/>
      <c r="J7113"/>
      <c r="K7113" s="1"/>
      <c r="L7113" s="2"/>
    </row>
    <row r="7114" spans="1:12" x14ac:dyDescent="0.2">
      <c r="A7114"/>
      <c r="B7114"/>
      <c r="C7114"/>
      <c r="D7114"/>
      <c r="E7114"/>
      <c r="F7114"/>
      <c r="G7114"/>
      <c r="H7114"/>
      <c r="I7114"/>
      <c r="J7114"/>
      <c r="K7114" s="1"/>
      <c r="L7114" s="2"/>
    </row>
    <row r="7115" spans="1:12" x14ac:dyDescent="0.2">
      <c r="A7115"/>
      <c r="B7115"/>
      <c r="C7115"/>
      <c r="D7115"/>
      <c r="E7115"/>
      <c r="F7115"/>
      <c r="G7115"/>
      <c r="H7115"/>
      <c r="I7115"/>
      <c r="J7115"/>
      <c r="K7115" s="1"/>
      <c r="L7115" s="2"/>
    </row>
    <row r="7116" spans="1:12" x14ac:dyDescent="0.2">
      <c r="A7116"/>
      <c r="B7116"/>
      <c r="C7116"/>
      <c r="D7116"/>
      <c r="E7116"/>
      <c r="F7116"/>
      <c r="G7116"/>
      <c r="H7116"/>
      <c r="I7116"/>
      <c r="J7116"/>
      <c r="K7116" s="1"/>
      <c r="L7116" s="2"/>
    </row>
    <row r="7117" spans="1:12" x14ac:dyDescent="0.2">
      <c r="A7117"/>
      <c r="B7117"/>
      <c r="C7117"/>
      <c r="D7117"/>
      <c r="E7117"/>
      <c r="F7117"/>
      <c r="G7117"/>
      <c r="H7117"/>
      <c r="I7117"/>
      <c r="J7117"/>
      <c r="K7117" s="1"/>
      <c r="L7117" s="2"/>
    </row>
    <row r="7118" spans="1:12" x14ac:dyDescent="0.2">
      <c r="A7118"/>
      <c r="B7118"/>
      <c r="C7118"/>
      <c r="D7118"/>
      <c r="E7118"/>
      <c r="F7118"/>
      <c r="G7118"/>
      <c r="H7118"/>
      <c r="I7118"/>
      <c r="J7118"/>
      <c r="K7118" s="1"/>
      <c r="L7118" s="2"/>
    </row>
    <row r="7119" spans="1:12" x14ac:dyDescent="0.2">
      <c r="A7119"/>
      <c r="B7119"/>
      <c r="C7119"/>
      <c r="D7119"/>
      <c r="E7119"/>
      <c r="F7119"/>
      <c r="G7119"/>
      <c r="H7119"/>
      <c r="I7119"/>
      <c r="J7119"/>
      <c r="K7119" s="1"/>
      <c r="L7119" s="2"/>
    </row>
    <row r="7120" spans="1:12" x14ac:dyDescent="0.2">
      <c r="A7120"/>
      <c r="B7120"/>
      <c r="C7120"/>
      <c r="D7120"/>
      <c r="E7120"/>
      <c r="F7120"/>
      <c r="G7120"/>
      <c r="H7120"/>
      <c r="I7120"/>
      <c r="J7120"/>
      <c r="K7120" s="1"/>
      <c r="L7120" s="2"/>
    </row>
    <row r="7121" spans="1:12" x14ac:dyDescent="0.2">
      <c r="A7121"/>
      <c r="B7121"/>
      <c r="C7121"/>
      <c r="D7121"/>
      <c r="E7121"/>
      <c r="F7121"/>
      <c r="G7121"/>
      <c r="H7121"/>
      <c r="I7121"/>
      <c r="J7121"/>
      <c r="K7121" s="1"/>
      <c r="L7121" s="2"/>
    </row>
    <row r="7122" spans="1:12" x14ac:dyDescent="0.2">
      <c r="A7122"/>
      <c r="B7122"/>
      <c r="C7122"/>
      <c r="D7122"/>
      <c r="E7122"/>
      <c r="F7122"/>
      <c r="G7122"/>
      <c r="H7122"/>
      <c r="I7122"/>
      <c r="J7122"/>
      <c r="K7122" s="1"/>
      <c r="L7122" s="2"/>
    </row>
    <row r="7123" spans="1:12" x14ac:dyDescent="0.2">
      <c r="A7123"/>
      <c r="B7123"/>
      <c r="C7123"/>
      <c r="D7123"/>
      <c r="E7123"/>
      <c r="F7123"/>
      <c r="G7123"/>
      <c r="H7123"/>
      <c r="I7123"/>
      <c r="J7123"/>
      <c r="K7123" s="1"/>
      <c r="L7123" s="2"/>
    </row>
    <row r="7124" spans="1:12" x14ac:dyDescent="0.2">
      <c r="A7124"/>
      <c r="B7124"/>
      <c r="C7124"/>
      <c r="D7124"/>
      <c r="E7124"/>
      <c r="F7124"/>
      <c r="G7124"/>
      <c r="H7124"/>
      <c r="I7124"/>
      <c r="J7124"/>
      <c r="K7124" s="1"/>
      <c r="L7124" s="2"/>
    </row>
    <row r="7125" spans="1:12" x14ac:dyDescent="0.2">
      <c r="A7125"/>
      <c r="B7125"/>
      <c r="C7125"/>
      <c r="D7125"/>
      <c r="E7125"/>
      <c r="F7125"/>
      <c r="G7125"/>
      <c r="H7125"/>
      <c r="I7125"/>
      <c r="J7125"/>
      <c r="K7125" s="1"/>
      <c r="L7125" s="2"/>
    </row>
    <row r="7126" spans="1:12" x14ac:dyDescent="0.2">
      <c r="A7126"/>
      <c r="B7126"/>
      <c r="C7126"/>
      <c r="D7126"/>
      <c r="E7126"/>
      <c r="F7126"/>
      <c r="G7126"/>
      <c r="H7126"/>
      <c r="I7126"/>
      <c r="J7126"/>
      <c r="K7126" s="1"/>
      <c r="L7126" s="2"/>
    </row>
    <row r="7127" spans="1:12" x14ac:dyDescent="0.2">
      <c r="A7127"/>
      <c r="B7127"/>
      <c r="C7127"/>
      <c r="D7127"/>
      <c r="E7127"/>
      <c r="F7127"/>
      <c r="G7127"/>
      <c r="H7127"/>
      <c r="I7127"/>
      <c r="J7127"/>
      <c r="K7127" s="1"/>
      <c r="L7127" s="2"/>
    </row>
    <row r="7128" spans="1:12" x14ac:dyDescent="0.2">
      <c r="A7128"/>
      <c r="B7128"/>
      <c r="C7128"/>
      <c r="D7128"/>
      <c r="E7128"/>
      <c r="F7128"/>
      <c r="G7128"/>
      <c r="H7128"/>
      <c r="I7128"/>
      <c r="J7128"/>
      <c r="K7128" s="1"/>
      <c r="L7128" s="2"/>
    </row>
    <row r="7129" spans="1:12" x14ac:dyDescent="0.2">
      <c r="A7129"/>
      <c r="B7129"/>
      <c r="C7129"/>
      <c r="D7129"/>
      <c r="E7129"/>
      <c r="F7129"/>
      <c r="G7129"/>
      <c r="H7129"/>
      <c r="I7129"/>
      <c r="J7129"/>
      <c r="K7129" s="1"/>
      <c r="L7129" s="2"/>
    </row>
    <row r="7130" spans="1:12" x14ac:dyDescent="0.2">
      <c r="A7130"/>
      <c r="B7130"/>
      <c r="C7130"/>
      <c r="D7130"/>
      <c r="E7130"/>
      <c r="F7130"/>
      <c r="G7130"/>
      <c r="H7130"/>
      <c r="I7130"/>
      <c r="J7130"/>
      <c r="K7130" s="1"/>
      <c r="L7130" s="2"/>
    </row>
    <row r="7131" spans="1:12" x14ac:dyDescent="0.2">
      <c r="A7131"/>
      <c r="B7131"/>
      <c r="C7131"/>
      <c r="D7131"/>
      <c r="E7131"/>
      <c r="F7131"/>
      <c r="G7131"/>
      <c r="H7131"/>
      <c r="I7131"/>
      <c r="J7131"/>
      <c r="K7131" s="1"/>
      <c r="L7131" s="2"/>
    </row>
    <row r="7132" spans="1:12" x14ac:dyDescent="0.2">
      <c r="A7132"/>
      <c r="B7132"/>
      <c r="C7132"/>
      <c r="D7132"/>
      <c r="E7132"/>
      <c r="F7132"/>
      <c r="G7132"/>
      <c r="H7132"/>
      <c r="I7132"/>
      <c r="J7132"/>
      <c r="K7132" s="1"/>
      <c r="L7132" s="2"/>
    </row>
    <row r="7133" spans="1:12" x14ac:dyDescent="0.2">
      <c r="A7133"/>
      <c r="B7133"/>
      <c r="C7133"/>
      <c r="D7133"/>
      <c r="E7133"/>
      <c r="F7133"/>
      <c r="G7133"/>
      <c r="H7133"/>
      <c r="I7133"/>
      <c r="J7133"/>
      <c r="K7133" s="1"/>
      <c r="L7133" s="2"/>
    </row>
    <row r="7134" spans="1:12" x14ac:dyDescent="0.2">
      <c r="A7134"/>
      <c r="B7134"/>
      <c r="C7134"/>
      <c r="D7134"/>
      <c r="E7134"/>
      <c r="F7134"/>
      <c r="G7134"/>
      <c r="H7134"/>
      <c r="I7134"/>
      <c r="J7134"/>
      <c r="K7134" s="1"/>
      <c r="L7134" s="2"/>
    </row>
    <row r="7135" spans="1:12" x14ac:dyDescent="0.2">
      <c r="A7135"/>
      <c r="B7135"/>
      <c r="C7135"/>
      <c r="D7135"/>
      <c r="E7135"/>
      <c r="F7135"/>
      <c r="G7135"/>
      <c r="H7135"/>
      <c r="I7135"/>
      <c r="J7135"/>
      <c r="K7135" s="1"/>
      <c r="L7135" s="2"/>
    </row>
    <row r="7136" spans="1:12" x14ac:dyDescent="0.2">
      <c r="A7136"/>
      <c r="B7136"/>
      <c r="C7136"/>
      <c r="D7136"/>
      <c r="E7136"/>
      <c r="F7136"/>
      <c r="G7136"/>
      <c r="H7136"/>
      <c r="I7136"/>
      <c r="J7136"/>
      <c r="K7136" s="1"/>
      <c r="L7136" s="2"/>
    </row>
    <row r="7137" spans="1:12" x14ac:dyDescent="0.2">
      <c r="A7137"/>
      <c r="B7137"/>
      <c r="C7137"/>
      <c r="D7137"/>
      <c r="E7137"/>
      <c r="F7137"/>
      <c r="G7137"/>
      <c r="H7137"/>
      <c r="I7137"/>
      <c r="J7137"/>
      <c r="K7137" s="1"/>
      <c r="L7137" s="2"/>
    </row>
    <row r="7138" spans="1:12" x14ac:dyDescent="0.2">
      <c r="A7138"/>
      <c r="B7138"/>
      <c r="C7138"/>
      <c r="D7138"/>
      <c r="E7138"/>
      <c r="F7138"/>
      <c r="G7138"/>
      <c r="H7138"/>
      <c r="I7138"/>
      <c r="J7138"/>
      <c r="K7138" s="1"/>
      <c r="L7138" s="2"/>
    </row>
    <row r="7139" spans="1:12" x14ac:dyDescent="0.2">
      <c r="A7139"/>
      <c r="B7139"/>
      <c r="C7139"/>
      <c r="D7139"/>
      <c r="E7139"/>
      <c r="F7139"/>
      <c r="G7139"/>
      <c r="H7139"/>
      <c r="I7139"/>
      <c r="J7139"/>
      <c r="K7139" s="1"/>
      <c r="L7139" s="2"/>
    </row>
    <row r="7140" spans="1:12" x14ac:dyDescent="0.2">
      <c r="A7140"/>
      <c r="B7140"/>
      <c r="C7140"/>
      <c r="D7140"/>
      <c r="E7140"/>
      <c r="F7140"/>
      <c r="G7140"/>
      <c r="H7140"/>
      <c r="I7140"/>
      <c r="J7140"/>
      <c r="K7140" s="1"/>
      <c r="L7140" s="2"/>
    </row>
    <row r="7141" spans="1:12" x14ac:dyDescent="0.2">
      <c r="A7141"/>
      <c r="B7141"/>
      <c r="C7141"/>
      <c r="D7141"/>
      <c r="E7141"/>
      <c r="F7141"/>
      <c r="G7141"/>
      <c r="H7141"/>
      <c r="I7141"/>
      <c r="J7141"/>
      <c r="K7141" s="1"/>
      <c r="L7141" s="2"/>
    </row>
    <row r="7142" spans="1:12" x14ac:dyDescent="0.2">
      <c r="A7142"/>
      <c r="B7142"/>
      <c r="C7142"/>
      <c r="D7142"/>
      <c r="E7142"/>
      <c r="F7142"/>
      <c r="G7142"/>
      <c r="H7142"/>
      <c r="I7142"/>
      <c r="J7142"/>
      <c r="K7142" s="1"/>
      <c r="L7142" s="2"/>
    </row>
    <row r="7143" spans="1:12" x14ac:dyDescent="0.2">
      <c r="A7143"/>
      <c r="B7143"/>
      <c r="C7143"/>
      <c r="D7143"/>
      <c r="E7143"/>
      <c r="F7143"/>
      <c r="G7143"/>
      <c r="H7143"/>
      <c r="I7143"/>
      <c r="J7143"/>
      <c r="K7143" s="1"/>
      <c r="L7143" s="2"/>
    </row>
    <row r="7144" spans="1:12" x14ac:dyDescent="0.2">
      <c r="A7144"/>
      <c r="B7144"/>
      <c r="C7144"/>
      <c r="D7144"/>
      <c r="E7144"/>
      <c r="F7144"/>
      <c r="G7144"/>
      <c r="H7144"/>
      <c r="I7144"/>
      <c r="J7144"/>
      <c r="K7144" s="1"/>
      <c r="L7144" s="2"/>
    </row>
    <row r="7145" spans="1:12" x14ac:dyDescent="0.2">
      <c r="A7145"/>
      <c r="B7145"/>
      <c r="C7145"/>
      <c r="D7145"/>
      <c r="E7145"/>
      <c r="F7145"/>
      <c r="G7145"/>
      <c r="H7145"/>
      <c r="I7145"/>
      <c r="J7145"/>
      <c r="K7145" s="1"/>
      <c r="L7145" s="2"/>
    </row>
    <row r="7146" spans="1:12" x14ac:dyDescent="0.2">
      <c r="A7146"/>
      <c r="B7146"/>
      <c r="C7146"/>
      <c r="D7146"/>
      <c r="E7146"/>
      <c r="F7146"/>
      <c r="G7146"/>
      <c r="H7146"/>
      <c r="I7146"/>
      <c r="J7146"/>
      <c r="K7146" s="1"/>
      <c r="L7146" s="2"/>
    </row>
    <row r="7147" spans="1:12" x14ac:dyDescent="0.2">
      <c r="A7147"/>
      <c r="B7147"/>
      <c r="C7147"/>
      <c r="D7147"/>
      <c r="E7147"/>
      <c r="F7147"/>
      <c r="G7147"/>
      <c r="H7147"/>
      <c r="I7147"/>
      <c r="J7147"/>
      <c r="K7147" s="1"/>
      <c r="L7147" s="2"/>
    </row>
    <row r="7148" spans="1:12" x14ac:dyDescent="0.2">
      <c r="A7148"/>
      <c r="B7148"/>
      <c r="C7148"/>
      <c r="D7148"/>
      <c r="E7148"/>
      <c r="F7148"/>
      <c r="G7148"/>
      <c r="H7148"/>
      <c r="I7148"/>
      <c r="J7148"/>
      <c r="K7148" s="1"/>
      <c r="L7148" s="2"/>
    </row>
    <row r="7149" spans="1:12" x14ac:dyDescent="0.2">
      <c r="A7149"/>
      <c r="B7149"/>
      <c r="C7149"/>
      <c r="D7149"/>
      <c r="E7149"/>
      <c r="F7149"/>
      <c r="G7149"/>
      <c r="H7149"/>
      <c r="I7149"/>
      <c r="J7149"/>
      <c r="K7149" s="1"/>
      <c r="L7149" s="2"/>
    </row>
    <row r="7150" spans="1:12" x14ac:dyDescent="0.2">
      <c r="A7150"/>
      <c r="B7150"/>
      <c r="C7150"/>
      <c r="D7150"/>
      <c r="E7150"/>
      <c r="F7150"/>
      <c r="G7150"/>
      <c r="H7150"/>
      <c r="I7150"/>
      <c r="J7150"/>
      <c r="K7150" s="1"/>
      <c r="L7150" s="2"/>
    </row>
    <row r="7151" spans="1:12" x14ac:dyDescent="0.2">
      <c r="A7151"/>
      <c r="B7151"/>
      <c r="C7151"/>
      <c r="D7151"/>
      <c r="E7151"/>
      <c r="F7151"/>
      <c r="G7151"/>
      <c r="H7151"/>
      <c r="I7151"/>
      <c r="J7151"/>
      <c r="K7151" s="1"/>
      <c r="L7151" s="2"/>
    </row>
    <row r="7152" spans="1:12" x14ac:dyDescent="0.2">
      <c r="A7152"/>
      <c r="B7152"/>
      <c r="C7152"/>
      <c r="D7152"/>
      <c r="E7152"/>
      <c r="F7152"/>
      <c r="G7152"/>
      <c r="H7152"/>
      <c r="I7152"/>
      <c r="J7152"/>
      <c r="K7152" s="1"/>
      <c r="L7152" s="2"/>
    </row>
    <row r="7153" spans="1:12" x14ac:dyDescent="0.2">
      <c r="A7153"/>
      <c r="B7153"/>
      <c r="C7153"/>
      <c r="D7153"/>
      <c r="E7153"/>
      <c r="F7153"/>
      <c r="G7153"/>
      <c r="H7153"/>
      <c r="I7153"/>
      <c r="J7153"/>
      <c r="K7153" s="1"/>
      <c r="L7153" s="2"/>
    </row>
    <row r="7154" spans="1:12" x14ac:dyDescent="0.2">
      <c r="A7154"/>
      <c r="B7154"/>
      <c r="C7154"/>
      <c r="D7154"/>
      <c r="E7154"/>
      <c r="F7154"/>
      <c r="G7154"/>
      <c r="H7154"/>
      <c r="I7154"/>
      <c r="J7154"/>
      <c r="K7154" s="1"/>
      <c r="L7154" s="2"/>
    </row>
    <row r="7155" spans="1:12" x14ac:dyDescent="0.2">
      <c r="A7155"/>
      <c r="B7155"/>
      <c r="C7155"/>
      <c r="D7155"/>
      <c r="E7155"/>
      <c r="F7155"/>
      <c r="G7155"/>
      <c r="H7155"/>
      <c r="I7155"/>
      <c r="J7155"/>
      <c r="K7155" s="1"/>
      <c r="L7155" s="2"/>
    </row>
    <row r="7156" spans="1:12" x14ac:dyDescent="0.2">
      <c r="A7156"/>
      <c r="B7156"/>
      <c r="C7156"/>
      <c r="D7156"/>
      <c r="E7156"/>
      <c r="F7156"/>
      <c r="G7156"/>
      <c r="H7156"/>
      <c r="I7156"/>
      <c r="J7156"/>
      <c r="K7156" s="1"/>
      <c r="L7156" s="2"/>
    </row>
    <row r="7157" spans="1:12" x14ac:dyDescent="0.2">
      <c r="A7157"/>
      <c r="B7157"/>
      <c r="C7157"/>
      <c r="D7157"/>
      <c r="E7157"/>
      <c r="F7157"/>
      <c r="G7157"/>
      <c r="H7157"/>
      <c r="I7157"/>
      <c r="J7157"/>
      <c r="K7157" s="1"/>
      <c r="L7157" s="2"/>
    </row>
    <row r="7158" spans="1:12" x14ac:dyDescent="0.2">
      <c r="A7158"/>
      <c r="B7158"/>
      <c r="C7158"/>
      <c r="D7158"/>
      <c r="E7158"/>
      <c r="F7158"/>
      <c r="G7158"/>
      <c r="H7158"/>
      <c r="I7158"/>
      <c r="J7158"/>
      <c r="K7158" s="1"/>
      <c r="L7158" s="2"/>
    </row>
    <row r="7159" spans="1:12" x14ac:dyDescent="0.2">
      <c r="A7159"/>
      <c r="B7159"/>
      <c r="C7159"/>
      <c r="D7159"/>
      <c r="E7159"/>
      <c r="F7159"/>
      <c r="G7159"/>
      <c r="H7159"/>
      <c r="I7159"/>
      <c r="J7159"/>
      <c r="K7159" s="1"/>
      <c r="L7159" s="2"/>
    </row>
    <row r="7160" spans="1:12" x14ac:dyDescent="0.2">
      <c r="A7160"/>
      <c r="B7160"/>
      <c r="C7160"/>
      <c r="D7160"/>
      <c r="E7160"/>
      <c r="F7160"/>
      <c r="G7160"/>
      <c r="H7160"/>
      <c r="I7160"/>
      <c r="J7160"/>
      <c r="K7160" s="1"/>
      <c r="L7160" s="2"/>
    </row>
    <row r="7161" spans="1:12" x14ac:dyDescent="0.2">
      <c r="A7161"/>
      <c r="B7161"/>
      <c r="C7161"/>
      <c r="D7161"/>
      <c r="E7161"/>
      <c r="F7161"/>
      <c r="G7161"/>
      <c r="H7161"/>
      <c r="I7161"/>
      <c r="J7161"/>
      <c r="K7161" s="1"/>
      <c r="L7161" s="2"/>
    </row>
    <row r="7162" spans="1:12" x14ac:dyDescent="0.2">
      <c r="A7162"/>
      <c r="B7162"/>
      <c r="C7162"/>
      <c r="D7162"/>
      <c r="E7162"/>
      <c r="F7162"/>
      <c r="G7162"/>
      <c r="H7162"/>
      <c r="I7162"/>
      <c r="J7162"/>
      <c r="K7162" s="1"/>
      <c r="L7162" s="2"/>
    </row>
    <row r="7163" spans="1:12" x14ac:dyDescent="0.2">
      <c r="A7163"/>
      <c r="B7163"/>
      <c r="C7163"/>
      <c r="D7163"/>
      <c r="E7163"/>
      <c r="F7163"/>
      <c r="G7163"/>
      <c r="H7163"/>
      <c r="I7163"/>
      <c r="J7163"/>
      <c r="K7163" s="1"/>
      <c r="L7163" s="2"/>
    </row>
    <row r="7164" spans="1:12" x14ac:dyDescent="0.2">
      <c r="A7164"/>
      <c r="B7164"/>
      <c r="C7164"/>
      <c r="D7164"/>
      <c r="E7164"/>
      <c r="F7164"/>
      <c r="G7164"/>
      <c r="H7164"/>
      <c r="I7164"/>
      <c r="J7164"/>
      <c r="K7164" s="1"/>
      <c r="L7164" s="2"/>
    </row>
    <row r="7165" spans="1:12" x14ac:dyDescent="0.2">
      <c r="A7165"/>
      <c r="B7165"/>
      <c r="C7165"/>
      <c r="D7165"/>
      <c r="E7165"/>
      <c r="F7165"/>
      <c r="G7165"/>
      <c r="H7165"/>
      <c r="I7165"/>
      <c r="J7165"/>
      <c r="K7165" s="1"/>
      <c r="L7165" s="2"/>
    </row>
    <row r="7166" spans="1:12" x14ac:dyDescent="0.2">
      <c r="A7166"/>
      <c r="B7166"/>
      <c r="C7166"/>
      <c r="D7166"/>
      <c r="E7166"/>
      <c r="F7166"/>
      <c r="G7166"/>
      <c r="H7166"/>
      <c r="I7166"/>
      <c r="J7166"/>
      <c r="K7166" s="1"/>
      <c r="L7166" s="2"/>
    </row>
    <row r="7167" spans="1:12" x14ac:dyDescent="0.2">
      <c r="A7167"/>
      <c r="B7167"/>
      <c r="C7167"/>
      <c r="D7167"/>
      <c r="E7167"/>
      <c r="F7167"/>
      <c r="G7167"/>
      <c r="H7167"/>
      <c r="I7167"/>
      <c r="J7167"/>
      <c r="K7167" s="1"/>
      <c r="L7167" s="2"/>
    </row>
    <row r="7168" spans="1:12" x14ac:dyDescent="0.2">
      <c r="A7168"/>
      <c r="B7168"/>
      <c r="C7168"/>
      <c r="D7168"/>
      <c r="E7168"/>
      <c r="F7168"/>
      <c r="G7168"/>
      <c r="H7168"/>
      <c r="I7168"/>
      <c r="J7168"/>
      <c r="K7168" s="1"/>
      <c r="L7168" s="2"/>
    </row>
    <row r="7169" spans="1:12" x14ac:dyDescent="0.2">
      <c r="A7169"/>
      <c r="B7169"/>
      <c r="C7169"/>
      <c r="D7169"/>
      <c r="E7169"/>
      <c r="F7169"/>
      <c r="G7169"/>
      <c r="H7169"/>
      <c r="I7169"/>
      <c r="J7169"/>
      <c r="K7169" s="1"/>
      <c r="L7169" s="2"/>
    </row>
    <row r="7170" spans="1:12" x14ac:dyDescent="0.2">
      <c r="A7170"/>
      <c r="B7170"/>
      <c r="C7170"/>
      <c r="D7170"/>
      <c r="E7170"/>
      <c r="F7170"/>
      <c r="G7170"/>
      <c r="H7170"/>
      <c r="I7170"/>
      <c r="J7170"/>
      <c r="K7170" s="1"/>
      <c r="L7170" s="2"/>
    </row>
    <row r="7171" spans="1:12" x14ac:dyDescent="0.2">
      <c r="A7171"/>
      <c r="B7171"/>
      <c r="C7171"/>
      <c r="D7171"/>
      <c r="E7171"/>
      <c r="F7171"/>
      <c r="G7171"/>
      <c r="H7171"/>
      <c r="I7171"/>
      <c r="J7171"/>
      <c r="K7171" s="1"/>
      <c r="L7171" s="2"/>
    </row>
    <row r="7172" spans="1:12" x14ac:dyDescent="0.2">
      <c r="A7172"/>
      <c r="B7172"/>
      <c r="C7172"/>
      <c r="D7172"/>
      <c r="E7172"/>
      <c r="F7172"/>
      <c r="G7172"/>
      <c r="H7172"/>
      <c r="I7172"/>
      <c r="J7172"/>
      <c r="K7172" s="1"/>
      <c r="L7172" s="2"/>
    </row>
    <row r="7173" spans="1:12" x14ac:dyDescent="0.2">
      <c r="A7173"/>
      <c r="B7173"/>
      <c r="C7173"/>
      <c r="D7173"/>
      <c r="E7173"/>
      <c r="F7173"/>
      <c r="G7173"/>
      <c r="H7173"/>
      <c r="I7173"/>
      <c r="J7173"/>
      <c r="K7173" s="1"/>
      <c r="L7173" s="2"/>
    </row>
    <row r="7174" spans="1:12" x14ac:dyDescent="0.2">
      <c r="A7174"/>
      <c r="B7174"/>
      <c r="C7174"/>
      <c r="D7174"/>
      <c r="E7174"/>
      <c r="F7174"/>
      <c r="G7174"/>
      <c r="H7174"/>
      <c r="I7174"/>
      <c r="J7174"/>
      <c r="K7174" s="1"/>
      <c r="L7174" s="2"/>
    </row>
    <row r="7175" spans="1:12" x14ac:dyDescent="0.2">
      <c r="A7175"/>
      <c r="B7175"/>
      <c r="C7175"/>
      <c r="D7175"/>
      <c r="E7175"/>
      <c r="F7175"/>
      <c r="G7175"/>
      <c r="H7175"/>
      <c r="I7175"/>
      <c r="J7175"/>
      <c r="K7175" s="1"/>
      <c r="L7175" s="2"/>
    </row>
    <row r="7176" spans="1:12" x14ac:dyDescent="0.2">
      <c r="A7176"/>
      <c r="B7176"/>
      <c r="C7176"/>
      <c r="D7176"/>
      <c r="E7176"/>
      <c r="F7176"/>
      <c r="G7176"/>
      <c r="H7176"/>
      <c r="I7176"/>
      <c r="J7176"/>
      <c r="K7176" s="1"/>
      <c r="L7176" s="2"/>
    </row>
    <row r="7177" spans="1:12" x14ac:dyDescent="0.2">
      <c r="A7177"/>
      <c r="B7177"/>
      <c r="C7177"/>
      <c r="D7177"/>
      <c r="E7177"/>
      <c r="F7177"/>
      <c r="G7177"/>
      <c r="H7177"/>
      <c r="I7177"/>
      <c r="J7177"/>
      <c r="K7177" s="1"/>
      <c r="L7177" s="2"/>
    </row>
    <row r="7178" spans="1:12" x14ac:dyDescent="0.2">
      <c r="A7178"/>
      <c r="B7178"/>
      <c r="C7178"/>
      <c r="D7178"/>
      <c r="E7178"/>
      <c r="F7178"/>
      <c r="G7178"/>
      <c r="H7178"/>
      <c r="I7178"/>
      <c r="J7178"/>
      <c r="K7178" s="1"/>
      <c r="L7178" s="2"/>
    </row>
    <row r="7179" spans="1:12" x14ac:dyDescent="0.2">
      <c r="A7179"/>
      <c r="B7179"/>
      <c r="C7179"/>
      <c r="D7179"/>
      <c r="E7179"/>
      <c r="F7179"/>
      <c r="G7179"/>
      <c r="H7179"/>
      <c r="I7179"/>
      <c r="J7179"/>
      <c r="K7179" s="1"/>
      <c r="L7179" s="2"/>
    </row>
    <row r="7180" spans="1:12" x14ac:dyDescent="0.2">
      <c r="A7180"/>
      <c r="B7180"/>
      <c r="C7180"/>
      <c r="D7180"/>
      <c r="E7180"/>
      <c r="F7180"/>
      <c r="G7180"/>
      <c r="H7180"/>
      <c r="I7180"/>
      <c r="J7180"/>
      <c r="K7180" s="1"/>
      <c r="L7180" s="2"/>
    </row>
    <row r="7181" spans="1:12" x14ac:dyDescent="0.2">
      <c r="A7181"/>
      <c r="B7181"/>
      <c r="C7181"/>
      <c r="D7181"/>
      <c r="E7181"/>
      <c r="F7181"/>
      <c r="G7181"/>
      <c r="H7181"/>
      <c r="I7181"/>
      <c r="J7181"/>
      <c r="K7181" s="1"/>
      <c r="L7181" s="2"/>
    </row>
    <row r="7182" spans="1:12" x14ac:dyDescent="0.2">
      <c r="A7182"/>
      <c r="B7182"/>
      <c r="C7182"/>
      <c r="D7182"/>
      <c r="E7182"/>
      <c r="F7182"/>
      <c r="G7182"/>
      <c r="H7182"/>
      <c r="I7182"/>
      <c r="J7182"/>
      <c r="K7182" s="1"/>
      <c r="L7182" s="2"/>
    </row>
    <row r="7183" spans="1:12" x14ac:dyDescent="0.2">
      <c r="A7183"/>
      <c r="B7183"/>
      <c r="C7183"/>
      <c r="D7183"/>
      <c r="E7183"/>
      <c r="F7183"/>
      <c r="G7183"/>
      <c r="H7183"/>
      <c r="I7183"/>
      <c r="J7183"/>
      <c r="K7183" s="1"/>
      <c r="L7183" s="2"/>
    </row>
    <row r="7184" spans="1:12" x14ac:dyDescent="0.2">
      <c r="A7184"/>
      <c r="B7184"/>
      <c r="C7184"/>
      <c r="D7184"/>
      <c r="E7184"/>
      <c r="F7184"/>
      <c r="G7184"/>
      <c r="H7184"/>
      <c r="I7184"/>
      <c r="J7184"/>
      <c r="K7184" s="1"/>
      <c r="L7184" s="2"/>
    </row>
    <row r="7185" spans="1:12" x14ac:dyDescent="0.2">
      <c r="A7185"/>
      <c r="B7185"/>
      <c r="C7185"/>
      <c r="D7185"/>
      <c r="E7185"/>
      <c r="F7185"/>
      <c r="G7185"/>
      <c r="H7185"/>
      <c r="I7185"/>
      <c r="J7185"/>
      <c r="K7185" s="1"/>
      <c r="L7185" s="2"/>
    </row>
    <row r="7186" spans="1:12" x14ac:dyDescent="0.2">
      <c r="A7186"/>
      <c r="B7186"/>
      <c r="C7186"/>
      <c r="D7186"/>
      <c r="E7186"/>
      <c r="F7186"/>
      <c r="G7186"/>
      <c r="H7186"/>
      <c r="I7186"/>
      <c r="J7186"/>
      <c r="K7186" s="1"/>
      <c r="L7186" s="2"/>
    </row>
    <row r="7187" spans="1:12" x14ac:dyDescent="0.2">
      <c r="A7187"/>
      <c r="B7187"/>
      <c r="C7187"/>
      <c r="D7187"/>
      <c r="E7187"/>
      <c r="F7187"/>
      <c r="G7187"/>
      <c r="H7187"/>
      <c r="I7187"/>
      <c r="J7187"/>
      <c r="K7187" s="1"/>
      <c r="L7187" s="2"/>
    </row>
    <row r="7188" spans="1:12" x14ac:dyDescent="0.2">
      <c r="A7188"/>
      <c r="B7188"/>
      <c r="C7188"/>
      <c r="D7188"/>
      <c r="E7188"/>
      <c r="F7188"/>
      <c r="G7188"/>
      <c r="H7188"/>
      <c r="I7188"/>
      <c r="J7188"/>
      <c r="K7188" s="1"/>
      <c r="L7188" s="2"/>
    </row>
    <row r="7189" spans="1:12" x14ac:dyDescent="0.2">
      <c r="A7189"/>
      <c r="B7189"/>
      <c r="C7189"/>
      <c r="D7189"/>
      <c r="E7189"/>
      <c r="F7189"/>
      <c r="G7189"/>
      <c r="H7189"/>
      <c r="I7189"/>
      <c r="J7189"/>
      <c r="K7189" s="1"/>
      <c r="L7189" s="2"/>
    </row>
    <row r="7190" spans="1:12" x14ac:dyDescent="0.2">
      <c r="A7190"/>
      <c r="B7190"/>
      <c r="C7190"/>
      <c r="D7190"/>
      <c r="E7190"/>
      <c r="F7190"/>
      <c r="G7190"/>
      <c r="H7190"/>
      <c r="I7190"/>
      <c r="J7190"/>
      <c r="K7190" s="1"/>
      <c r="L7190" s="2"/>
    </row>
    <row r="7191" spans="1:12" x14ac:dyDescent="0.2">
      <c r="A7191"/>
      <c r="B7191"/>
      <c r="C7191"/>
      <c r="D7191"/>
      <c r="E7191"/>
      <c r="F7191"/>
      <c r="G7191"/>
      <c r="H7191"/>
      <c r="I7191"/>
      <c r="J7191"/>
      <c r="K7191" s="1"/>
      <c r="L7191" s="2"/>
    </row>
    <row r="7192" spans="1:12" x14ac:dyDescent="0.2">
      <c r="A7192"/>
      <c r="B7192"/>
      <c r="C7192"/>
      <c r="D7192"/>
      <c r="E7192"/>
      <c r="F7192"/>
      <c r="G7192"/>
      <c r="H7192"/>
      <c r="I7192"/>
      <c r="J7192"/>
      <c r="K7192" s="1"/>
      <c r="L7192" s="2"/>
    </row>
    <row r="7193" spans="1:12" x14ac:dyDescent="0.2">
      <c r="A7193"/>
      <c r="B7193"/>
      <c r="C7193"/>
      <c r="D7193"/>
      <c r="E7193"/>
      <c r="F7193"/>
      <c r="G7193"/>
      <c r="H7193"/>
      <c r="I7193"/>
      <c r="J7193"/>
      <c r="K7193" s="1"/>
      <c r="L7193" s="2"/>
    </row>
    <row r="7194" spans="1:12" x14ac:dyDescent="0.2">
      <c r="A7194"/>
      <c r="B7194"/>
      <c r="C7194"/>
      <c r="D7194"/>
      <c r="E7194"/>
      <c r="F7194"/>
      <c r="G7194"/>
      <c r="H7194"/>
      <c r="I7194"/>
      <c r="J7194"/>
      <c r="K7194" s="1"/>
      <c r="L7194" s="2"/>
    </row>
    <row r="7195" spans="1:12" x14ac:dyDescent="0.2">
      <c r="A7195"/>
      <c r="B7195"/>
      <c r="C7195"/>
      <c r="D7195"/>
      <c r="E7195"/>
      <c r="F7195"/>
      <c r="G7195"/>
      <c r="H7195"/>
      <c r="I7195"/>
      <c r="J7195"/>
      <c r="K7195" s="1"/>
      <c r="L7195" s="2"/>
    </row>
    <row r="7196" spans="1:12" x14ac:dyDescent="0.2">
      <c r="A7196"/>
      <c r="B7196"/>
      <c r="C7196"/>
      <c r="D7196"/>
      <c r="E7196"/>
      <c r="F7196"/>
      <c r="G7196"/>
      <c r="H7196"/>
      <c r="I7196"/>
      <c r="J7196"/>
      <c r="K7196" s="1"/>
      <c r="L7196" s="2"/>
    </row>
    <row r="7197" spans="1:12" x14ac:dyDescent="0.2">
      <c r="A7197"/>
      <c r="B7197"/>
      <c r="C7197"/>
      <c r="D7197"/>
      <c r="E7197"/>
      <c r="F7197"/>
      <c r="G7197"/>
      <c r="H7197"/>
      <c r="I7197"/>
      <c r="J7197"/>
      <c r="K7197" s="1"/>
      <c r="L7197" s="2"/>
    </row>
    <row r="7198" spans="1:12" x14ac:dyDescent="0.2">
      <c r="A7198"/>
      <c r="B7198"/>
      <c r="C7198"/>
      <c r="D7198"/>
      <c r="E7198"/>
      <c r="F7198"/>
      <c r="G7198"/>
      <c r="H7198"/>
      <c r="I7198"/>
      <c r="J7198"/>
      <c r="K7198" s="1"/>
      <c r="L7198" s="2"/>
    </row>
    <row r="7199" spans="1:12" x14ac:dyDescent="0.2">
      <c r="A7199"/>
      <c r="B7199"/>
      <c r="C7199"/>
      <c r="D7199"/>
      <c r="E7199"/>
      <c r="F7199"/>
      <c r="G7199"/>
      <c r="H7199"/>
      <c r="I7199"/>
      <c r="J7199"/>
      <c r="K7199" s="1"/>
      <c r="L7199" s="2"/>
    </row>
    <row r="7200" spans="1:12" x14ac:dyDescent="0.2">
      <c r="A7200"/>
      <c r="B7200"/>
      <c r="C7200"/>
      <c r="D7200"/>
      <c r="E7200"/>
      <c r="F7200"/>
      <c r="G7200"/>
      <c r="H7200"/>
      <c r="I7200"/>
      <c r="J7200"/>
      <c r="K7200" s="1"/>
      <c r="L7200" s="2"/>
    </row>
    <row r="7201" spans="1:12" x14ac:dyDescent="0.2">
      <c r="A7201"/>
      <c r="B7201"/>
      <c r="C7201"/>
      <c r="D7201"/>
      <c r="E7201"/>
      <c r="F7201"/>
      <c r="G7201"/>
      <c r="H7201"/>
      <c r="I7201"/>
      <c r="J7201"/>
      <c r="K7201" s="1"/>
      <c r="L7201" s="2"/>
    </row>
    <row r="7202" spans="1:12" x14ac:dyDescent="0.2">
      <c r="A7202"/>
      <c r="B7202"/>
      <c r="C7202"/>
      <c r="D7202"/>
      <c r="E7202"/>
      <c r="F7202"/>
      <c r="G7202"/>
      <c r="H7202"/>
      <c r="I7202"/>
      <c r="J7202"/>
      <c r="K7202" s="1"/>
      <c r="L7202" s="2"/>
    </row>
    <row r="7203" spans="1:12" x14ac:dyDescent="0.2">
      <c r="A7203"/>
      <c r="B7203"/>
      <c r="C7203"/>
      <c r="D7203"/>
      <c r="E7203"/>
      <c r="F7203"/>
      <c r="G7203"/>
      <c r="H7203"/>
      <c r="I7203"/>
      <c r="J7203"/>
      <c r="K7203" s="1"/>
      <c r="L7203" s="2"/>
    </row>
    <row r="7204" spans="1:12" x14ac:dyDescent="0.2">
      <c r="A7204"/>
      <c r="B7204"/>
      <c r="C7204"/>
      <c r="D7204"/>
      <c r="E7204"/>
      <c r="F7204"/>
      <c r="G7204"/>
      <c r="H7204"/>
      <c r="I7204"/>
      <c r="J7204"/>
      <c r="K7204" s="1"/>
      <c r="L7204" s="2"/>
    </row>
    <row r="7205" spans="1:12" x14ac:dyDescent="0.2">
      <c r="A7205"/>
      <c r="B7205"/>
      <c r="C7205"/>
      <c r="D7205"/>
      <c r="E7205"/>
      <c r="F7205"/>
      <c r="G7205"/>
      <c r="H7205"/>
      <c r="I7205"/>
      <c r="J7205"/>
      <c r="K7205" s="1"/>
      <c r="L7205" s="2"/>
    </row>
    <row r="7206" spans="1:12" x14ac:dyDescent="0.2">
      <c r="A7206"/>
      <c r="B7206"/>
      <c r="C7206"/>
      <c r="D7206"/>
      <c r="E7206"/>
      <c r="F7206"/>
      <c r="G7206"/>
      <c r="H7206"/>
      <c r="I7206"/>
      <c r="J7206"/>
      <c r="K7206" s="1"/>
      <c r="L7206" s="2"/>
    </row>
    <row r="7207" spans="1:12" x14ac:dyDescent="0.2">
      <c r="A7207"/>
      <c r="B7207"/>
      <c r="C7207"/>
      <c r="D7207"/>
      <c r="E7207"/>
      <c r="F7207"/>
      <c r="G7207"/>
      <c r="H7207"/>
      <c r="I7207"/>
      <c r="J7207"/>
      <c r="K7207" s="1"/>
      <c r="L7207" s="2"/>
    </row>
    <row r="7208" spans="1:12" x14ac:dyDescent="0.2">
      <c r="A7208"/>
      <c r="B7208"/>
      <c r="C7208"/>
      <c r="D7208"/>
      <c r="E7208"/>
      <c r="F7208"/>
      <c r="G7208"/>
      <c r="H7208"/>
      <c r="I7208"/>
      <c r="J7208"/>
      <c r="K7208" s="1"/>
      <c r="L7208" s="2"/>
    </row>
    <row r="7209" spans="1:12" x14ac:dyDescent="0.2">
      <c r="A7209"/>
      <c r="B7209"/>
      <c r="C7209"/>
      <c r="D7209"/>
      <c r="E7209"/>
      <c r="F7209"/>
      <c r="G7209"/>
      <c r="H7209"/>
      <c r="I7209"/>
      <c r="J7209"/>
      <c r="K7209" s="1"/>
      <c r="L7209" s="2"/>
    </row>
    <row r="7210" spans="1:12" x14ac:dyDescent="0.2">
      <c r="A7210"/>
      <c r="B7210"/>
      <c r="C7210"/>
      <c r="D7210"/>
      <c r="E7210"/>
      <c r="F7210"/>
      <c r="G7210"/>
      <c r="H7210"/>
      <c r="I7210"/>
      <c r="J7210"/>
      <c r="K7210" s="1"/>
      <c r="L7210" s="2"/>
    </row>
    <row r="7211" spans="1:12" x14ac:dyDescent="0.2">
      <c r="A7211"/>
      <c r="B7211"/>
      <c r="C7211"/>
      <c r="D7211"/>
      <c r="E7211"/>
      <c r="F7211"/>
      <c r="G7211"/>
      <c r="H7211"/>
      <c r="I7211"/>
      <c r="J7211"/>
      <c r="K7211" s="1"/>
      <c r="L7211" s="2"/>
    </row>
    <row r="7212" spans="1:12" x14ac:dyDescent="0.2">
      <c r="A7212"/>
      <c r="B7212"/>
      <c r="C7212"/>
      <c r="D7212"/>
      <c r="E7212"/>
      <c r="F7212"/>
      <c r="G7212"/>
      <c r="H7212"/>
      <c r="I7212"/>
      <c r="J7212"/>
      <c r="K7212" s="1"/>
      <c r="L7212" s="2"/>
    </row>
    <row r="7213" spans="1:12" x14ac:dyDescent="0.2">
      <c r="A7213"/>
      <c r="B7213"/>
      <c r="C7213"/>
      <c r="D7213"/>
      <c r="E7213"/>
      <c r="F7213"/>
      <c r="G7213"/>
      <c r="H7213"/>
      <c r="I7213"/>
      <c r="J7213"/>
      <c r="K7213" s="1"/>
      <c r="L7213" s="2"/>
    </row>
    <row r="7214" spans="1:12" x14ac:dyDescent="0.2">
      <c r="A7214"/>
      <c r="B7214"/>
      <c r="C7214"/>
      <c r="D7214"/>
      <c r="E7214"/>
      <c r="F7214"/>
      <c r="G7214"/>
      <c r="H7214"/>
      <c r="I7214"/>
      <c r="J7214"/>
      <c r="K7214" s="1"/>
      <c r="L7214" s="2"/>
    </row>
    <row r="7215" spans="1:12" x14ac:dyDescent="0.2">
      <c r="A7215"/>
      <c r="B7215"/>
      <c r="C7215"/>
      <c r="D7215"/>
      <c r="E7215"/>
      <c r="F7215"/>
      <c r="G7215"/>
      <c r="H7215"/>
      <c r="I7215"/>
      <c r="J7215"/>
      <c r="K7215" s="1"/>
      <c r="L7215" s="2"/>
    </row>
    <row r="7216" spans="1:12" x14ac:dyDescent="0.2">
      <c r="A7216"/>
      <c r="B7216"/>
      <c r="C7216"/>
      <c r="D7216"/>
      <c r="E7216"/>
      <c r="F7216"/>
      <c r="G7216"/>
      <c r="H7216"/>
      <c r="I7216"/>
      <c r="J7216"/>
      <c r="K7216" s="1"/>
      <c r="L7216" s="2"/>
    </row>
    <row r="7217" spans="1:12" x14ac:dyDescent="0.2">
      <c r="A7217"/>
      <c r="B7217"/>
      <c r="C7217"/>
      <c r="D7217"/>
      <c r="E7217"/>
      <c r="F7217"/>
      <c r="G7217"/>
      <c r="H7217"/>
      <c r="I7217"/>
      <c r="J7217"/>
      <c r="K7217" s="1"/>
      <c r="L7217" s="2"/>
    </row>
    <row r="7218" spans="1:12" x14ac:dyDescent="0.2">
      <c r="A7218"/>
      <c r="B7218"/>
      <c r="C7218"/>
      <c r="D7218"/>
      <c r="E7218"/>
      <c r="F7218"/>
      <c r="G7218"/>
      <c r="H7218"/>
      <c r="I7218"/>
      <c r="J7218"/>
      <c r="K7218" s="1"/>
      <c r="L7218" s="2"/>
    </row>
    <row r="7219" spans="1:12" x14ac:dyDescent="0.2">
      <c r="A7219"/>
      <c r="B7219"/>
      <c r="C7219"/>
      <c r="D7219"/>
      <c r="E7219"/>
      <c r="F7219"/>
      <c r="G7219"/>
      <c r="H7219"/>
      <c r="I7219"/>
      <c r="J7219"/>
      <c r="K7219" s="1"/>
      <c r="L7219" s="2"/>
    </row>
    <row r="7220" spans="1:12" x14ac:dyDescent="0.2">
      <c r="A7220"/>
      <c r="B7220"/>
      <c r="C7220"/>
      <c r="D7220"/>
      <c r="E7220"/>
      <c r="F7220"/>
      <c r="G7220"/>
      <c r="H7220"/>
      <c r="I7220"/>
      <c r="J7220"/>
      <c r="K7220" s="1"/>
      <c r="L7220" s="2"/>
    </row>
    <row r="7221" spans="1:12" x14ac:dyDescent="0.2">
      <c r="A7221"/>
      <c r="B7221"/>
      <c r="C7221"/>
      <c r="D7221"/>
      <c r="E7221"/>
      <c r="F7221"/>
      <c r="G7221"/>
      <c r="H7221"/>
      <c r="I7221"/>
      <c r="J7221"/>
      <c r="K7221" s="1"/>
      <c r="L7221" s="2"/>
    </row>
    <row r="7222" spans="1:12" x14ac:dyDescent="0.2">
      <c r="A7222"/>
      <c r="B7222"/>
      <c r="C7222"/>
      <c r="D7222"/>
      <c r="E7222"/>
      <c r="F7222"/>
      <c r="G7222"/>
      <c r="H7222"/>
      <c r="I7222"/>
      <c r="J7222"/>
      <c r="K7222" s="1"/>
      <c r="L7222" s="2"/>
    </row>
    <row r="7223" spans="1:12" x14ac:dyDescent="0.2">
      <c r="A7223"/>
      <c r="B7223"/>
      <c r="C7223"/>
      <c r="D7223"/>
      <c r="E7223"/>
      <c r="F7223"/>
      <c r="G7223"/>
      <c r="H7223"/>
      <c r="I7223"/>
      <c r="J7223"/>
      <c r="K7223" s="1"/>
      <c r="L7223" s="2"/>
    </row>
    <row r="7224" spans="1:12" x14ac:dyDescent="0.2">
      <c r="A7224"/>
      <c r="B7224"/>
      <c r="C7224"/>
      <c r="D7224"/>
      <c r="E7224"/>
      <c r="F7224"/>
      <c r="G7224"/>
      <c r="H7224"/>
      <c r="I7224"/>
      <c r="J7224"/>
      <c r="K7224" s="1"/>
      <c r="L7224" s="2"/>
    </row>
    <row r="7225" spans="1:12" x14ac:dyDescent="0.2">
      <c r="A7225"/>
      <c r="B7225"/>
      <c r="C7225"/>
      <c r="D7225"/>
      <c r="E7225"/>
      <c r="F7225"/>
      <c r="G7225"/>
      <c r="H7225"/>
      <c r="I7225"/>
      <c r="J7225"/>
      <c r="K7225" s="1"/>
      <c r="L7225" s="2"/>
    </row>
    <row r="7226" spans="1:12" x14ac:dyDescent="0.2">
      <c r="A7226"/>
      <c r="B7226"/>
      <c r="C7226"/>
      <c r="D7226"/>
      <c r="E7226"/>
      <c r="F7226"/>
      <c r="G7226"/>
      <c r="H7226"/>
      <c r="I7226"/>
      <c r="J7226"/>
      <c r="K7226" s="1"/>
      <c r="L7226" s="2"/>
    </row>
    <row r="7227" spans="1:12" x14ac:dyDescent="0.2">
      <c r="A7227"/>
      <c r="B7227"/>
      <c r="C7227"/>
      <c r="D7227"/>
      <c r="E7227"/>
      <c r="F7227"/>
      <c r="G7227"/>
      <c r="H7227"/>
      <c r="I7227"/>
      <c r="J7227"/>
      <c r="K7227" s="1"/>
      <c r="L7227" s="2"/>
    </row>
    <row r="7228" spans="1:12" x14ac:dyDescent="0.2">
      <c r="A7228"/>
      <c r="B7228"/>
      <c r="C7228"/>
      <c r="D7228"/>
      <c r="E7228"/>
      <c r="F7228"/>
      <c r="G7228"/>
      <c r="H7228"/>
      <c r="I7228"/>
      <c r="J7228"/>
      <c r="K7228" s="1"/>
      <c r="L7228" s="2"/>
    </row>
    <row r="7229" spans="1:12" x14ac:dyDescent="0.2">
      <c r="A7229"/>
      <c r="B7229"/>
      <c r="C7229"/>
      <c r="D7229"/>
      <c r="E7229"/>
      <c r="F7229"/>
      <c r="G7229"/>
      <c r="H7229"/>
      <c r="I7229"/>
      <c r="J7229"/>
      <c r="K7229" s="1"/>
      <c r="L7229" s="2"/>
    </row>
    <row r="7230" spans="1:12" x14ac:dyDescent="0.2">
      <c r="A7230"/>
      <c r="B7230"/>
      <c r="C7230"/>
      <c r="D7230"/>
      <c r="E7230"/>
      <c r="F7230"/>
      <c r="G7230"/>
      <c r="H7230"/>
      <c r="I7230"/>
      <c r="J7230"/>
      <c r="K7230" s="1"/>
      <c r="L7230" s="2"/>
    </row>
    <row r="7231" spans="1:12" x14ac:dyDescent="0.2">
      <c r="A7231"/>
      <c r="B7231"/>
      <c r="C7231"/>
      <c r="D7231"/>
      <c r="E7231"/>
      <c r="F7231"/>
      <c r="G7231"/>
      <c r="H7231"/>
      <c r="I7231"/>
      <c r="J7231"/>
      <c r="K7231" s="1"/>
      <c r="L7231" s="2"/>
    </row>
    <row r="7232" spans="1:12" x14ac:dyDescent="0.2">
      <c r="A7232"/>
      <c r="B7232"/>
      <c r="C7232"/>
      <c r="D7232"/>
      <c r="E7232"/>
      <c r="F7232"/>
      <c r="G7232"/>
      <c r="H7232"/>
      <c r="I7232"/>
      <c r="J7232"/>
      <c r="K7232" s="1"/>
      <c r="L7232" s="2"/>
    </row>
    <row r="7233" spans="1:12" x14ac:dyDescent="0.2">
      <c r="A7233"/>
      <c r="B7233"/>
      <c r="C7233"/>
      <c r="D7233"/>
      <c r="E7233"/>
      <c r="F7233"/>
      <c r="G7233"/>
      <c r="H7233"/>
      <c r="I7233"/>
      <c r="J7233"/>
      <c r="K7233" s="1"/>
      <c r="L7233" s="2"/>
    </row>
    <row r="7234" spans="1:12" x14ac:dyDescent="0.2">
      <c r="A7234"/>
      <c r="B7234"/>
      <c r="C7234"/>
      <c r="D7234"/>
      <c r="E7234"/>
      <c r="F7234"/>
      <c r="G7234"/>
      <c r="H7234"/>
      <c r="I7234"/>
      <c r="J7234"/>
      <c r="K7234" s="1"/>
      <c r="L7234" s="2"/>
    </row>
    <row r="7235" spans="1:12" x14ac:dyDescent="0.2">
      <c r="A7235"/>
      <c r="B7235"/>
      <c r="C7235"/>
      <c r="D7235"/>
      <c r="E7235"/>
      <c r="F7235"/>
      <c r="G7235"/>
      <c r="H7235"/>
      <c r="I7235"/>
      <c r="J7235"/>
      <c r="K7235" s="1"/>
      <c r="L7235" s="2"/>
    </row>
    <row r="7236" spans="1:12" x14ac:dyDescent="0.2">
      <c r="A7236"/>
      <c r="B7236"/>
      <c r="C7236"/>
      <c r="D7236"/>
      <c r="E7236"/>
      <c r="F7236"/>
      <c r="G7236"/>
      <c r="H7236"/>
      <c r="I7236"/>
      <c r="J7236"/>
      <c r="K7236" s="1"/>
      <c r="L7236" s="2"/>
    </row>
    <row r="7237" spans="1:12" x14ac:dyDescent="0.2">
      <c r="A7237"/>
      <c r="B7237"/>
      <c r="C7237"/>
      <c r="D7237"/>
      <c r="E7237"/>
      <c r="F7237"/>
      <c r="G7237"/>
      <c r="H7237"/>
      <c r="I7237"/>
      <c r="J7237"/>
      <c r="K7237" s="1"/>
      <c r="L7237" s="2"/>
    </row>
    <row r="7238" spans="1:12" x14ac:dyDescent="0.2">
      <c r="A7238"/>
      <c r="B7238"/>
      <c r="C7238"/>
      <c r="D7238"/>
      <c r="E7238"/>
      <c r="F7238"/>
      <c r="G7238"/>
      <c r="H7238"/>
      <c r="I7238"/>
      <c r="J7238"/>
      <c r="K7238" s="1"/>
      <c r="L7238" s="2"/>
    </row>
    <row r="7239" spans="1:12" x14ac:dyDescent="0.2">
      <c r="A7239"/>
      <c r="B7239"/>
      <c r="C7239"/>
      <c r="D7239"/>
      <c r="E7239"/>
      <c r="F7239"/>
      <c r="G7239"/>
      <c r="H7239"/>
      <c r="I7239"/>
      <c r="J7239"/>
      <c r="K7239" s="1"/>
      <c r="L7239" s="2"/>
    </row>
    <row r="7240" spans="1:12" x14ac:dyDescent="0.2">
      <c r="A7240"/>
      <c r="B7240"/>
      <c r="C7240"/>
      <c r="D7240"/>
      <c r="E7240"/>
      <c r="F7240"/>
      <c r="G7240"/>
      <c r="H7240"/>
      <c r="I7240"/>
      <c r="J7240"/>
      <c r="K7240" s="1"/>
      <c r="L7240" s="2"/>
    </row>
    <row r="7241" spans="1:12" x14ac:dyDescent="0.2">
      <c r="A7241"/>
      <c r="B7241"/>
      <c r="C7241"/>
      <c r="D7241"/>
      <c r="E7241"/>
      <c r="F7241"/>
      <c r="G7241"/>
      <c r="H7241"/>
      <c r="I7241"/>
      <c r="J7241"/>
      <c r="K7241" s="1"/>
      <c r="L7241" s="2"/>
    </row>
    <row r="7242" spans="1:12" x14ac:dyDescent="0.2">
      <c r="A7242"/>
      <c r="B7242"/>
      <c r="C7242"/>
      <c r="D7242"/>
      <c r="E7242"/>
      <c r="F7242"/>
      <c r="G7242"/>
      <c r="H7242"/>
      <c r="I7242"/>
      <c r="J7242"/>
      <c r="K7242" s="1"/>
      <c r="L7242" s="2"/>
    </row>
    <row r="7243" spans="1:12" x14ac:dyDescent="0.2">
      <c r="A7243"/>
      <c r="B7243"/>
      <c r="C7243"/>
      <c r="D7243"/>
      <c r="E7243"/>
      <c r="F7243"/>
      <c r="G7243"/>
      <c r="H7243"/>
      <c r="I7243"/>
      <c r="J7243"/>
      <c r="K7243" s="1"/>
      <c r="L7243" s="2"/>
    </row>
    <row r="7244" spans="1:12" x14ac:dyDescent="0.2">
      <c r="A7244"/>
      <c r="B7244"/>
      <c r="C7244"/>
      <c r="D7244"/>
      <c r="E7244"/>
      <c r="F7244"/>
      <c r="G7244"/>
      <c r="H7244"/>
      <c r="I7244"/>
      <c r="J7244"/>
      <c r="K7244" s="1"/>
      <c r="L7244" s="2"/>
    </row>
    <row r="7245" spans="1:12" x14ac:dyDescent="0.2">
      <c r="A7245"/>
      <c r="B7245"/>
      <c r="C7245"/>
      <c r="D7245"/>
      <c r="E7245"/>
      <c r="F7245"/>
      <c r="G7245"/>
      <c r="H7245"/>
      <c r="I7245"/>
      <c r="J7245"/>
      <c r="K7245" s="1"/>
      <c r="L7245" s="2"/>
    </row>
    <row r="7246" spans="1:12" x14ac:dyDescent="0.2">
      <c r="A7246"/>
      <c r="B7246"/>
      <c r="C7246"/>
      <c r="D7246"/>
      <c r="E7246"/>
      <c r="F7246"/>
      <c r="G7246"/>
      <c r="H7246"/>
      <c r="I7246"/>
      <c r="J7246"/>
      <c r="K7246" s="1"/>
      <c r="L7246" s="2"/>
    </row>
    <row r="7247" spans="1:12" x14ac:dyDescent="0.2">
      <c r="A7247"/>
      <c r="B7247"/>
      <c r="C7247"/>
      <c r="D7247"/>
      <c r="E7247"/>
      <c r="F7247"/>
      <c r="G7247"/>
      <c r="H7247"/>
      <c r="I7247"/>
      <c r="J7247"/>
      <c r="K7247" s="1"/>
      <c r="L7247" s="2"/>
    </row>
    <row r="7248" spans="1:12" x14ac:dyDescent="0.2">
      <c r="A7248"/>
      <c r="B7248"/>
      <c r="C7248"/>
      <c r="D7248"/>
      <c r="E7248"/>
      <c r="F7248"/>
      <c r="G7248"/>
      <c r="H7248"/>
      <c r="I7248"/>
      <c r="J7248"/>
      <c r="K7248" s="1"/>
      <c r="L7248" s="2"/>
    </row>
    <row r="7249" spans="1:12" x14ac:dyDescent="0.2">
      <c r="A7249"/>
      <c r="B7249"/>
      <c r="C7249"/>
      <c r="D7249"/>
      <c r="E7249"/>
      <c r="F7249"/>
      <c r="G7249"/>
      <c r="H7249"/>
      <c r="I7249"/>
      <c r="J7249"/>
      <c r="K7249" s="1"/>
      <c r="L7249" s="2"/>
    </row>
    <row r="7250" spans="1:12" x14ac:dyDescent="0.2">
      <c r="A7250"/>
      <c r="B7250"/>
      <c r="C7250"/>
      <c r="D7250"/>
      <c r="E7250"/>
      <c r="F7250"/>
      <c r="G7250"/>
      <c r="H7250"/>
      <c r="I7250"/>
      <c r="J7250"/>
      <c r="K7250" s="1"/>
      <c r="L7250" s="2"/>
    </row>
    <row r="7251" spans="1:12" x14ac:dyDescent="0.2">
      <c r="A7251"/>
      <c r="B7251"/>
      <c r="C7251"/>
      <c r="D7251"/>
      <c r="E7251"/>
      <c r="F7251"/>
      <c r="G7251"/>
      <c r="H7251"/>
      <c r="I7251"/>
      <c r="J7251"/>
      <c r="K7251" s="1"/>
      <c r="L7251" s="2"/>
    </row>
    <row r="7252" spans="1:12" x14ac:dyDescent="0.2">
      <c r="A7252"/>
      <c r="B7252"/>
      <c r="C7252"/>
      <c r="D7252"/>
      <c r="E7252"/>
      <c r="F7252"/>
      <c r="G7252"/>
      <c r="H7252"/>
      <c r="I7252"/>
      <c r="J7252"/>
      <c r="K7252" s="1"/>
      <c r="L7252" s="2"/>
    </row>
    <row r="7253" spans="1:12" x14ac:dyDescent="0.2">
      <c r="A7253"/>
      <c r="B7253"/>
      <c r="C7253"/>
      <c r="D7253"/>
      <c r="E7253"/>
      <c r="F7253"/>
      <c r="G7253"/>
      <c r="H7253"/>
      <c r="I7253"/>
      <c r="J7253"/>
      <c r="K7253" s="1"/>
      <c r="L7253" s="2"/>
    </row>
    <row r="7254" spans="1:12" x14ac:dyDescent="0.2">
      <c r="A7254"/>
      <c r="B7254"/>
      <c r="C7254"/>
      <c r="D7254"/>
      <c r="E7254"/>
      <c r="F7254"/>
      <c r="G7254"/>
      <c r="H7254"/>
      <c r="I7254"/>
      <c r="J7254"/>
      <c r="K7254" s="1"/>
      <c r="L7254" s="2"/>
    </row>
    <row r="7255" spans="1:12" x14ac:dyDescent="0.2">
      <c r="A7255"/>
      <c r="B7255"/>
      <c r="C7255"/>
      <c r="D7255"/>
      <c r="E7255"/>
      <c r="F7255"/>
      <c r="G7255"/>
      <c r="H7255"/>
      <c r="I7255"/>
      <c r="J7255"/>
      <c r="K7255" s="1"/>
      <c r="L7255" s="2"/>
    </row>
    <row r="7256" spans="1:12" x14ac:dyDescent="0.2">
      <c r="A7256"/>
      <c r="B7256"/>
      <c r="C7256"/>
      <c r="D7256"/>
      <c r="E7256"/>
      <c r="F7256"/>
      <c r="G7256"/>
      <c r="H7256"/>
      <c r="I7256"/>
      <c r="J7256"/>
      <c r="K7256" s="1"/>
      <c r="L7256" s="2"/>
    </row>
    <row r="7257" spans="1:12" x14ac:dyDescent="0.2">
      <c r="A7257"/>
      <c r="B7257"/>
      <c r="C7257"/>
      <c r="D7257"/>
      <c r="E7257"/>
      <c r="F7257"/>
      <c r="G7257"/>
      <c r="H7257"/>
      <c r="I7257"/>
      <c r="J7257"/>
      <c r="K7257" s="1"/>
      <c r="L7257" s="2"/>
    </row>
    <row r="7258" spans="1:12" x14ac:dyDescent="0.2">
      <c r="A7258"/>
      <c r="B7258"/>
      <c r="C7258"/>
      <c r="D7258"/>
      <c r="E7258"/>
      <c r="F7258"/>
      <c r="G7258"/>
      <c r="H7258"/>
      <c r="I7258"/>
      <c r="J7258"/>
      <c r="K7258" s="1"/>
      <c r="L7258" s="2"/>
    </row>
    <row r="7259" spans="1:12" x14ac:dyDescent="0.2">
      <c r="A7259"/>
      <c r="B7259"/>
      <c r="C7259"/>
      <c r="D7259"/>
      <c r="E7259"/>
      <c r="F7259"/>
      <c r="G7259"/>
      <c r="H7259"/>
      <c r="I7259"/>
      <c r="J7259"/>
      <c r="K7259" s="1"/>
      <c r="L7259" s="2"/>
    </row>
    <row r="7260" spans="1:12" x14ac:dyDescent="0.2">
      <c r="A7260"/>
      <c r="B7260"/>
      <c r="C7260"/>
      <c r="D7260"/>
      <c r="E7260"/>
      <c r="F7260"/>
      <c r="G7260"/>
      <c r="H7260"/>
      <c r="I7260"/>
      <c r="J7260"/>
      <c r="K7260" s="1"/>
      <c r="L7260" s="2"/>
    </row>
    <row r="7261" spans="1:12" x14ac:dyDescent="0.2">
      <c r="A7261"/>
      <c r="B7261"/>
      <c r="C7261"/>
      <c r="D7261"/>
      <c r="E7261"/>
      <c r="F7261"/>
      <c r="G7261"/>
      <c r="H7261"/>
      <c r="I7261"/>
      <c r="J7261"/>
      <c r="K7261" s="1"/>
      <c r="L7261" s="2"/>
    </row>
    <row r="7262" spans="1:12" x14ac:dyDescent="0.2">
      <c r="A7262"/>
      <c r="B7262"/>
      <c r="C7262"/>
      <c r="D7262"/>
      <c r="E7262"/>
      <c r="F7262"/>
      <c r="G7262"/>
      <c r="H7262"/>
      <c r="I7262"/>
      <c r="J7262"/>
      <c r="K7262" s="1"/>
      <c r="L7262" s="2"/>
    </row>
    <row r="7263" spans="1:12" x14ac:dyDescent="0.2">
      <c r="A7263"/>
      <c r="B7263"/>
      <c r="C7263"/>
      <c r="D7263"/>
      <c r="E7263"/>
      <c r="F7263"/>
      <c r="G7263"/>
      <c r="H7263"/>
      <c r="I7263"/>
      <c r="J7263"/>
      <c r="K7263" s="1"/>
      <c r="L7263" s="2"/>
    </row>
    <row r="7264" spans="1:12" x14ac:dyDescent="0.2">
      <c r="A7264"/>
      <c r="B7264"/>
      <c r="C7264"/>
      <c r="D7264"/>
      <c r="E7264"/>
      <c r="F7264"/>
      <c r="G7264"/>
      <c r="H7264"/>
      <c r="I7264"/>
      <c r="J7264"/>
      <c r="K7264" s="1"/>
      <c r="L7264" s="2"/>
    </row>
    <row r="7265" spans="1:12" x14ac:dyDescent="0.2">
      <c r="A7265"/>
      <c r="B7265"/>
      <c r="C7265"/>
      <c r="D7265"/>
      <c r="E7265"/>
      <c r="F7265"/>
      <c r="G7265"/>
      <c r="H7265"/>
      <c r="I7265"/>
      <c r="J7265"/>
      <c r="K7265" s="1"/>
      <c r="L7265" s="2"/>
    </row>
    <row r="7266" spans="1:12" x14ac:dyDescent="0.2">
      <c r="A7266"/>
      <c r="B7266"/>
      <c r="C7266"/>
      <c r="D7266"/>
      <c r="E7266"/>
      <c r="F7266"/>
      <c r="G7266"/>
      <c r="H7266"/>
      <c r="I7266"/>
      <c r="J7266"/>
      <c r="K7266" s="1"/>
      <c r="L7266" s="2"/>
    </row>
    <row r="7267" spans="1:12" x14ac:dyDescent="0.2">
      <c r="A7267"/>
      <c r="B7267"/>
      <c r="C7267"/>
      <c r="D7267"/>
      <c r="E7267"/>
      <c r="F7267"/>
      <c r="G7267"/>
      <c r="H7267"/>
      <c r="I7267"/>
      <c r="J7267"/>
      <c r="K7267" s="1"/>
      <c r="L7267" s="2"/>
    </row>
    <row r="7268" spans="1:12" x14ac:dyDescent="0.2">
      <c r="A7268"/>
      <c r="B7268"/>
      <c r="C7268"/>
      <c r="D7268"/>
      <c r="E7268"/>
      <c r="F7268"/>
      <c r="G7268"/>
      <c r="H7268"/>
      <c r="I7268"/>
      <c r="J7268"/>
      <c r="K7268" s="1"/>
      <c r="L7268" s="2"/>
    </row>
    <row r="7269" spans="1:12" x14ac:dyDescent="0.2">
      <c r="A7269"/>
      <c r="B7269"/>
      <c r="C7269"/>
      <c r="D7269"/>
      <c r="E7269"/>
      <c r="F7269"/>
      <c r="G7269"/>
      <c r="H7269"/>
      <c r="I7269"/>
      <c r="J7269"/>
      <c r="K7269" s="1"/>
      <c r="L7269" s="2"/>
    </row>
    <row r="7270" spans="1:12" x14ac:dyDescent="0.2">
      <c r="A7270"/>
      <c r="B7270"/>
      <c r="C7270"/>
      <c r="D7270"/>
      <c r="E7270"/>
      <c r="F7270"/>
      <c r="G7270"/>
      <c r="H7270"/>
      <c r="I7270"/>
      <c r="J7270"/>
      <c r="K7270" s="1"/>
      <c r="L7270" s="2"/>
    </row>
    <row r="7271" spans="1:12" x14ac:dyDescent="0.2">
      <c r="A7271"/>
      <c r="B7271"/>
      <c r="C7271"/>
      <c r="D7271"/>
      <c r="E7271"/>
      <c r="F7271"/>
      <c r="G7271"/>
      <c r="H7271"/>
      <c r="I7271"/>
      <c r="J7271"/>
      <c r="K7271" s="1"/>
      <c r="L7271" s="2"/>
    </row>
    <row r="7272" spans="1:12" x14ac:dyDescent="0.2">
      <c r="A7272"/>
      <c r="B7272"/>
      <c r="C7272"/>
      <c r="D7272"/>
      <c r="E7272"/>
      <c r="F7272"/>
      <c r="G7272"/>
      <c r="H7272"/>
      <c r="I7272"/>
      <c r="J7272"/>
      <c r="K7272" s="1"/>
      <c r="L7272" s="2"/>
    </row>
    <row r="7273" spans="1:12" x14ac:dyDescent="0.2">
      <c r="A7273"/>
      <c r="B7273"/>
      <c r="C7273"/>
      <c r="D7273"/>
      <c r="E7273"/>
      <c r="F7273"/>
      <c r="G7273"/>
      <c r="H7273"/>
      <c r="I7273"/>
      <c r="J7273"/>
      <c r="K7273" s="1"/>
      <c r="L7273" s="2"/>
    </row>
    <row r="7274" spans="1:12" x14ac:dyDescent="0.2">
      <c r="A7274"/>
      <c r="B7274"/>
      <c r="C7274"/>
      <c r="D7274"/>
      <c r="E7274"/>
      <c r="F7274"/>
      <c r="G7274"/>
      <c r="H7274"/>
      <c r="I7274"/>
      <c r="J7274"/>
      <c r="K7274" s="1"/>
      <c r="L7274" s="2"/>
    </row>
    <row r="7275" spans="1:12" x14ac:dyDescent="0.2">
      <c r="A7275"/>
      <c r="B7275"/>
      <c r="C7275"/>
      <c r="D7275"/>
      <c r="E7275"/>
      <c r="F7275"/>
      <c r="G7275"/>
      <c r="H7275"/>
      <c r="I7275"/>
      <c r="J7275"/>
      <c r="K7275" s="1"/>
      <c r="L7275" s="2"/>
    </row>
    <row r="7276" spans="1:12" x14ac:dyDescent="0.2">
      <c r="A7276"/>
      <c r="B7276"/>
      <c r="C7276"/>
      <c r="D7276"/>
      <c r="E7276"/>
      <c r="F7276"/>
      <c r="G7276"/>
      <c r="H7276"/>
      <c r="I7276"/>
      <c r="J7276"/>
      <c r="K7276" s="1"/>
      <c r="L7276" s="2"/>
    </row>
    <row r="7277" spans="1:12" x14ac:dyDescent="0.2">
      <c r="A7277"/>
      <c r="B7277"/>
      <c r="C7277"/>
      <c r="D7277"/>
      <c r="E7277"/>
      <c r="F7277"/>
      <c r="G7277"/>
      <c r="H7277"/>
      <c r="I7277"/>
      <c r="J7277"/>
      <c r="K7277" s="1"/>
      <c r="L7277" s="2"/>
    </row>
    <row r="7278" spans="1:12" x14ac:dyDescent="0.2">
      <c r="A7278"/>
      <c r="B7278"/>
      <c r="C7278"/>
      <c r="D7278"/>
      <c r="E7278"/>
      <c r="F7278"/>
      <c r="G7278"/>
      <c r="H7278"/>
      <c r="I7278"/>
      <c r="J7278"/>
      <c r="K7278" s="1"/>
      <c r="L7278" s="2"/>
    </row>
    <row r="7279" spans="1:12" x14ac:dyDescent="0.2">
      <c r="A7279"/>
      <c r="B7279"/>
      <c r="C7279"/>
      <c r="D7279"/>
      <c r="E7279"/>
      <c r="F7279"/>
      <c r="G7279"/>
      <c r="H7279"/>
      <c r="I7279"/>
      <c r="J7279"/>
      <c r="K7279" s="1"/>
      <c r="L7279" s="2"/>
    </row>
    <row r="7280" spans="1:12" x14ac:dyDescent="0.2">
      <c r="A7280"/>
      <c r="B7280"/>
      <c r="C7280"/>
      <c r="D7280"/>
      <c r="E7280"/>
      <c r="F7280"/>
      <c r="G7280"/>
      <c r="H7280"/>
      <c r="I7280"/>
      <c r="J7280"/>
      <c r="K7280" s="1"/>
      <c r="L7280" s="2"/>
    </row>
    <row r="7281" spans="1:12" x14ac:dyDescent="0.2">
      <c r="A7281"/>
      <c r="B7281"/>
      <c r="C7281"/>
      <c r="D7281"/>
      <c r="E7281"/>
      <c r="F7281"/>
      <c r="G7281"/>
      <c r="H7281"/>
      <c r="I7281"/>
      <c r="J7281"/>
      <c r="K7281" s="1"/>
      <c r="L7281" s="2"/>
    </row>
    <row r="7282" spans="1:12" x14ac:dyDescent="0.2">
      <c r="A7282"/>
      <c r="B7282"/>
      <c r="C7282"/>
      <c r="D7282"/>
      <c r="E7282"/>
      <c r="F7282"/>
      <c r="G7282"/>
      <c r="H7282"/>
      <c r="I7282"/>
      <c r="J7282"/>
      <c r="K7282" s="1"/>
      <c r="L7282" s="2"/>
    </row>
    <row r="7283" spans="1:12" x14ac:dyDescent="0.2">
      <c r="A7283"/>
      <c r="B7283"/>
      <c r="C7283"/>
      <c r="D7283"/>
      <c r="E7283"/>
      <c r="F7283"/>
      <c r="G7283"/>
      <c r="H7283"/>
      <c r="I7283"/>
      <c r="J7283"/>
      <c r="K7283" s="1"/>
      <c r="L7283" s="2"/>
    </row>
    <row r="7284" spans="1:12" x14ac:dyDescent="0.2">
      <c r="A7284"/>
      <c r="B7284"/>
      <c r="C7284"/>
      <c r="D7284"/>
      <c r="E7284"/>
      <c r="F7284"/>
      <c r="G7284"/>
      <c r="H7284"/>
      <c r="I7284"/>
      <c r="J7284"/>
      <c r="K7284" s="1"/>
      <c r="L7284" s="2"/>
    </row>
    <row r="7285" spans="1:12" x14ac:dyDescent="0.2">
      <c r="A7285"/>
      <c r="B7285"/>
      <c r="C7285"/>
      <c r="D7285"/>
      <c r="E7285"/>
      <c r="F7285"/>
      <c r="G7285"/>
      <c r="H7285"/>
      <c r="I7285"/>
      <c r="J7285"/>
      <c r="K7285" s="1"/>
      <c r="L7285" s="2"/>
    </row>
    <row r="7286" spans="1:12" x14ac:dyDescent="0.2">
      <c r="A7286"/>
      <c r="B7286"/>
      <c r="C7286"/>
      <c r="D7286"/>
      <c r="E7286"/>
      <c r="F7286"/>
      <c r="G7286"/>
      <c r="H7286"/>
      <c r="I7286"/>
      <c r="J7286"/>
      <c r="K7286" s="1"/>
      <c r="L7286" s="2"/>
    </row>
    <row r="7287" spans="1:12" x14ac:dyDescent="0.2">
      <c r="A7287"/>
      <c r="B7287"/>
      <c r="C7287"/>
      <c r="D7287"/>
      <c r="E7287"/>
      <c r="F7287"/>
      <c r="G7287"/>
      <c r="H7287"/>
      <c r="I7287"/>
      <c r="J7287"/>
      <c r="K7287" s="1"/>
      <c r="L7287" s="2"/>
    </row>
    <row r="7288" spans="1:12" x14ac:dyDescent="0.2">
      <c r="A7288"/>
      <c r="B7288"/>
      <c r="C7288"/>
      <c r="D7288"/>
      <c r="E7288"/>
      <c r="F7288"/>
      <c r="G7288"/>
      <c r="H7288"/>
      <c r="I7288"/>
      <c r="J7288"/>
      <c r="K7288" s="1"/>
      <c r="L7288" s="2"/>
    </row>
    <row r="7289" spans="1:12" x14ac:dyDescent="0.2">
      <c r="A7289"/>
      <c r="B7289"/>
      <c r="C7289"/>
      <c r="D7289"/>
      <c r="E7289"/>
      <c r="F7289"/>
      <c r="G7289"/>
      <c r="H7289"/>
      <c r="I7289"/>
      <c r="J7289"/>
      <c r="K7289" s="1"/>
      <c r="L7289" s="2"/>
    </row>
    <row r="7290" spans="1:12" x14ac:dyDescent="0.2">
      <c r="A7290"/>
      <c r="B7290"/>
      <c r="C7290"/>
      <c r="D7290"/>
      <c r="E7290"/>
      <c r="F7290"/>
      <c r="G7290"/>
      <c r="H7290"/>
      <c r="I7290"/>
      <c r="J7290"/>
      <c r="K7290" s="1"/>
      <c r="L7290" s="2"/>
    </row>
    <row r="7291" spans="1:12" x14ac:dyDescent="0.2">
      <c r="A7291"/>
      <c r="B7291"/>
      <c r="C7291"/>
      <c r="D7291"/>
      <c r="E7291"/>
      <c r="F7291"/>
      <c r="G7291"/>
      <c r="H7291"/>
      <c r="I7291"/>
      <c r="J7291"/>
      <c r="K7291" s="1"/>
      <c r="L7291" s="2"/>
    </row>
    <row r="7292" spans="1:12" x14ac:dyDescent="0.2">
      <c r="A7292"/>
      <c r="B7292"/>
      <c r="C7292"/>
      <c r="D7292"/>
      <c r="E7292"/>
      <c r="F7292"/>
      <c r="G7292"/>
      <c r="H7292"/>
      <c r="I7292"/>
      <c r="J7292"/>
      <c r="K7292" s="1"/>
      <c r="L7292" s="2"/>
    </row>
    <row r="7293" spans="1:12" x14ac:dyDescent="0.2">
      <c r="A7293"/>
      <c r="B7293"/>
      <c r="C7293"/>
      <c r="D7293"/>
      <c r="E7293"/>
      <c r="F7293"/>
      <c r="G7293"/>
      <c r="H7293"/>
      <c r="I7293"/>
      <c r="J7293"/>
      <c r="K7293" s="1"/>
      <c r="L7293" s="2"/>
    </row>
    <row r="7294" spans="1:12" x14ac:dyDescent="0.2">
      <c r="A7294"/>
      <c r="B7294"/>
      <c r="C7294"/>
      <c r="D7294"/>
      <c r="E7294"/>
      <c r="F7294"/>
      <c r="G7294"/>
      <c r="H7294"/>
      <c r="I7294"/>
      <c r="J7294"/>
      <c r="K7294" s="1"/>
      <c r="L7294" s="2"/>
    </row>
    <row r="7295" spans="1:12" x14ac:dyDescent="0.2">
      <c r="A7295"/>
      <c r="B7295"/>
      <c r="C7295"/>
      <c r="D7295"/>
      <c r="E7295"/>
      <c r="F7295"/>
      <c r="G7295"/>
      <c r="H7295"/>
      <c r="I7295"/>
      <c r="J7295"/>
      <c r="K7295" s="1"/>
      <c r="L7295" s="2"/>
    </row>
    <row r="7296" spans="1:12" x14ac:dyDescent="0.2">
      <c r="A7296"/>
      <c r="B7296"/>
      <c r="C7296"/>
      <c r="D7296"/>
      <c r="E7296"/>
      <c r="F7296"/>
      <c r="G7296"/>
      <c r="H7296"/>
      <c r="I7296"/>
      <c r="J7296"/>
      <c r="K7296" s="1"/>
      <c r="L7296" s="2"/>
    </row>
    <row r="7297" spans="1:12" x14ac:dyDescent="0.2">
      <c r="A7297"/>
      <c r="B7297"/>
      <c r="C7297"/>
      <c r="D7297"/>
      <c r="E7297"/>
      <c r="F7297"/>
      <c r="G7297"/>
      <c r="H7297"/>
      <c r="I7297"/>
      <c r="J7297"/>
      <c r="K7297" s="1"/>
      <c r="L7297" s="2"/>
    </row>
    <row r="7298" spans="1:12" x14ac:dyDescent="0.2">
      <c r="A7298"/>
      <c r="B7298"/>
      <c r="C7298"/>
      <c r="D7298"/>
      <c r="E7298"/>
      <c r="F7298"/>
      <c r="G7298"/>
      <c r="H7298"/>
      <c r="I7298"/>
      <c r="J7298"/>
      <c r="K7298" s="1"/>
      <c r="L7298" s="2"/>
    </row>
    <row r="7299" spans="1:12" x14ac:dyDescent="0.2">
      <c r="A7299"/>
      <c r="B7299"/>
      <c r="C7299"/>
      <c r="D7299"/>
      <c r="E7299"/>
      <c r="F7299"/>
      <c r="G7299"/>
      <c r="H7299"/>
      <c r="I7299"/>
      <c r="J7299"/>
      <c r="K7299" s="1"/>
      <c r="L7299" s="2"/>
    </row>
    <row r="7300" spans="1:12" x14ac:dyDescent="0.2">
      <c r="A7300"/>
      <c r="B7300"/>
      <c r="C7300"/>
      <c r="D7300"/>
      <c r="E7300"/>
      <c r="F7300"/>
      <c r="G7300"/>
      <c r="H7300"/>
      <c r="I7300"/>
      <c r="J7300"/>
      <c r="K7300" s="1"/>
      <c r="L7300" s="2"/>
    </row>
    <row r="7301" spans="1:12" x14ac:dyDescent="0.2">
      <c r="A7301"/>
      <c r="B7301"/>
      <c r="C7301"/>
      <c r="D7301"/>
      <c r="E7301"/>
      <c r="F7301"/>
      <c r="G7301"/>
      <c r="H7301"/>
      <c r="I7301"/>
      <c r="J7301"/>
      <c r="K7301" s="1"/>
      <c r="L7301" s="2"/>
    </row>
    <row r="7302" spans="1:12" x14ac:dyDescent="0.2">
      <c r="A7302"/>
      <c r="B7302"/>
      <c r="C7302"/>
      <c r="D7302"/>
      <c r="E7302"/>
      <c r="F7302"/>
      <c r="G7302"/>
      <c r="H7302"/>
      <c r="I7302"/>
      <c r="J7302"/>
      <c r="K7302" s="1"/>
      <c r="L7302" s="2"/>
    </row>
    <row r="7303" spans="1:12" x14ac:dyDescent="0.2">
      <c r="A7303"/>
      <c r="B7303"/>
      <c r="C7303"/>
      <c r="D7303"/>
      <c r="E7303"/>
      <c r="F7303"/>
      <c r="G7303"/>
      <c r="H7303"/>
      <c r="I7303"/>
      <c r="J7303"/>
      <c r="K7303" s="1"/>
      <c r="L7303" s="2"/>
    </row>
    <row r="7304" spans="1:12" x14ac:dyDescent="0.2">
      <c r="A7304"/>
      <c r="B7304"/>
      <c r="C7304"/>
      <c r="D7304"/>
      <c r="E7304"/>
      <c r="F7304"/>
      <c r="G7304"/>
      <c r="H7304"/>
      <c r="I7304"/>
      <c r="J7304"/>
      <c r="K7304" s="1"/>
      <c r="L7304" s="2"/>
    </row>
    <row r="7305" spans="1:12" x14ac:dyDescent="0.2">
      <c r="A7305"/>
      <c r="B7305"/>
      <c r="C7305"/>
      <c r="D7305"/>
      <c r="E7305"/>
      <c r="F7305"/>
      <c r="G7305"/>
      <c r="H7305"/>
      <c r="I7305"/>
      <c r="J7305"/>
      <c r="K7305" s="1"/>
      <c r="L7305" s="2"/>
    </row>
    <row r="7306" spans="1:12" x14ac:dyDescent="0.2">
      <c r="A7306"/>
      <c r="B7306"/>
      <c r="C7306"/>
      <c r="D7306"/>
      <c r="E7306"/>
      <c r="F7306"/>
      <c r="G7306"/>
      <c r="H7306"/>
      <c r="I7306"/>
      <c r="J7306"/>
      <c r="K7306" s="1"/>
      <c r="L7306" s="2"/>
    </row>
    <row r="7307" spans="1:12" x14ac:dyDescent="0.2">
      <c r="A7307"/>
      <c r="B7307"/>
      <c r="C7307"/>
      <c r="D7307"/>
      <c r="E7307"/>
      <c r="F7307"/>
      <c r="G7307"/>
      <c r="H7307"/>
      <c r="I7307"/>
      <c r="J7307"/>
      <c r="K7307" s="1"/>
      <c r="L7307" s="2"/>
    </row>
    <row r="7308" spans="1:12" x14ac:dyDescent="0.2">
      <c r="A7308"/>
      <c r="B7308"/>
      <c r="C7308"/>
      <c r="D7308"/>
      <c r="E7308"/>
      <c r="F7308"/>
      <c r="G7308"/>
      <c r="H7308"/>
      <c r="I7308"/>
      <c r="J7308"/>
      <c r="K7308" s="1"/>
      <c r="L7308" s="2"/>
    </row>
    <row r="7309" spans="1:12" x14ac:dyDescent="0.2">
      <c r="A7309"/>
      <c r="B7309"/>
      <c r="C7309"/>
      <c r="D7309"/>
      <c r="E7309"/>
      <c r="F7309"/>
      <c r="G7309"/>
      <c r="H7309"/>
      <c r="I7309"/>
      <c r="J7309"/>
      <c r="K7309" s="1"/>
      <c r="L7309" s="2"/>
    </row>
    <row r="7310" spans="1:12" x14ac:dyDescent="0.2">
      <c r="A7310"/>
      <c r="B7310"/>
      <c r="C7310"/>
      <c r="D7310"/>
      <c r="E7310"/>
      <c r="F7310"/>
      <c r="G7310"/>
      <c r="H7310"/>
      <c r="I7310"/>
      <c r="J7310"/>
      <c r="K7310" s="1"/>
      <c r="L7310" s="2"/>
    </row>
    <row r="7311" spans="1:12" x14ac:dyDescent="0.2">
      <c r="A7311"/>
      <c r="B7311"/>
      <c r="C7311"/>
      <c r="D7311"/>
      <c r="E7311"/>
      <c r="F7311"/>
      <c r="G7311"/>
      <c r="H7311"/>
      <c r="I7311"/>
      <c r="J7311"/>
      <c r="K7311" s="1"/>
      <c r="L7311" s="2"/>
    </row>
    <row r="7312" spans="1:12" x14ac:dyDescent="0.2">
      <c r="A7312"/>
      <c r="B7312"/>
      <c r="C7312"/>
      <c r="D7312"/>
      <c r="E7312"/>
      <c r="F7312"/>
      <c r="G7312"/>
      <c r="H7312"/>
      <c r="I7312"/>
      <c r="J7312"/>
      <c r="K7312" s="1"/>
      <c r="L7312" s="2"/>
    </row>
    <row r="7313" spans="1:12" x14ac:dyDescent="0.2">
      <c r="A7313"/>
      <c r="B7313"/>
      <c r="C7313"/>
      <c r="D7313"/>
      <c r="E7313"/>
      <c r="F7313"/>
      <c r="G7313"/>
      <c r="H7313"/>
      <c r="I7313"/>
      <c r="J7313"/>
      <c r="K7313" s="1"/>
      <c r="L7313" s="2"/>
    </row>
    <row r="7314" spans="1:12" x14ac:dyDescent="0.2">
      <c r="A7314"/>
      <c r="B7314"/>
      <c r="C7314"/>
      <c r="D7314"/>
      <c r="E7314"/>
      <c r="F7314"/>
      <c r="G7314"/>
      <c r="H7314"/>
      <c r="I7314"/>
      <c r="J7314"/>
      <c r="K7314" s="1"/>
      <c r="L7314" s="2"/>
    </row>
    <row r="7315" spans="1:12" x14ac:dyDescent="0.2">
      <c r="A7315"/>
      <c r="B7315"/>
      <c r="C7315"/>
      <c r="D7315"/>
      <c r="E7315"/>
      <c r="F7315"/>
      <c r="G7315"/>
      <c r="H7315"/>
      <c r="I7315"/>
      <c r="J7315"/>
      <c r="K7315" s="1"/>
      <c r="L7315" s="2"/>
    </row>
    <row r="7316" spans="1:12" x14ac:dyDescent="0.2">
      <c r="A7316"/>
      <c r="B7316"/>
      <c r="C7316"/>
      <c r="D7316"/>
      <c r="E7316"/>
      <c r="F7316"/>
      <c r="G7316"/>
      <c r="H7316"/>
      <c r="I7316"/>
      <c r="J7316"/>
      <c r="K7316" s="1"/>
      <c r="L7316" s="2"/>
    </row>
    <row r="7317" spans="1:12" x14ac:dyDescent="0.2">
      <c r="A7317"/>
      <c r="B7317"/>
      <c r="C7317"/>
      <c r="D7317"/>
      <c r="E7317"/>
      <c r="F7317"/>
      <c r="G7317"/>
      <c r="H7317"/>
      <c r="I7317"/>
      <c r="J7317"/>
      <c r="K7317" s="1"/>
      <c r="L7317" s="2"/>
    </row>
    <row r="7318" spans="1:12" x14ac:dyDescent="0.2">
      <c r="A7318"/>
      <c r="B7318"/>
      <c r="C7318"/>
      <c r="D7318"/>
      <c r="E7318"/>
      <c r="F7318"/>
      <c r="G7318"/>
      <c r="H7318"/>
      <c r="I7318"/>
      <c r="J7318"/>
      <c r="K7318" s="1"/>
      <c r="L7318" s="2"/>
    </row>
    <row r="7319" spans="1:12" x14ac:dyDescent="0.2">
      <c r="A7319"/>
      <c r="B7319"/>
      <c r="C7319"/>
      <c r="D7319"/>
      <c r="E7319"/>
      <c r="F7319"/>
      <c r="G7319"/>
      <c r="H7319"/>
      <c r="I7319"/>
      <c r="J7319"/>
      <c r="K7319" s="1"/>
      <c r="L7319" s="2"/>
    </row>
    <row r="7320" spans="1:12" x14ac:dyDescent="0.2">
      <c r="A7320"/>
      <c r="B7320"/>
      <c r="C7320"/>
      <c r="D7320"/>
      <c r="E7320"/>
      <c r="F7320"/>
      <c r="G7320"/>
      <c r="H7320"/>
      <c r="I7320"/>
      <c r="J7320"/>
      <c r="K7320" s="1"/>
      <c r="L7320" s="2"/>
    </row>
    <row r="7321" spans="1:12" x14ac:dyDescent="0.2">
      <c r="A7321"/>
      <c r="B7321"/>
      <c r="C7321"/>
      <c r="D7321"/>
      <c r="E7321"/>
      <c r="F7321"/>
      <c r="G7321"/>
      <c r="H7321"/>
      <c r="I7321"/>
      <c r="J7321"/>
      <c r="K7321" s="1"/>
      <c r="L7321" s="2"/>
    </row>
    <row r="7322" spans="1:12" x14ac:dyDescent="0.2">
      <c r="A7322"/>
      <c r="B7322"/>
      <c r="C7322"/>
      <c r="D7322"/>
      <c r="E7322"/>
      <c r="F7322"/>
      <c r="G7322"/>
      <c r="H7322"/>
      <c r="I7322"/>
      <c r="J7322"/>
      <c r="K7322" s="1"/>
      <c r="L7322" s="2"/>
    </row>
    <row r="7323" spans="1:12" x14ac:dyDescent="0.2">
      <c r="A7323"/>
      <c r="B7323"/>
      <c r="C7323"/>
      <c r="D7323"/>
      <c r="E7323"/>
      <c r="F7323"/>
      <c r="G7323"/>
      <c r="H7323"/>
      <c r="I7323"/>
      <c r="J7323"/>
      <c r="K7323" s="1"/>
      <c r="L7323" s="2"/>
    </row>
    <row r="7324" spans="1:12" x14ac:dyDescent="0.2">
      <c r="A7324"/>
      <c r="B7324"/>
      <c r="C7324"/>
      <c r="D7324"/>
      <c r="E7324"/>
      <c r="F7324"/>
      <c r="G7324"/>
      <c r="H7324"/>
      <c r="I7324"/>
      <c r="J7324"/>
      <c r="K7324" s="1"/>
      <c r="L7324" s="2"/>
    </row>
    <row r="7325" spans="1:12" x14ac:dyDescent="0.2">
      <c r="A7325"/>
      <c r="B7325"/>
      <c r="C7325"/>
      <c r="D7325"/>
      <c r="E7325"/>
      <c r="F7325"/>
      <c r="G7325"/>
      <c r="H7325"/>
      <c r="I7325"/>
      <c r="J7325"/>
      <c r="K7325" s="1"/>
      <c r="L7325" s="2"/>
    </row>
    <row r="7326" spans="1:12" x14ac:dyDescent="0.2">
      <c r="A7326"/>
      <c r="B7326"/>
      <c r="C7326"/>
      <c r="D7326"/>
      <c r="E7326"/>
      <c r="F7326"/>
      <c r="G7326"/>
      <c r="H7326"/>
      <c r="I7326"/>
      <c r="J7326"/>
      <c r="K7326" s="1"/>
      <c r="L7326" s="2"/>
    </row>
    <row r="7327" spans="1:12" x14ac:dyDescent="0.2">
      <c r="A7327"/>
      <c r="B7327"/>
      <c r="C7327"/>
      <c r="D7327"/>
      <c r="E7327"/>
      <c r="F7327"/>
      <c r="G7327"/>
      <c r="H7327"/>
      <c r="I7327"/>
      <c r="J7327"/>
      <c r="K7327" s="1"/>
      <c r="L7327" s="2"/>
    </row>
    <row r="7328" spans="1:12" x14ac:dyDescent="0.2">
      <c r="A7328"/>
      <c r="B7328"/>
      <c r="C7328"/>
      <c r="D7328"/>
      <c r="E7328"/>
      <c r="F7328"/>
      <c r="G7328"/>
      <c r="H7328"/>
      <c r="I7328"/>
      <c r="J7328"/>
      <c r="K7328" s="1"/>
      <c r="L7328" s="2"/>
    </row>
    <row r="7329" spans="1:12" x14ac:dyDescent="0.2">
      <c r="A7329"/>
      <c r="B7329"/>
      <c r="C7329"/>
      <c r="D7329"/>
      <c r="E7329"/>
      <c r="F7329"/>
      <c r="G7329"/>
      <c r="H7329"/>
      <c r="I7329"/>
      <c r="J7329"/>
      <c r="K7329" s="1"/>
      <c r="L7329" s="2"/>
    </row>
    <row r="7330" spans="1:12" x14ac:dyDescent="0.2">
      <c r="A7330"/>
      <c r="B7330"/>
      <c r="C7330"/>
      <c r="D7330"/>
      <c r="E7330"/>
      <c r="F7330"/>
      <c r="G7330"/>
      <c r="H7330"/>
      <c r="I7330"/>
      <c r="J7330"/>
      <c r="K7330" s="1"/>
      <c r="L7330" s="2"/>
    </row>
    <row r="7331" spans="1:12" x14ac:dyDescent="0.2">
      <c r="A7331"/>
      <c r="B7331"/>
      <c r="C7331"/>
      <c r="D7331"/>
      <c r="E7331"/>
      <c r="F7331"/>
      <c r="G7331"/>
      <c r="H7331"/>
      <c r="I7331"/>
      <c r="J7331"/>
      <c r="K7331" s="1"/>
      <c r="L7331" s="2"/>
    </row>
    <row r="7332" spans="1:12" x14ac:dyDescent="0.2">
      <c r="A7332"/>
      <c r="B7332"/>
      <c r="C7332"/>
      <c r="D7332"/>
      <c r="E7332"/>
      <c r="F7332"/>
      <c r="G7332"/>
      <c r="H7332"/>
      <c r="I7332"/>
      <c r="J7332"/>
      <c r="K7332" s="1"/>
      <c r="L7332" s="2"/>
    </row>
    <row r="7333" spans="1:12" x14ac:dyDescent="0.2">
      <c r="A7333"/>
      <c r="B7333"/>
      <c r="C7333"/>
      <c r="D7333"/>
      <c r="E7333"/>
      <c r="F7333"/>
      <c r="G7333"/>
      <c r="H7333"/>
      <c r="I7333"/>
      <c r="J7333"/>
      <c r="K7333" s="1"/>
      <c r="L7333" s="2"/>
    </row>
    <row r="7334" spans="1:12" x14ac:dyDescent="0.2">
      <c r="A7334"/>
      <c r="B7334"/>
      <c r="C7334"/>
      <c r="D7334"/>
      <c r="E7334"/>
      <c r="F7334"/>
      <c r="G7334"/>
      <c r="H7334"/>
      <c r="I7334"/>
      <c r="J7334"/>
      <c r="K7334" s="1"/>
      <c r="L7334" s="2"/>
    </row>
    <row r="7335" spans="1:12" x14ac:dyDescent="0.2">
      <c r="A7335"/>
      <c r="B7335"/>
      <c r="C7335"/>
      <c r="D7335"/>
      <c r="E7335"/>
      <c r="F7335"/>
      <c r="G7335"/>
      <c r="H7335"/>
      <c r="I7335"/>
      <c r="J7335"/>
      <c r="K7335" s="1"/>
      <c r="L7335" s="2"/>
    </row>
    <row r="7336" spans="1:12" x14ac:dyDescent="0.2">
      <c r="A7336"/>
      <c r="B7336"/>
      <c r="C7336"/>
      <c r="D7336"/>
      <c r="E7336"/>
      <c r="F7336"/>
      <c r="G7336"/>
      <c r="H7336"/>
      <c r="I7336"/>
      <c r="J7336"/>
      <c r="K7336" s="1"/>
      <c r="L7336" s="2"/>
    </row>
    <row r="7337" spans="1:12" x14ac:dyDescent="0.2">
      <c r="A7337"/>
      <c r="B7337"/>
      <c r="C7337"/>
      <c r="D7337"/>
      <c r="E7337"/>
      <c r="F7337"/>
      <c r="G7337"/>
      <c r="H7337"/>
      <c r="I7337"/>
      <c r="J7337"/>
      <c r="K7337" s="1"/>
      <c r="L7337" s="2"/>
    </row>
    <row r="7338" spans="1:12" x14ac:dyDescent="0.2">
      <c r="A7338"/>
      <c r="B7338"/>
      <c r="C7338"/>
      <c r="D7338"/>
      <c r="E7338"/>
      <c r="F7338"/>
      <c r="G7338"/>
      <c r="H7338"/>
      <c r="I7338"/>
      <c r="J7338"/>
      <c r="K7338" s="1"/>
      <c r="L7338" s="2"/>
    </row>
    <row r="7339" spans="1:12" x14ac:dyDescent="0.2">
      <c r="A7339"/>
      <c r="B7339"/>
      <c r="C7339"/>
      <c r="D7339"/>
      <c r="E7339"/>
      <c r="F7339"/>
      <c r="G7339"/>
      <c r="H7339"/>
      <c r="I7339"/>
      <c r="J7339"/>
      <c r="K7339" s="1"/>
      <c r="L7339" s="2"/>
    </row>
    <row r="7340" spans="1:12" x14ac:dyDescent="0.2">
      <c r="A7340"/>
      <c r="B7340"/>
      <c r="C7340"/>
      <c r="D7340"/>
      <c r="E7340"/>
      <c r="F7340"/>
      <c r="G7340"/>
      <c r="H7340"/>
      <c r="I7340"/>
      <c r="J7340"/>
      <c r="K7340" s="1"/>
      <c r="L7340" s="2"/>
    </row>
    <row r="7341" spans="1:12" x14ac:dyDescent="0.2">
      <c r="A7341"/>
      <c r="B7341"/>
      <c r="C7341"/>
      <c r="D7341"/>
      <c r="E7341"/>
      <c r="F7341"/>
      <c r="G7341"/>
      <c r="H7341"/>
      <c r="I7341"/>
      <c r="J7341"/>
      <c r="K7341" s="1"/>
      <c r="L7341" s="2"/>
    </row>
    <row r="7342" spans="1:12" x14ac:dyDescent="0.2">
      <c r="A7342"/>
      <c r="B7342"/>
      <c r="C7342"/>
      <c r="D7342"/>
      <c r="E7342"/>
      <c r="F7342"/>
      <c r="G7342"/>
      <c r="H7342"/>
      <c r="I7342"/>
      <c r="J7342"/>
      <c r="K7342" s="1"/>
      <c r="L7342" s="2"/>
    </row>
    <row r="7343" spans="1:12" x14ac:dyDescent="0.2">
      <c r="A7343"/>
      <c r="B7343"/>
      <c r="C7343"/>
      <c r="D7343"/>
      <c r="E7343"/>
      <c r="F7343"/>
      <c r="G7343"/>
      <c r="H7343"/>
      <c r="I7343"/>
      <c r="J7343"/>
      <c r="K7343" s="1"/>
      <c r="L7343" s="2"/>
    </row>
    <row r="7344" spans="1:12" x14ac:dyDescent="0.2">
      <c r="A7344"/>
      <c r="B7344"/>
      <c r="C7344"/>
      <c r="D7344"/>
      <c r="E7344"/>
      <c r="F7344"/>
      <c r="G7344"/>
      <c r="H7344"/>
      <c r="I7344"/>
      <c r="J7344"/>
      <c r="K7344" s="1"/>
      <c r="L7344" s="2"/>
    </row>
    <row r="7345" spans="1:12" x14ac:dyDescent="0.2">
      <c r="A7345"/>
      <c r="B7345"/>
      <c r="C7345"/>
      <c r="D7345"/>
      <c r="E7345"/>
      <c r="F7345"/>
      <c r="G7345"/>
      <c r="H7345"/>
      <c r="I7345"/>
      <c r="J7345"/>
      <c r="K7345" s="1"/>
      <c r="L7345" s="2"/>
    </row>
    <row r="7346" spans="1:12" x14ac:dyDescent="0.2">
      <c r="A7346"/>
      <c r="B7346"/>
      <c r="C7346"/>
      <c r="D7346"/>
      <c r="E7346"/>
      <c r="F7346"/>
      <c r="G7346"/>
      <c r="H7346"/>
      <c r="I7346"/>
      <c r="J7346"/>
      <c r="K7346" s="1"/>
      <c r="L7346" s="2"/>
    </row>
    <row r="7347" spans="1:12" x14ac:dyDescent="0.2">
      <c r="A7347"/>
      <c r="B7347"/>
      <c r="C7347"/>
      <c r="D7347"/>
      <c r="E7347"/>
      <c r="F7347"/>
      <c r="G7347"/>
      <c r="H7347"/>
      <c r="I7347"/>
      <c r="J7347"/>
      <c r="K7347" s="1"/>
      <c r="L7347" s="2"/>
    </row>
    <row r="7348" spans="1:12" x14ac:dyDescent="0.2">
      <c r="A7348"/>
      <c r="B7348"/>
      <c r="C7348"/>
      <c r="D7348"/>
      <c r="E7348"/>
      <c r="F7348"/>
      <c r="G7348"/>
      <c r="H7348"/>
      <c r="I7348"/>
      <c r="J7348"/>
      <c r="K7348" s="1"/>
      <c r="L7348" s="2"/>
    </row>
    <row r="7349" spans="1:12" x14ac:dyDescent="0.2">
      <c r="A7349"/>
      <c r="B7349"/>
      <c r="C7349"/>
      <c r="D7349"/>
      <c r="E7349"/>
      <c r="F7349"/>
      <c r="G7349"/>
      <c r="H7349"/>
      <c r="I7349"/>
      <c r="J7349"/>
      <c r="K7349" s="1"/>
      <c r="L7349" s="2"/>
    </row>
    <row r="7350" spans="1:12" x14ac:dyDescent="0.2">
      <c r="A7350"/>
      <c r="B7350"/>
      <c r="C7350"/>
      <c r="D7350"/>
      <c r="E7350"/>
      <c r="F7350"/>
      <c r="G7350"/>
      <c r="H7350"/>
      <c r="I7350"/>
      <c r="J7350"/>
      <c r="K7350" s="1"/>
      <c r="L7350" s="2"/>
    </row>
    <row r="7351" spans="1:12" x14ac:dyDescent="0.2">
      <c r="A7351"/>
      <c r="B7351"/>
      <c r="C7351"/>
      <c r="D7351"/>
      <c r="E7351"/>
      <c r="F7351"/>
      <c r="G7351"/>
      <c r="H7351"/>
      <c r="I7351"/>
      <c r="J7351"/>
      <c r="K7351" s="1"/>
      <c r="L7351" s="2"/>
    </row>
    <row r="7352" spans="1:12" x14ac:dyDescent="0.2">
      <c r="A7352"/>
      <c r="B7352"/>
      <c r="C7352"/>
      <c r="D7352"/>
      <c r="E7352"/>
      <c r="F7352"/>
      <c r="G7352"/>
      <c r="H7352"/>
      <c r="I7352"/>
      <c r="J7352"/>
      <c r="K7352" s="1"/>
      <c r="L7352" s="2"/>
    </row>
    <row r="7353" spans="1:12" x14ac:dyDescent="0.2">
      <c r="A7353"/>
      <c r="B7353"/>
      <c r="C7353"/>
      <c r="D7353"/>
      <c r="E7353"/>
      <c r="F7353"/>
      <c r="G7353"/>
      <c r="H7353"/>
      <c r="I7353"/>
      <c r="J7353"/>
      <c r="K7353" s="1"/>
      <c r="L7353" s="2"/>
    </row>
    <row r="7354" spans="1:12" x14ac:dyDescent="0.2">
      <c r="A7354"/>
      <c r="B7354"/>
      <c r="C7354"/>
      <c r="D7354"/>
      <c r="E7354"/>
      <c r="F7354"/>
      <c r="G7354"/>
      <c r="H7354"/>
      <c r="I7354"/>
      <c r="J7354"/>
      <c r="K7354" s="1"/>
      <c r="L7354" s="2"/>
    </row>
    <row r="7355" spans="1:12" x14ac:dyDescent="0.2">
      <c r="A7355"/>
      <c r="B7355"/>
      <c r="C7355"/>
      <c r="D7355"/>
      <c r="E7355"/>
      <c r="F7355"/>
      <c r="G7355"/>
      <c r="H7355"/>
      <c r="I7355"/>
      <c r="J7355"/>
      <c r="K7355" s="1"/>
      <c r="L7355" s="2"/>
    </row>
    <row r="7356" spans="1:12" x14ac:dyDescent="0.2">
      <c r="A7356"/>
      <c r="B7356"/>
      <c r="C7356"/>
      <c r="D7356"/>
      <c r="E7356"/>
      <c r="F7356"/>
      <c r="G7356"/>
      <c r="H7356"/>
      <c r="I7356"/>
      <c r="J7356"/>
      <c r="K7356" s="1"/>
      <c r="L7356" s="2"/>
    </row>
    <row r="7357" spans="1:12" x14ac:dyDescent="0.2">
      <c r="A7357"/>
      <c r="B7357"/>
      <c r="C7357"/>
      <c r="D7357"/>
      <c r="E7357"/>
      <c r="F7357"/>
      <c r="G7357"/>
      <c r="H7357"/>
      <c r="I7357"/>
      <c r="J7357"/>
      <c r="K7357" s="1"/>
      <c r="L7357" s="2"/>
    </row>
    <row r="7358" spans="1:12" x14ac:dyDescent="0.2">
      <c r="A7358"/>
      <c r="B7358"/>
      <c r="C7358"/>
      <c r="D7358"/>
      <c r="E7358"/>
      <c r="F7358"/>
      <c r="G7358"/>
      <c r="H7358"/>
      <c r="I7358"/>
      <c r="J7358"/>
      <c r="K7358" s="1"/>
      <c r="L7358" s="2"/>
    </row>
    <row r="7359" spans="1:12" x14ac:dyDescent="0.2">
      <c r="A7359"/>
      <c r="B7359"/>
      <c r="C7359"/>
      <c r="D7359"/>
      <c r="E7359"/>
      <c r="F7359"/>
      <c r="G7359"/>
      <c r="H7359"/>
      <c r="I7359"/>
      <c r="J7359"/>
      <c r="K7359" s="1"/>
      <c r="L7359" s="2"/>
    </row>
    <row r="7360" spans="1:12" x14ac:dyDescent="0.2">
      <c r="A7360"/>
      <c r="B7360"/>
      <c r="C7360"/>
      <c r="D7360"/>
      <c r="E7360"/>
      <c r="F7360"/>
      <c r="G7360"/>
      <c r="H7360"/>
      <c r="I7360"/>
      <c r="J7360"/>
      <c r="K7360" s="1"/>
      <c r="L7360" s="2"/>
    </row>
    <row r="7361" spans="1:12" x14ac:dyDescent="0.2">
      <c r="A7361"/>
      <c r="B7361"/>
      <c r="C7361"/>
      <c r="D7361"/>
      <c r="E7361"/>
      <c r="F7361"/>
      <c r="G7361"/>
      <c r="H7361"/>
      <c r="I7361"/>
      <c r="J7361"/>
      <c r="K7361" s="1"/>
      <c r="L7361" s="2"/>
    </row>
    <row r="7362" spans="1:12" x14ac:dyDescent="0.2">
      <c r="A7362"/>
      <c r="B7362"/>
      <c r="C7362"/>
      <c r="D7362"/>
      <c r="E7362"/>
      <c r="F7362"/>
      <c r="G7362"/>
      <c r="H7362"/>
      <c r="I7362"/>
      <c r="J7362"/>
      <c r="K7362" s="1"/>
      <c r="L7362" s="2"/>
    </row>
    <row r="7363" spans="1:12" x14ac:dyDescent="0.2">
      <c r="A7363"/>
      <c r="B7363"/>
      <c r="C7363"/>
      <c r="D7363"/>
      <c r="E7363"/>
      <c r="F7363"/>
      <c r="G7363"/>
      <c r="H7363"/>
      <c r="I7363"/>
      <c r="J7363"/>
      <c r="K7363" s="1"/>
      <c r="L7363" s="2"/>
    </row>
    <row r="7364" spans="1:12" x14ac:dyDescent="0.2">
      <c r="A7364"/>
      <c r="B7364"/>
      <c r="C7364"/>
      <c r="D7364"/>
      <c r="E7364"/>
      <c r="F7364"/>
      <c r="G7364"/>
      <c r="H7364"/>
      <c r="I7364"/>
      <c r="J7364"/>
      <c r="K7364" s="1"/>
      <c r="L7364" s="2"/>
    </row>
    <row r="7365" spans="1:12" x14ac:dyDescent="0.2">
      <c r="A7365"/>
      <c r="B7365"/>
      <c r="C7365"/>
      <c r="D7365"/>
      <c r="E7365"/>
      <c r="F7365"/>
      <c r="G7365"/>
      <c r="H7365"/>
      <c r="I7365"/>
      <c r="J7365"/>
      <c r="K7365" s="1"/>
      <c r="L7365" s="2"/>
    </row>
    <row r="7366" spans="1:12" x14ac:dyDescent="0.2">
      <c r="A7366"/>
      <c r="B7366"/>
      <c r="C7366"/>
      <c r="D7366"/>
      <c r="E7366"/>
      <c r="F7366"/>
      <c r="G7366"/>
      <c r="H7366"/>
      <c r="I7366"/>
      <c r="J7366"/>
      <c r="K7366" s="1"/>
      <c r="L7366" s="2"/>
    </row>
    <row r="7367" spans="1:12" x14ac:dyDescent="0.2">
      <c r="A7367"/>
      <c r="B7367"/>
      <c r="C7367"/>
      <c r="D7367"/>
      <c r="E7367"/>
      <c r="F7367"/>
      <c r="G7367"/>
      <c r="H7367"/>
      <c r="I7367"/>
      <c r="J7367"/>
      <c r="K7367" s="1"/>
      <c r="L7367" s="2"/>
    </row>
    <row r="7368" spans="1:12" x14ac:dyDescent="0.2">
      <c r="A7368"/>
      <c r="B7368"/>
      <c r="C7368"/>
      <c r="D7368"/>
      <c r="E7368"/>
      <c r="F7368"/>
      <c r="G7368"/>
      <c r="H7368"/>
      <c r="I7368"/>
      <c r="J7368"/>
      <c r="K7368" s="1"/>
      <c r="L7368" s="2"/>
    </row>
    <row r="7369" spans="1:12" x14ac:dyDescent="0.2">
      <c r="A7369"/>
      <c r="B7369"/>
      <c r="C7369"/>
      <c r="D7369"/>
      <c r="E7369"/>
      <c r="F7369"/>
      <c r="G7369"/>
      <c r="H7369"/>
      <c r="I7369"/>
      <c r="J7369"/>
      <c r="K7369" s="1"/>
      <c r="L7369" s="2"/>
    </row>
    <row r="7370" spans="1:12" x14ac:dyDescent="0.2">
      <c r="A7370"/>
      <c r="B7370"/>
      <c r="C7370"/>
      <c r="D7370"/>
      <c r="E7370"/>
      <c r="F7370"/>
      <c r="G7370"/>
      <c r="H7370"/>
      <c r="I7370"/>
      <c r="J7370"/>
      <c r="K7370" s="1"/>
      <c r="L7370" s="2"/>
    </row>
    <row r="7371" spans="1:12" x14ac:dyDescent="0.2">
      <c r="A7371"/>
      <c r="B7371"/>
      <c r="C7371"/>
      <c r="D7371"/>
      <c r="E7371"/>
      <c r="F7371"/>
      <c r="G7371"/>
      <c r="H7371"/>
      <c r="I7371"/>
      <c r="J7371"/>
      <c r="K7371" s="1"/>
      <c r="L7371" s="2"/>
    </row>
    <row r="7372" spans="1:12" x14ac:dyDescent="0.2">
      <c r="A7372"/>
      <c r="B7372"/>
      <c r="C7372"/>
      <c r="D7372"/>
      <c r="E7372"/>
      <c r="F7372"/>
      <c r="G7372"/>
      <c r="H7372"/>
      <c r="I7372"/>
      <c r="J7372"/>
      <c r="K7372" s="1"/>
      <c r="L7372" s="2"/>
    </row>
    <row r="7373" spans="1:12" x14ac:dyDescent="0.2">
      <c r="A7373"/>
      <c r="B7373"/>
      <c r="C7373"/>
      <c r="D7373"/>
      <c r="E7373"/>
      <c r="F7373"/>
      <c r="G7373"/>
      <c r="H7373"/>
      <c r="I7373"/>
      <c r="J7373"/>
      <c r="K7373" s="1"/>
      <c r="L7373" s="2"/>
    </row>
    <row r="7374" spans="1:12" x14ac:dyDescent="0.2">
      <c r="A7374"/>
      <c r="B7374"/>
      <c r="C7374"/>
      <c r="D7374"/>
      <c r="E7374"/>
      <c r="F7374"/>
      <c r="G7374"/>
      <c r="H7374"/>
      <c r="I7374"/>
      <c r="J7374"/>
      <c r="K7374" s="1"/>
      <c r="L7374" s="2"/>
    </row>
    <row r="7375" spans="1:12" x14ac:dyDescent="0.2">
      <c r="A7375"/>
      <c r="B7375"/>
      <c r="C7375"/>
      <c r="D7375"/>
      <c r="E7375"/>
      <c r="F7375"/>
      <c r="G7375"/>
      <c r="H7375"/>
      <c r="I7375"/>
      <c r="J7375"/>
      <c r="K7375" s="1"/>
      <c r="L7375" s="2"/>
    </row>
    <row r="7376" spans="1:12" x14ac:dyDescent="0.2">
      <c r="A7376"/>
      <c r="B7376"/>
      <c r="C7376"/>
      <c r="D7376"/>
      <c r="E7376"/>
      <c r="F7376"/>
      <c r="G7376"/>
      <c r="H7376"/>
      <c r="I7376"/>
      <c r="J7376"/>
      <c r="K7376" s="1"/>
      <c r="L7376" s="2"/>
    </row>
    <row r="7377" spans="1:12" x14ac:dyDescent="0.2">
      <c r="A7377"/>
      <c r="B7377"/>
      <c r="C7377"/>
      <c r="D7377"/>
      <c r="E7377"/>
      <c r="F7377"/>
      <c r="G7377"/>
      <c r="H7377"/>
      <c r="I7377"/>
      <c r="J7377"/>
      <c r="K7377" s="1"/>
      <c r="L7377" s="2"/>
    </row>
    <row r="7378" spans="1:12" x14ac:dyDescent="0.2">
      <c r="A7378"/>
      <c r="B7378"/>
      <c r="C7378"/>
      <c r="D7378"/>
      <c r="E7378"/>
      <c r="F7378"/>
      <c r="G7378"/>
      <c r="H7378"/>
      <c r="I7378"/>
      <c r="J7378"/>
      <c r="K7378" s="1"/>
      <c r="L7378" s="2"/>
    </row>
    <row r="7379" spans="1:12" x14ac:dyDescent="0.2">
      <c r="A7379"/>
      <c r="B7379"/>
      <c r="C7379"/>
      <c r="D7379"/>
      <c r="E7379"/>
      <c r="F7379"/>
      <c r="G7379"/>
      <c r="H7379"/>
      <c r="I7379"/>
      <c r="J7379"/>
      <c r="K7379" s="1"/>
      <c r="L7379" s="2"/>
    </row>
    <row r="7380" spans="1:12" x14ac:dyDescent="0.2">
      <c r="A7380"/>
      <c r="B7380"/>
      <c r="C7380"/>
      <c r="D7380"/>
      <c r="E7380"/>
      <c r="F7380"/>
      <c r="G7380"/>
      <c r="H7380"/>
      <c r="I7380"/>
      <c r="J7380"/>
      <c r="K7380" s="1"/>
      <c r="L7380" s="2"/>
    </row>
    <row r="7381" spans="1:12" x14ac:dyDescent="0.2">
      <c r="A7381"/>
      <c r="B7381"/>
      <c r="C7381"/>
      <c r="D7381"/>
      <c r="E7381"/>
      <c r="F7381"/>
      <c r="G7381"/>
      <c r="H7381"/>
      <c r="I7381"/>
      <c r="J7381"/>
      <c r="K7381" s="1"/>
      <c r="L7381" s="2"/>
    </row>
    <row r="7382" spans="1:12" x14ac:dyDescent="0.2">
      <c r="A7382"/>
      <c r="B7382"/>
      <c r="C7382"/>
      <c r="D7382"/>
      <c r="E7382"/>
      <c r="F7382"/>
      <c r="G7382"/>
      <c r="H7382"/>
      <c r="I7382"/>
      <c r="J7382"/>
      <c r="K7382" s="1"/>
      <c r="L7382" s="2"/>
    </row>
    <row r="7383" spans="1:12" x14ac:dyDescent="0.2">
      <c r="A7383"/>
      <c r="B7383"/>
      <c r="C7383"/>
      <c r="D7383"/>
      <c r="E7383"/>
      <c r="F7383"/>
      <c r="G7383"/>
      <c r="H7383"/>
      <c r="I7383"/>
      <c r="J7383"/>
      <c r="K7383" s="1"/>
      <c r="L7383" s="2"/>
    </row>
    <row r="7384" spans="1:12" x14ac:dyDescent="0.2">
      <c r="A7384"/>
      <c r="B7384"/>
      <c r="C7384"/>
      <c r="D7384"/>
      <c r="E7384"/>
      <c r="F7384"/>
      <c r="G7384"/>
      <c r="H7384"/>
      <c r="I7384"/>
      <c r="J7384"/>
      <c r="K7384" s="1"/>
      <c r="L7384" s="2"/>
    </row>
    <row r="7385" spans="1:12" x14ac:dyDescent="0.2">
      <c r="A7385"/>
      <c r="B7385"/>
      <c r="C7385"/>
      <c r="D7385"/>
      <c r="E7385"/>
      <c r="F7385"/>
      <c r="G7385"/>
      <c r="H7385"/>
      <c r="I7385"/>
      <c r="J7385"/>
      <c r="K7385" s="1"/>
      <c r="L7385" s="2"/>
    </row>
    <row r="7386" spans="1:12" x14ac:dyDescent="0.2">
      <c r="A7386"/>
      <c r="B7386"/>
      <c r="C7386"/>
      <c r="D7386"/>
      <c r="E7386"/>
      <c r="F7386"/>
      <c r="G7386"/>
      <c r="H7386"/>
      <c r="I7386"/>
      <c r="J7386"/>
      <c r="K7386" s="1"/>
      <c r="L7386" s="2"/>
    </row>
    <row r="7387" spans="1:12" x14ac:dyDescent="0.2">
      <c r="A7387"/>
      <c r="B7387"/>
      <c r="C7387"/>
      <c r="D7387"/>
      <c r="E7387"/>
      <c r="F7387"/>
      <c r="G7387"/>
      <c r="H7387"/>
      <c r="I7387"/>
      <c r="J7387"/>
      <c r="K7387" s="1"/>
      <c r="L7387" s="2"/>
    </row>
    <row r="7388" spans="1:12" x14ac:dyDescent="0.2">
      <c r="A7388"/>
      <c r="B7388"/>
      <c r="C7388"/>
      <c r="D7388"/>
      <c r="E7388"/>
      <c r="F7388"/>
      <c r="G7388"/>
      <c r="H7388"/>
      <c r="I7388"/>
      <c r="J7388"/>
      <c r="K7388" s="1"/>
      <c r="L7388" s="2"/>
    </row>
    <row r="7389" spans="1:12" x14ac:dyDescent="0.2">
      <c r="A7389"/>
      <c r="B7389"/>
      <c r="C7389"/>
      <c r="D7389"/>
      <c r="E7389"/>
      <c r="F7389"/>
      <c r="G7389"/>
      <c r="H7389"/>
      <c r="I7389"/>
      <c r="J7389"/>
      <c r="K7389" s="1"/>
      <c r="L7389" s="2"/>
    </row>
    <row r="7390" spans="1:12" x14ac:dyDescent="0.2">
      <c r="A7390"/>
      <c r="B7390"/>
      <c r="C7390"/>
      <c r="D7390"/>
      <c r="E7390"/>
      <c r="F7390"/>
      <c r="G7390"/>
      <c r="H7390"/>
      <c r="I7390"/>
      <c r="J7390"/>
      <c r="K7390" s="1"/>
      <c r="L7390" s="2"/>
    </row>
    <row r="7391" spans="1:12" x14ac:dyDescent="0.2">
      <c r="A7391"/>
      <c r="B7391"/>
      <c r="C7391"/>
      <c r="D7391"/>
      <c r="E7391"/>
      <c r="F7391"/>
      <c r="G7391"/>
      <c r="H7391"/>
      <c r="I7391"/>
      <c r="J7391"/>
      <c r="K7391" s="1"/>
      <c r="L7391" s="2"/>
    </row>
    <row r="7392" spans="1:12" x14ac:dyDescent="0.2">
      <c r="A7392"/>
      <c r="B7392"/>
      <c r="C7392"/>
      <c r="D7392"/>
      <c r="E7392"/>
      <c r="F7392"/>
      <c r="G7392"/>
      <c r="H7392"/>
      <c r="I7392"/>
      <c r="J7392"/>
      <c r="K7392" s="1"/>
      <c r="L7392" s="2"/>
    </row>
    <row r="7393" spans="1:12" x14ac:dyDescent="0.2">
      <c r="A7393"/>
      <c r="B7393"/>
      <c r="C7393"/>
      <c r="D7393"/>
      <c r="E7393"/>
      <c r="F7393"/>
      <c r="G7393"/>
      <c r="H7393"/>
      <c r="I7393"/>
      <c r="J7393"/>
      <c r="K7393" s="1"/>
      <c r="L7393" s="2"/>
    </row>
    <row r="7394" spans="1:12" x14ac:dyDescent="0.2">
      <c r="A7394"/>
      <c r="B7394"/>
      <c r="C7394"/>
      <c r="D7394"/>
      <c r="E7394"/>
      <c r="F7394"/>
      <c r="G7394"/>
      <c r="H7394"/>
      <c r="I7394"/>
      <c r="J7394"/>
      <c r="K7394" s="1"/>
      <c r="L7394" s="2"/>
    </row>
    <row r="7395" spans="1:12" x14ac:dyDescent="0.2">
      <c r="A7395"/>
      <c r="B7395"/>
      <c r="C7395"/>
      <c r="D7395"/>
      <c r="E7395"/>
      <c r="F7395"/>
      <c r="G7395"/>
      <c r="H7395"/>
      <c r="I7395"/>
      <c r="J7395"/>
      <c r="K7395" s="1"/>
      <c r="L7395" s="2"/>
    </row>
    <row r="7396" spans="1:12" x14ac:dyDescent="0.2">
      <c r="A7396"/>
      <c r="B7396"/>
      <c r="C7396"/>
      <c r="D7396"/>
      <c r="E7396"/>
      <c r="F7396"/>
      <c r="G7396"/>
      <c r="H7396"/>
      <c r="I7396"/>
      <c r="J7396"/>
      <c r="K7396" s="1"/>
      <c r="L7396" s="2"/>
    </row>
    <row r="7397" spans="1:12" x14ac:dyDescent="0.2">
      <c r="A7397"/>
      <c r="B7397"/>
      <c r="C7397"/>
      <c r="D7397"/>
      <c r="E7397"/>
      <c r="F7397"/>
      <c r="G7397"/>
      <c r="H7397"/>
      <c r="I7397"/>
      <c r="J7397"/>
      <c r="K7397" s="1"/>
      <c r="L7397" s="2"/>
    </row>
    <row r="7398" spans="1:12" x14ac:dyDescent="0.2">
      <c r="A7398"/>
      <c r="B7398"/>
      <c r="C7398"/>
      <c r="D7398"/>
      <c r="E7398"/>
      <c r="F7398"/>
      <c r="G7398"/>
      <c r="H7398"/>
      <c r="I7398"/>
      <c r="J7398"/>
      <c r="K7398" s="1"/>
      <c r="L7398" s="2"/>
    </row>
    <row r="7399" spans="1:12" x14ac:dyDescent="0.2">
      <c r="A7399"/>
      <c r="B7399"/>
      <c r="C7399"/>
      <c r="D7399"/>
      <c r="E7399"/>
      <c r="F7399"/>
      <c r="G7399"/>
      <c r="H7399"/>
      <c r="I7399"/>
      <c r="J7399"/>
      <c r="K7399" s="1"/>
      <c r="L7399" s="2"/>
    </row>
    <row r="7400" spans="1:12" x14ac:dyDescent="0.2">
      <c r="A7400"/>
      <c r="B7400"/>
      <c r="C7400"/>
      <c r="D7400"/>
      <c r="E7400"/>
      <c r="F7400"/>
      <c r="G7400"/>
      <c r="H7400"/>
      <c r="I7400"/>
      <c r="J7400"/>
      <c r="K7400" s="1"/>
      <c r="L7400" s="2"/>
    </row>
    <row r="7401" spans="1:12" x14ac:dyDescent="0.2">
      <c r="A7401"/>
      <c r="B7401"/>
      <c r="C7401"/>
      <c r="D7401"/>
      <c r="E7401"/>
      <c r="F7401"/>
      <c r="G7401"/>
      <c r="H7401"/>
      <c r="I7401"/>
      <c r="J7401"/>
      <c r="K7401" s="1"/>
      <c r="L7401" s="2"/>
    </row>
    <row r="7402" spans="1:12" x14ac:dyDescent="0.2">
      <c r="A7402"/>
      <c r="B7402"/>
      <c r="C7402"/>
      <c r="D7402"/>
      <c r="E7402"/>
      <c r="F7402"/>
      <c r="G7402"/>
      <c r="H7402"/>
      <c r="I7402"/>
      <c r="J7402"/>
      <c r="K7402" s="1"/>
      <c r="L7402" s="2"/>
    </row>
    <row r="7403" spans="1:12" x14ac:dyDescent="0.2">
      <c r="A7403"/>
      <c r="B7403"/>
      <c r="C7403"/>
      <c r="D7403"/>
      <c r="E7403"/>
      <c r="F7403"/>
      <c r="G7403"/>
      <c r="H7403"/>
      <c r="I7403"/>
      <c r="J7403"/>
      <c r="K7403" s="1"/>
      <c r="L7403" s="2"/>
    </row>
    <row r="7404" spans="1:12" x14ac:dyDescent="0.2">
      <c r="A7404"/>
      <c r="B7404"/>
      <c r="C7404"/>
      <c r="D7404"/>
      <c r="E7404"/>
      <c r="F7404"/>
      <c r="G7404"/>
      <c r="H7404"/>
      <c r="I7404"/>
      <c r="J7404"/>
      <c r="K7404" s="1"/>
      <c r="L7404" s="2"/>
    </row>
    <row r="7405" spans="1:12" x14ac:dyDescent="0.2">
      <c r="A7405"/>
      <c r="B7405"/>
      <c r="C7405"/>
      <c r="D7405"/>
      <c r="E7405"/>
      <c r="F7405"/>
      <c r="G7405"/>
      <c r="H7405"/>
      <c r="I7405"/>
      <c r="J7405"/>
      <c r="K7405" s="1"/>
      <c r="L7405" s="2"/>
    </row>
    <row r="7406" spans="1:12" x14ac:dyDescent="0.2">
      <c r="A7406"/>
      <c r="B7406"/>
      <c r="C7406"/>
      <c r="D7406"/>
      <c r="E7406"/>
      <c r="F7406"/>
      <c r="G7406"/>
      <c r="H7406"/>
      <c r="I7406"/>
      <c r="J7406"/>
      <c r="K7406" s="1"/>
      <c r="L7406" s="2"/>
    </row>
    <row r="7407" spans="1:12" x14ac:dyDescent="0.2">
      <c r="A7407"/>
      <c r="B7407"/>
      <c r="C7407"/>
      <c r="D7407"/>
      <c r="E7407"/>
      <c r="F7407"/>
      <c r="G7407"/>
      <c r="H7407"/>
      <c r="I7407"/>
      <c r="J7407"/>
      <c r="K7407" s="1"/>
      <c r="L7407" s="2"/>
    </row>
    <row r="7408" spans="1:12" x14ac:dyDescent="0.2">
      <c r="A7408"/>
      <c r="B7408"/>
      <c r="C7408"/>
      <c r="D7408"/>
      <c r="E7408"/>
      <c r="F7408"/>
      <c r="G7408"/>
      <c r="H7408"/>
      <c r="I7408"/>
      <c r="J7408"/>
      <c r="K7408" s="1"/>
      <c r="L7408" s="2"/>
    </row>
    <row r="7409" spans="1:12" x14ac:dyDescent="0.2">
      <c r="A7409"/>
      <c r="B7409"/>
      <c r="C7409"/>
      <c r="D7409"/>
      <c r="E7409"/>
      <c r="F7409"/>
      <c r="G7409"/>
      <c r="H7409"/>
      <c r="I7409"/>
      <c r="J7409"/>
      <c r="K7409" s="1"/>
      <c r="L7409" s="2"/>
    </row>
    <row r="7410" spans="1:12" x14ac:dyDescent="0.2">
      <c r="A7410"/>
      <c r="B7410"/>
      <c r="C7410"/>
      <c r="D7410"/>
      <c r="E7410"/>
      <c r="F7410"/>
      <c r="G7410"/>
      <c r="H7410"/>
      <c r="I7410"/>
      <c r="J7410"/>
      <c r="K7410" s="1"/>
      <c r="L7410" s="2"/>
    </row>
    <row r="7411" spans="1:12" x14ac:dyDescent="0.2">
      <c r="A7411"/>
      <c r="B7411"/>
      <c r="C7411"/>
      <c r="D7411"/>
      <c r="E7411"/>
      <c r="F7411"/>
      <c r="G7411"/>
      <c r="H7411"/>
      <c r="I7411"/>
      <c r="J7411"/>
      <c r="K7411" s="1"/>
      <c r="L7411" s="2"/>
    </row>
    <row r="7412" spans="1:12" x14ac:dyDescent="0.2">
      <c r="A7412"/>
      <c r="B7412"/>
      <c r="C7412"/>
      <c r="D7412"/>
      <c r="E7412"/>
      <c r="F7412"/>
      <c r="G7412"/>
      <c r="H7412"/>
      <c r="I7412"/>
      <c r="J7412"/>
      <c r="K7412" s="1"/>
      <c r="L7412" s="2"/>
    </row>
    <row r="7413" spans="1:12" x14ac:dyDescent="0.2">
      <c r="A7413"/>
      <c r="B7413"/>
      <c r="C7413"/>
      <c r="D7413"/>
      <c r="E7413"/>
      <c r="F7413"/>
      <c r="G7413"/>
      <c r="H7413"/>
      <c r="I7413"/>
      <c r="J7413"/>
      <c r="K7413" s="1"/>
      <c r="L7413" s="2"/>
    </row>
    <row r="7414" spans="1:12" x14ac:dyDescent="0.2">
      <c r="A7414"/>
      <c r="B7414"/>
      <c r="C7414"/>
      <c r="D7414"/>
      <c r="E7414"/>
      <c r="F7414"/>
      <c r="G7414"/>
      <c r="H7414"/>
      <c r="I7414"/>
      <c r="J7414"/>
      <c r="K7414" s="1"/>
      <c r="L7414" s="2"/>
    </row>
    <row r="7415" spans="1:12" x14ac:dyDescent="0.2">
      <c r="A7415"/>
      <c r="B7415"/>
      <c r="C7415"/>
      <c r="D7415"/>
      <c r="E7415"/>
      <c r="F7415"/>
      <c r="G7415"/>
      <c r="H7415"/>
      <c r="I7415"/>
      <c r="J7415"/>
      <c r="K7415" s="1"/>
      <c r="L7415" s="2"/>
    </row>
    <row r="7416" spans="1:12" x14ac:dyDescent="0.2">
      <c r="A7416"/>
      <c r="B7416"/>
      <c r="C7416"/>
      <c r="D7416"/>
      <c r="E7416"/>
      <c r="F7416"/>
      <c r="G7416"/>
      <c r="H7416"/>
      <c r="I7416"/>
      <c r="J7416"/>
      <c r="K7416" s="1"/>
      <c r="L7416" s="2"/>
    </row>
    <row r="7417" spans="1:12" x14ac:dyDescent="0.2">
      <c r="A7417"/>
      <c r="B7417"/>
      <c r="C7417"/>
      <c r="D7417"/>
      <c r="E7417"/>
      <c r="F7417"/>
      <c r="G7417"/>
      <c r="H7417"/>
      <c r="I7417"/>
      <c r="J7417"/>
      <c r="K7417" s="1"/>
      <c r="L7417" s="2"/>
    </row>
    <row r="7418" spans="1:12" x14ac:dyDescent="0.2">
      <c r="A7418"/>
      <c r="B7418"/>
      <c r="C7418"/>
      <c r="D7418"/>
      <c r="E7418"/>
      <c r="F7418"/>
      <c r="G7418"/>
      <c r="H7418"/>
      <c r="I7418"/>
      <c r="J7418"/>
      <c r="K7418" s="1"/>
      <c r="L7418" s="2"/>
    </row>
    <row r="7419" spans="1:12" x14ac:dyDescent="0.2">
      <c r="A7419"/>
      <c r="B7419"/>
      <c r="C7419"/>
      <c r="D7419"/>
      <c r="E7419"/>
      <c r="F7419"/>
      <c r="G7419"/>
      <c r="H7419"/>
      <c r="I7419"/>
      <c r="J7419"/>
      <c r="K7419" s="1"/>
      <c r="L7419" s="2"/>
    </row>
    <row r="7420" spans="1:12" x14ac:dyDescent="0.2">
      <c r="A7420"/>
      <c r="B7420"/>
      <c r="C7420"/>
      <c r="D7420"/>
      <c r="E7420"/>
      <c r="F7420"/>
      <c r="G7420"/>
      <c r="H7420"/>
      <c r="I7420"/>
      <c r="J7420"/>
      <c r="K7420" s="1"/>
      <c r="L7420" s="2"/>
    </row>
    <row r="7421" spans="1:12" x14ac:dyDescent="0.2">
      <c r="A7421"/>
      <c r="B7421"/>
      <c r="C7421"/>
      <c r="D7421"/>
      <c r="E7421"/>
      <c r="F7421"/>
      <c r="G7421"/>
      <c r="H7421"/>
      <c r="I7421"/>
      <c r="J7421"/>
      <c r="K7421" s="1"/>
      <c r="L7421" s="2"/>
    </row>
    <row r="7422" spans="1:12" x14ac:dyDescent="0.2">
      <c r="A7422"/>
      <c r="B7422"/>
      <c r="C7422"/>
      <c r="D7422"/>
      <c r="E7422"/>
      <c r="F7422"/>
      <c r="G7422"/>
      <c r="H7422"/>
      <c r="I7422"/>
      <c r="J7422"/>
      <c r="K7422" s="1"/>
      <c r="L7422" s="2"/>
    </row>
    <row r="7423" spans="1:12" x14ac:dyDescent="0.2">
      <c r="A7423"/>
      <c r="B7423"/>
      <c r="C7423"/>
      <c r="D7423"/>
      <c r="E7423"/>
      <c r="F7423"/>
      <c r="G7423"/>
      <c r="H7423"/>
      <c r="I7423"/>
      <c r="J7423"/>
      <c r="K7423" s="1"/>
      <c r="L7423" s="2"/>
    </row>
    <row r="7424" spans="1:12" x14ac:dyDescent="0.2">
      <c r="A7424"/>
      <c r="B7424"/>
      <c r="C7424"/>
      <c r="D7424"/>
      <c r="E7424"/>
      <c r="F7424"/>
      <c r="G7424"/>
      <c r="H7424"/>
      <c r="I7424"/>
      <c r="J7424"/>
      <c r="K7424" s="1"/>
      <c r="L7424" s="2"/>
    </row>
    <row r="7425" spans="1:12" x14ac:dyDescent="0.2">
      <c r="A7425"/>
      <c r="B7425"/>
      <c r="C7425"/>
      <c r="D7425"/>
      <c r="E7425"/>
      <c r="F7425"/>
      <c r="G7425"/>
      <c r="H7425"/>
      <c r="I7425"/>
      <c r="J7425"/>
      <c r="K7425" s="1"/>
      <c r="L7425" s="2"/>
    </row>
    <row r="7426" spans="1:12" x14ac:dyDescent="0.2">
      <c r="A7426"/>
      <c r="B7426"/>
      <c r="C7426"/>
      <c r="D7426"/>
      <c r="E7426"/>
      <c r="F7426"/>
      <c r="G7426"/>
      <c r="H7426"/>
      <c r="I7426"/>
      <c r="J7426"/>
      <c r="K7426" s="1"/>
      <c r="L7426" s="2"/>
    </row>
    <row r="7427" spans="1:12" x14ac:dyDescent="0.2">
      <c r="A7427"/>
      <c r="B7427"/>
      <c r="C7427"/>
      <c r="D7427"/>
      <c r="E7427"/>
      <c r="F7427"/>
      <c r="G7427"/>
      <c r="H7427"/>
      <c r="I7427"/>
      <c r="J7427"/>
      <c r="K7427" s="1"/>
      <c r="L7427" s="2"/>
    </row>
    <row r="7428" spans="1:12" x14ac:dyDescent="0.2">
      <c r="A7428"/>
      <c r="B7428"/>
      <c r="C7428"/>
      <c r="D7428"/>
      <c r="E7428"/>
      <c r="F7428"/>
      <c r="G7428"/>
      <c r="H7428"/>
      <c r="I7428"/>
      <c r="J7428"/>
      <c r="K7428" s="1"/>
      <c r="L7428" s="2"/>
    </row>
    <row r="7429" spans="1:12" x14ac:dyDescent="0.2">
      <c r="A7429"/>
      <c r="B7429"/>
      <c r="C7429"/>
      <c r="D7429"/>
      <c r="E7429"/>
      <c r="F7429"/>
      <c r="G7429"/>
      <c r="H7429"/>
      <c r="I7429"/>
      <c r="J7429"/>
      <c r="K7429" s="1"/>
      <c r="L7429" s="2"/>
    </row>
    <row r="7430" spans="1:12" x14ac:dyDescent="0.2">
      <c r="A7430"/>
      <c r="B7430"/>
      <c r="C7430"/>
      <c r="D7430"/>
      <c r="E7430"/>
      <c r="F7430"/>
      <c r="G7430"/>
      <c r="H7430"/>
      <c r="I7430"/>
      <c r="J7430"/>
      <c r="K7430" s="1"/>
      <c r="L7430" s="2"/>
    </row>
    <row r="7431" spans="1:12" x14ac:dyDescent="0.2">
      <c r="A7431"/>
      <c r="B7431"/>
      <c r="C7431"/>
      <c r="D7431"/>
      <c r="E7431"/>
      <c r="F7431"/>
      <c r="G7431"/>
      <c r="H7431"/>
      <c r="I7431"/>
      <c r="J7431"/>
      <c r="K7431" s="1"/>
      <c r="L7431" s="2"/>
    </row>
    <row r="7432" spans="1:12" x14ac:dyDescent="0.2">
      <c r="A7432"/>
      <c r="B7432"/>
      <c r="C7432"/>
      <c r="D7432"/>
      <c r="E7432"/>
      <c r="F7432"/>
      <c r="G7432"/>
      <c r="H7432"/>
      <c r="I7432"/>
      <c r="J7432"/>
      <c r="K7432" s="1"/>
      <c r="L7432" s="2"/>
    </row>
    <row r="7433" spans="1:12" x14ac:dyDescent="0.2">
      <c r="A7433"/>
      <c r="B7433"/>
      <c r="C7433"/>
      <c r="D7433"/>
      <c r="E7433"/>
      <c r="F7433"/>
      <c r="G7433"/>
      <c r="H7433"/>
      <c r="I7433"/>
      <c r="J7433"/>
      <c r="K7433" s="1"/>
      <c r="L7433" s="2"/>
    </row>
    <row r="7434" spans="1:12" x14ac:dyDescent="0.2">
      <c r="A7434"/>
      <c r="B7434"/>
      <c r="C7434"/>
      <c r="D7434"/>
      <c r="E7434"/>
      <c r="F7434"/>
      <c r="G7434"/>
      <c r="H7434"/>
      <c r="I7434"/>
      <c r="J7434"/>
      <c r="K7434" s="1"/>
      <c r="L7434" s="2"/>
    </row>
    <row r="7435" spans="1:12" x14ac:dyDescent="0.2">
      <c r="A7435"/>
      <c r="B7435"/>
      <c r="C7435"/>
      <c r="D7435"/>
      <c r="E7435"/>
      <c r="F7435"/>
      <c r="G7435"/>
      <c r="H7435"/>
      <c r="I7435"/>
      <c r="J7435"/>
      <c r="K7435" s="1"/>
      <c r="L7435" s="2"/>
    </row>
    <row r="7436" spans="1:12" x14ac:dyDescent="0.2">
      <c r="A7436"/>
      <c r="B7436"/>
      <c r="C7436"/>
      <c r="D7436"/>
      <c r="E7436"/>
      <c r="F7436"/>
      <c r="G7436"/>
      <c r="H7436"/>
      <c r="I7436"/>
      <c r="J7436"/>
      <c r="K7436" s="1"/>
      <c r="L7436" s="2"/>
    </row>
    <row r="7437" spans="1:12" x14ac:dyDescent="0.2">
      <c r="A7437"/>
      <c r="B7437"/>
      <c r="C7437"/>
      <c r="D7437"/>
      <c r="E7437"/>
      <c r="F7437"/>
      <c r="G7437"/>
      <c r="H7437"/>
      <c r="I7437"/>
      <c r="J7437"/>
      <c r="K7437" s="1"/>
      <c r="L7437" s="2"/>
    </row>
    <row r="7438" spans="1:12" x14ac:dyDescent="0.2">
      <c r="A7438"/>
      <c r="B7438"/>
      <c r="C7438"/>
      <c r="D7438"/>
      <c r="E7438"/>
      <c r="F7438"/>
      <c r="G7438"/>
      <c r="H7438"/>
      <c r="I7438"/>
      <c r="J7438"/>
      <c r="K7438" s="1"/>
      <c r="L7438" s="2"/>
    </row>
    <row r="7439" spans="1:12" x14ac:dyDescent="0.2">
      <c r="A7439"/>
      <c r="B7439"/>
      <c r="C7439"/>
      <c r="D7439"/>
      <c r="E7439"/>
      <c r="F7439"/>
      <c r="G7439"/>
      <c r="H7439"/>
      <c r="I7439"/>
      <c r="J7439"/>
      <c r="K7439" s="1"/>
      <c r="L7439" s="2"/>
    </row>
    <row r="7440" spans="1:12" x14ac:dyDescent="0.2">
      <c r="A7440"/>
      <c r="B7440"/>
      <c r="C7440"/>
      <c r="D7440"/>
      <c r="E7440"/>
      <c r="F7440"/>
      <c r="G7440"/>
      <c r="H7440"/>
      <c r="I7440"/>
      <c r="J7440"/>
      <c r="K7440" s="1"/>
      <c r="L7440" s="2"/>
    </row>
    <row r="7441" spans="1:12" x14ac:dyDescent="0.2">
      <c r="A7441"/>
      <c r="B7441"/>
      <c r="C7441"/>
      <c r="D7441"/>
      <c r="E7441"/>
      <c r="F7441"/>
      <c r="G7441"/>
      <c r="H7441"/>
      <c r="I7441"/>
      <c r="J7441"/>
      <c r="K7441" s="1"/>
      <c r="L7441" s="2"/>
    </row>
    <row r="7442" spans="1:12" x14ac:dyDescent="0.2">
      <c r="A7442"/>
      <c r="B7442"/>
      <c r="C7442"/>
      <c r="D7442"/>
      <c r="E7442"/>
      <c r="F7442"/>
      <c r="G7442"/>
      <c r="H7442"/>
      <c r="I7442"/>
      <c r="J7442"/>
      <c r="K7442" s="1"/>
      <c r="L7442" s="2"/>
    </row>
    <row r="7443" spans="1:12" x14ac:dyDescent="0.2">
      <c r="A7443"/>
      <c r="B7443"/>
      <c r="C7443"/>
      <c r="D7443"/>
      <c r="E7443"/>
      <c r="F7443"/>
      <c r="G7443"/>
      <c r="H7443"/>
      <c r="I7443"/>
      <c r="J7443"/>
      <c r="K7443" s="1"/>
      <c r="L7443" s="2"/>
    </row>
    <row r="7444" spans="1:12" x14ac:dyDescent="0.2">
      <c r="A7444"/>
      <c r="B7444"/>
      <c r="C7444"/>
      <c r="D7444"/>
      <c r="E7444"/>
      <c r="F7444"/>
      <c r="G7444"/>
      <c r="H7444"/>
      <c r="I7444"/>
      <c r="J7444"/>
      <c r="K7444" s="1"/>
      <c r="L7444" s="2"/>
    </row>
    <row r="7445" spans="1:12" x14ac:dyDescent="0.2">
      <c r="A7445"/>
      <c r="B7445"/>
      <c r="C7445"/>
      <c r="D7445"/>
      <c r="E7445"/>
      <c r="F7445"/>
      <c r="G7445"/>
      <c r="H7445"/>
      <c r="I7445"/>
      <c r="J7445"/>
      <c r="K7445" s="1"/>
      <c r="L7445" s="2"/>
    </row>
    <row r="7446" spans="1:12" x14ac:dyDescent="0.2">
      <c r="A7446"/>
      <c r="B7446"/>
      <c r="C7446"/>
      <c r="D7446"/>
      <c r="E7446"/>
      <c r="F7446"/>
      <c r="G7446"/>
      <c r="H7446"/>
      <c r="I7446"/>
      <c r="J7446"/>
      <c r="K7446" s="1"/>
      <c r="L7446" s="2"/>
    </row>
    <row r="7447" spans="1:12" x14ac:dyDescent="0.2">
      <c r="A7447"/>
      <c r="B7447"/>
      <c r="C7447"/>
      <c r="D7447"/>
      <c r="E7447"/>
      <c r="F7447"/>
      <c r="G7447"/>
      <c r="H7447"/>
      <c r="I7447"/>
      <c r="J7447"/>
      <c r="K7447" s="1"/>
      <c r="L7447" s="2"/>
    </row>
    <row r="7448" spans="1:12" x14ac:dyDescent="0.2">
      <c r="A7448"/>
      <c r="B7448"/>
      <c r="C7448"/>
      <c r="D7448"/>
      <c r="E7448"/>
      <c r="F7448"/>
      <c r="G7448"/>
      <c r="H7448"/>
      <c r="I7448"/>
      <c r="J7448"/>
      <c r="K7448" s="1"/>
      <c r="L7448" s="2"/>
    </row>
    <row r="7449" spans="1:12" x14ac:dyDescent="0.2">
      <c r="A7449"/>
      <c r="B7449"/>
      <c r="C7449"/>
      <c r="D7449"/>
      <c r="E7449"/>
      <c r="F7449"/>
      <c r="G7449"/>
      <c r="H7449"/>
      <c r="I7449"/>
      <c r="J7449"/>
      <c r="K7449" s="1"/>
      <c r="L7449" s="2"/>
    </row>
    <row r="7450" spans="1:12" x14ac:dyDescent="0.2">
      <c r="A7450"/>
      <c r="B7450"/>
      <c r="C7450"/>
      <c r="D7450"/>
      <c r="E7450"/>
      <c r="F7450"/>
      <c r="G7450"/>
      <c r="H7450"/>
      <c r="I7450"/>
      <c r="J7450"/>
      <c r="K7450" s="1"/>
      <c r="L7450" s="2"/>
    </row>
    <row r="7451" spans="1:12" x14ac:dyDescent="0.2">
      <c r="A7451"/>
      <c r="B7451"/>
      <c r="C7451"/>
      <c r="D7451"/>
      <c r="E7451"/>
      <c r="F7451"/>
      <c r="G7451"/>
      <c r="H7451"/>
      <c r="I7451"/>
      <c r="J7451"/>
      <c r="K7451" s="1"/>
      <c r="L7451" s="2"/>
    </row>
    <row r="7452" spans="1:12" x14ac:dyDescent="0.2">
      <c r="A7452"/>
      <c r="B7452"/>
      <c r="C7452"/>
      <c r="D7452"/>
      <c r="E7452"/>
      <c r="F7452"/>
      <c r="G7452"/>
      <c r="H7452"/>
      <c r="I7452"/>
      <c r="J7452"/>
      <c r="K7452" s="1"/>
      <c r="L7452" s="2"/>
    </row>
    <row r="7453" spans="1:12" x14ac:dyDescent="0.2">
      <c r="A7453"/>
      <c r="B7453"/>
      <c r="C7453"/>
      <c r="D7453"/>
      <c r="E7453"/>
      <c r="F7453"/>
      <c r="G7453"/>
      <c r="H7453"/>
      <c r="I7453"/>
      <c r="J7453"/>
      <c r="K7453" s="1"/>
      <c r="L7453" s="2"/>
    </row>
    <row r="7454" spans="1:12" x14ac:dyDescent="0.2">
      <c r="A7454"/>
      <c r="B7454"/>
      <c r="C7454"/>
      <c r="D7454"/>
      <c r="E7454"/>
      <c r="F7454"/>
      <c r="G7454"/>
      <c r="H7454"/>
      <c r="I7454"/>
      <c r="J7454"/>
      <c r="K7454" s="1"/>
      <c r="L7454" s="2"/>
    </row>
    <row r="7455" spans="1:12" x14ac:dyDescent="0.2">
      <c r="A7455"/>
      <c r="B7455"/>
      <c r="C7455"/>
      <c r="D7455"/>
      <c r="E7455"/>
      <c r="F7455"/>
      <c r="G7455"/>
      <c r="H7455"/>
      <c r="I7455"/>
      <c r="J7455"/>
      <c r="K7455" s="1"/>
      <c r="L7455" s="2"/>
    </row>
    <row r="7456" spans="1:12" x14ac:dyDescent="0.2">
      <c r="A7456"/>
      <c r="B7456"/>
      <c r="C7456"/>
      <c r="D7456"/>
      <c r="E7456"/>
      <c r="F7456"/>
      <c r="G7456"/>
      <c r="H7456"/>
      <c r="I7456"/>
      <c r="J7456"/>
      <c r="K7456" s="1"/>
      <c r="L7456" s="2"/>
    </row>
    <row r="7457" spans="1:12" x14ac:dyDescent="0.2">
      <c r="A7457"/>
      <c r="B7457"/>
      <c r="C7457"/>
      <c r="D7457"/>
      <c r="E7457"/>
      <c r="F7457"/>
      <c r="G7457"/>
      <c r="H7457"/>
      <c r="I7457"/>
      <c r="J7457"/>
      <c r="K7457" s="1"/>
      <c r="L7457" s="2"/>
    </row>
    <row r="7458" spans="1:12" x14ac:dyDescent="0.2">
      <c r="A7458"/>
      <c r="B7458"/>
      <c r="C7458"/>
      <c r="D7458"/>
      <c r="E7458"/>
      <c r="F7458"/>
      <c r="G7458"/>
      <c r="H7458"/>
      <c r="I7458"/>
      <c r="J7458"/>
      <c r="K7458" s="1"/>
      <c r="L7458" s="2"/>
    </row>
    <row r="7459" spans="1:12" x14ac:dyDescent="0.2">
      <c r="A7459"/>
      <c r="B7459"/>
      <c r="C7459"/>
      <c r="D7459"/>
      <c r="E7459"/>
      <c r="F7459"/>
      <c r="G7459"/>
      <c r="H7459"/>
      <c r="I7459"/>
      <c r="J7459"/>
      <c r="K7459" s="1"/>
      <c r="L7459" s="2"/>
    </row>
    <row r="7460" spans="1:12" x14ac:dyDescent="0.2">
      <c r="A7460"/>
      <c r="B7460"/>
      <c r="C7460"/>
      <c r="D7460"/>
      <c r="E7460"/>
      <c r="F7460"/>
      <c r="G7460"/>
      <c r="H7460"/>
      <c r="I7460"/>
      <c r="J7460"/>
      <c r="K7460" s="1"/>
      <c r="L7460" s="2"/>
    </row>
    <row r="7461" spans="1:12" x14ac:dyDescent="0.2">
      <c r="A7461"/>
      <c r="B7461"/>
      <c r="C7461"/>
      <c r="D7461"/>
      <c r="E7461"/>
      <c r="F7461"/>
      <c r="G7461"/>
      <c r="H7461"/>
      <c r="I7461"/>
      <c r="J7461"/>
      <c r="K7461" s="1"/>
      <c r="L7461" s="2"/>
    </row>
    <row r="7462" spans="1:12" x14ac:dyDescent="0.2">
      <c r="A7462"/>
      <c r="B7462"/>
      <c r="C7462"/>
      <c r="D7462"/>
      <c r="E7462"/>
      <c r="F7462"/>
      <c r="G7462"/>
      <c r="H7462"/>
      <c r="I7462"/>
      <c r="J7462"/>
      <c r="K7462" s="1"/>
      <c r="L7462" s="2"/>
    </row>
    <row r="7463" spans="1:12" x14ac:dyDescent="0.2">
      <c r="A7463"/>
      <c r="B7463"/>
      <c r="C7463"/>
      <c r="D7463"/>
      <c r="E7463"/>
      <c r="F7463"/>
      <c r="G7463"/>
      <c r="H7463"/>
      <c r="I7463"/>
      <c r="J7463"/>
      <c r="K7463" s="1"/>
      <c r="L7463" s="2"/>
    </row>
    <row r="7464" spans="1:12" x14ac:dyDescent="0.2">
      <c r="A7464"/>
      <c r="B7464"/>
      <c r="C7464"/>
      <c r="D7464"/>
      <c r="E7464"/>
      <c r="F7464"/>
      <c r="G7464"/>
      <c r="H7464"/>
      <c r="I7464"/>
      <c r="J7464"/>
      <c r="K7464" s="1"/>
      <c r="L7464" s="2"/>
    </row>
    <row r="7465" spans="1:12" x14ac:dyDescent="0.2">
      <c r="A7465"/>
      <c r="B7465"/>
      <c r="C7465"/>
      <c r="D7465"/>
      <c r="E7465"/>
      <c r="F7465"/>
      <c r="G7465"/>
      <c r="H7465"/>
      <c r="I7465"/>
      <c r="J7465"/>
      <c r="K7465" s="1"/>
      <c r="L7465" s="2"/>
    </row>
    <row r="7466" spans="1:12" x14ac:dyDescent="0.2">
      <c r="A7466"/>
      <c r="B7466"/>
      <c r="C7466"/>
      <c r="D7466"/>
      <c r="E7466"/>
      <c r="F7466"/>
      <c r="G7466"/>
      <c r="H7466"/>
      <c r="I7466"/>
      <c r="J7466"/>
      <c r="K7466" s="1"/>
      <c r="L7466" s="2"/>
    </row>
    <row r="7467" spans="1:12" x14ac:dyDescent="0.2">
      <c r="A7467"/>
      <c r="B7467"/>
      <c r="C7467"/>
      <c r="D7467"/>
      <c r="E7467"/>
      <c r="F7467"/>
      <c r="G7467"/>
      <c r="H7467"/>
      <c r="I7467"/>
      <c r="J7467"/>
      <c r="K7467" s="1"/>
      <c r="L7467" s="2"/>
    </row>
    <row r="7468" spans="1:12" x14ac:dyDescent="0.2">
      <c r="A7468"/>
      <c r="B7468"/>
      <c r="C7468"/>
      <c r="D7468"/>
      <c r="E7468"/>
      <c r="F7468"/>
      <c r="G7468"/>
      <c r="H7468"/>
      <c r="I7468"/>
      <c r="J7468"/>
      <c r="K7468" s="1"/>
      <c r="L7468" s="2"/>
    </row>
    <row r="7469" spans="1:12" x14ac:dyDescent="0.2">
      <c r="A7469"/>
      <c r="B7469"/>
      <c r="C7469"/>
      <c r="D7469"/>
      <c r="E7469"/>
      <c r="F7469"/>
      <c r="G7469"/>
      <c r="H7469"/>
      <c r="I7469"/>
      <c r="J7469"/>
      <c r="K7469" s="1"/>
      <c r="L7469" s="2"/>
    </row>
    <row r="7470" spans="1:12" x14ac:dyDescent="0.2">
      <c r="A7470"/>
      <c r="B7470"/>
      <c r="C7470"/>
      <c r="D7470"/>
      <c r="E7470"/>
      <c r="F7470"/>
      <c r="G7470"/>
      <c r="H7470"/>
      <c r="I7470"/>
      <c r="J7470"/>
      <c r="K7470" s="1"/>
      <c r="L7470" s="2"/>
    </row>
    <row r="7471" spans="1:12" x14ac:dyDescent="0.2">
      <c r="A7471"/>
      <c r="B7471"/>
      <c r="C7471"/>
      <c r="D7471"/>
      <c r="E7471"/>
      <c r="F7471"/>
      <c r="G7471"/>
      <c r="H7471"/>
      <c r="I7471"/>
      <c r="J7471"/>
      <c r="K7471" s="1"/>
      <c r="L7471" s="2"/>
    </row>
    <row r="7472" spans="1:12" x14ac:dyDescent="0.2">
      <c r="A7472"/>
      <c r="B7472"/>
      <c r="C7472"/>
      <c r="D7472"/>
      <c r="E7472"/>
      <c r="F7472"/>
      <c r="G7472"/>
      <c r="H7472"/>
      <c r="I7472"/>
      <c r="J7472"/>
      <c r="K7472" s="1"/>
      <c r="L7472" s="2"/>
    </row>
    <row r="7473" spans="1:12" x14ac:dyDescent="0.2">
      <c r="A7473"/>
      <c r="B7473"/>
      <c r="C7473"/>
      <c r="D7473"/>
      <c r="E7473"/>
      <c r="F7473"/>
      <c r="G7473"/>
      <c r="H7473"/>
      <c r="I7473"/>
      <c r="J7473"/>
      <c r="K7473" s="1"/>
      <c r="L7473" s="2"/>
    </row>
    <row r="7474" spans="1:12" x14ac:dyDescent="0.2">
      <c r="A7474"/>
      <c r="B7474"/>
      <c r="C7474"/>
      <c r="D7474"/>
      <c r="E7474"/>
      <c r="F7474"/>
      <c r="G7474"/>
      <c r="H7474"/>
      <c r="I7474"/>
      <c r="J7474"/>
      <c r="K7474" s="1"/>
      <c r="L7474" s="2"/>
    </row>
    <row r="7475" spans="1:12" x14ac:dyDescent="0.2">
      <c r="A7475"/>
      <c r="B7475"/>
      <c r="C7475"/>
      <c r="D7475"/>
      <c r="E7475"/>
      <c r="F7475"/>
      <c r="G7475"/>
      <c r="H7475"/>
      <c r="I7475"/>
      <c r="J7475"/>
      <c r="K7475" s="1"/>
      <c r="L7475" s="2"/>
    </row>
    <row r="7476" spans="1:12" x14ac:dyDescent="0.2">
      <c r="A7476"/>
      <c r="B7476"/>
      <c r="C7476"/>
      <c r="D7476"/>
      <c r="E7476"/>
      <c r="F7476"/>
      <c r="G7476"/>
      <c r="H7476"/>
      <c r="I7476"/>
      <c r="J7476"/>
      <c r="K7476" s="1"/>
      <c r="L7476" s="2"/>
    </row>
    <row r="7477" spans="1:12" x14ac:dyDescent="0.2">
      <c r="A7477"/>
      <c r="B7477"/>
      <c r="C7477"/>
      <c r="D7477"/>
      <c r="E7477"/>
      <c r="F7477"/>
      <c r="G7477"/>
      <c r="H7477"/>
      <c r="I7477"/>
      <c r="J7477"/>
      <c r="K7477" s="1"/>
      <c r="L7477" s="2"/>
    </row>
    <row r="7478" spans="1:12" x14ac:dyDescent="0.2">
      <c r="A7478"/>
      <c r="B7478"/>
      <c r="C7478"/>
      <c r="D7478"/>
      <c r="E7478"/>
      <c r="F7478"/>
      <c r="G7478"/>
      <c r="H7478"/>
      <c r="I7478"/>
      <c r="J7478"/>
      <c r="K7478" s="1"/>
      <c r="L7478" s="2"/>
    </row>
    <row r="7479" spans="1:12" x14ac:dyDescent="0.2">
      <c r="A7479"/>
      <c r="B7479"/>
      <c r="C7479"/>
      <c r="D7479"/>
      <c r="E7479"/>
      <c r="F7479"/>
      <c r="G7479"/>
      <c r="H7479"/>
      <c r="I7479"/>
      <c r="J7479"/>
      <c r="K7479" s="1"/>
      <c r="L7479" s="2"/>
    </row>
    <row r="7480" spans="1:12" x14ac:dyDescent="0.2">
      <c r="A7480"/>
      <c r="B7480"/>
      <c r="C7480"/>
      <c r="D7480"/>
      <c r="E7480"/>
      <c r="F7480"/>
      <c r="G7480"/>
      <c r="H7480"/>
      <c r="I7480"/>
      <c r="J7480"/>
      <c r="K7480" s="1"/>
      <c r="L7480" s="2"/>
    </row>
    <row r="7481" spans="1:12" x14ac:dyDescent="0.2">
      <c r="A7481"/>
      <c r="B7481"/>
      <c r="C7481"/>
      <c r="D7481"/>
      <c r="E7481"/>
      <c r="F7481"/>
      <c r="G7481"/>
      <c r="H7481"/>
      <c r="I7481"/>
      <c r="J7481"/>
      <c r="K7481" s="1"/>
      <c r="L7481" s="2"/>
    </row>
    <row r="7482" spans="1:12" x14ac:dyDescent="0.2">
      <c r="A7482"/>
      <c r="B7482"/>
      <c r="C7482"/>
      <c r="D7482"/>
      <c r="E7482"/>
      <c r="F7482"/>
      <c r="G7482"/>
      <c r="H7482"/>
      <c r="I7482"/>
      <c r="J7482"/>
      <c r="K7482" s="1"/>
      <c r="L7482" s="2"/>
    </row>
    <row r="7483" spans="1:12" x14ac:dyDescent="0.2">
      <c r="A7483"/>
      <c r="B7483"/>
      <c r="C7483"/>
      <c r="D7483"/>
      <c r="E7483"/>
      <c r="F7483"/>
      <c r="G7483"/>
      <c r="H7483"/>
      <c r="I7483"/>
      <c r="J7483"/>
      <c r="K7483" s="1"/>
      <c r="L7483" s="2"/>
    </row>
    <row r="7484" spans="1:12" x14ac:dyDescent="0.2">
      <c r="A7484"/>
      <c r="B7484"/>
      <c r="C7484"/>
      <c r="D7484"/>
      <c r="E7484"/>
      <c r="F7484"/>
      <c r="G7484"/>
      <c r="H7484"/>
      <c r="I7484"/>
      <c r="J7484"/>
      <c r="K7484" s="1"/>
      <c r="L7484" s="2"/>
    </row>
    <row r="7485" spans="1:12" x14ac:dyDescent="0.2">
      <c r="A7485"/>
      <c r="B7485"/>
      <c r="C7485"/>
      <c r="D7485"/>
      <c r="E7485"/>
      <c r="F7485"/>
      <c r="G7485"/>
      <c r="H7485"/>
      <c r="I7485"/>
      <c r="J7485"/>
      <c r="K7485" s="1"/>
      <c r="L7485" s="2"/>
    </row>
    <row r="7486" spans="1:12" x14ac:dyDescent="0.2">
      <c r="A7486"/>
      <c r="B7486"/>
      <c r="C7486"/>
      <c r="D7486"/>
      <c r="E7486"/>
      <c r="F7486"/>
      <c r="G7486"/>
      <c r="H7486"/>
      <c r="I7486"/>
      <c r="J7486"/>
      <c r="K7486" s="1"/>
      <c r="L7486" s="2"/>
    </row>
    <row r="7487" spans="1:12" x14ac:dyDescent="0.2">
      <c r="A7487"/>
      <c r="B7487"/>
      <c r="C7487"/>
      <c r="D7487"/>
      <c r="E7487"/>
      <c r="F7487"/>
      <c r="G7487"/>
      <c r="H7487"/>
      <c r="I7487"/>
      <c r="J7487"/>
      <c r="K7487" s="1"/>
      <c r="L7487" s="2"/>
    </row>
    <row r="7488" spans="1:12" x14ac:dyDescent="0.2">
      <c r="A7488"/>
      <c r="B7488"/>
      <c r="C7488"/>
      <c r="D7488"/>
      <c r="E7488"/>
      <c r="F7488"/>
      <c r="G7488"/>
      <c r="H7488"/>
      <c r="I7488"/>
      <c r="J7488"/>
      <c r="K7488" s="1"/>
      <c r="L7488" s="2"/>
    </row>
    <row r="7489" spans="1:12" x14ac:dyDescent="0.2">
      <c r="A7489"/>
      <c r="B7489"/>
      <c r="C7489"/>
      <c r="D7489"/>
      <c r="E7489"/>
      <c r="F7489"/>
      <c r="G7489"/>
      <c r="H7489"/>
      <c r="I7489"/>
      <c r="J7489"/>
      <c r="K7489" s="1"/>
      <c r="L7489" s="2"/>
    </row>
    <row r="7490" spans="1:12" x14ac:dyDescent="0.2">
      <c r="A7490"/>
      <c r="B7490"/>
      <c r="C7490"/>
      <c r="D7490"/>
      <c r="E7490"/>
      <c r="F7490"/>
      <c r="G7490"/>
      <c r="H7490"/>
      <c r="I7490"/>
      <c r="J7490"/>
      <c r="K7490" s="1"/>
      <c r="L7490" s="2"/>
    </row>
    <row r="7491" spans="1:12" x14ac:dyDescent="0.2">
      <c r="A7491"/>
      <c r="B7491"/>
      <c r="C7491"/>
      <c r="D7491"/>
      <c r="E7491"/>
      <c r="F7491"/>
      <c r="G7491"/>
      <c r="H7491"/>
      <c r="I7491"/>
      <c r="J7491"/>
      <c r="K7491" s="1"/>
      <c r="L7491" s="2"/>
    </row>
    <row r="7492" spans="1:12" x14ac:dyDescent="0.2">
      <c r="A7492"/>
      <c r="B7492"/>
      <c r="C7492"/>
      <c r="D7492"/>
      <c r="E7492"/>
      <c r="F7492"/>
      <c r="G7492"/>
      <c r="H7492"/>
      <c r="I7492"/>
      <c r="J7492"/>
      <c r="K7492" s="1"/>
      <c r="L7492" s="2"/>
    </row>
    <row r="7493" spans="1:12" x14ac:dyDescent="0.2">
      <c r="A7493"/>
      <c r="B7493"/>
      <c r="C7493"/>
      <c r="D7493"/>
      <c r="E7493"/>
      <c r="F7493"/>
      <c r="G7493"/>
      <c r="H7493"/>
      <c r="I7493"/>
      <c r="J7493"/>
      <c r="K7493" s="1"/>
      <c r="L7493" s="2"/>
    </row>
    <row r="7494" spans="1:12" x14ac:dyDescent="0.2">
      <c r="A7494"/>
      <c r="B7494"/>
      <c r="C7494"/>
      <c r="D7494"/>
      <c r="E7494"/>
      <c r="F7494"/>
      <c r="G7494"/>
      <c r="H7494"/>
      <c r="I7494"/>
      <c r="J7494"/>
      <c r="K7494" s="1"/>
      <c r="L7494" s="2"/>
    </row>
    <row r="7495" spans="1:12" x14ac:dyDescent="0.2">
      <c r="A7495"/>
      <c r="B7495"/>
      <c r="C7495"/>
      <c r="D7495"/>
      <c r="E7495"/>
      <c r="F7495"/>
      <c r="G7495"/>
      <c r="H7495"/>
      <c r="I7495"/>
      <c r="J7495"/>
      <c r="K7495" s="1"/>
      <c r="L7495" s="2"/>
    </row>
    <row r="7496" spans="1:12" x14ac:dyDescent="0.2">
      <c r="A7496"/>
      <c r="B7496"/>
      <c r="C7496"/>
      <c r="D7496"/>
      <c r="E7496"/>
      <c r="F7496"/>
      <c r="G7496"/>
      <c r="H7496"/>
      <c r="I7496"/>
      <c r="J7496"/>
      <c r="K7496" s="1"/>
      <c r="L7496" s="2"/>
    </row>
    <row r="7497" spans="1:12" x14ac:dyDescent="0.2">
      <c r="A7497"/>
      <c r="B7497"/>
      <c r="C7497"/>
      <c r="D7497"/>
      <c r="E7497"/>
      <c r="F7497"/>
      <c r="G7497"/>
      <c r="H7497"/>
      <c r="I7497"/>
      <c r="J7497"/>
      <c r="K7497" s="1"/>
      <c r="L7497" s="2"/>
    </row>
    <row r="7498" spans="1:12" x14ac:dyDescent="0.2">
      <c r="A7498"/>
      <c r="B7498"/>
      <c r="C7498"/>
      <c r="D7498"/>
      <c r="E7498"/>
      <c r="F7498"/>
      <c r="G7498"/>
      <c r="H7498"/>
      <c r="I7498"/>
      <c r="J7498"/>
      <c r="K7498" s="1"/>
      <c r="L7498" s="2"/>
    </row>
    <row r="7499" spans="1:12" x14ac:dyDescent="0.2">
      <c r="A7499"/>
      <c r="B7499"/>
      <c r="C7499"/>
      <c r="D7499"/>
      <c r="E7499"/>
      <c r="F7499"/>
      <c r="G7499"/>
      <c r="H7499"/>
      <c r="I7499"/>
      <c r="J7499"/>
      <c r="K7499" s="1"/>
      <c r="L7499" s="2"/>
    </row>
    <row r="7500" spans="1:12" x14ac:dyDescent="0.2">
      <c r="A7500"/>
      <c r="B7500"/>
      <c r="C7500"/>
      <c r="D7500"/>
      <c r="E7500"/>
      <c r="F7500"/>
      <c r="G7500"/>
      <c r="H7500"/>
      <c r="I7500"/>
      <c r="J7500"/>
      <c r="K7500" s="1"/>
      <c r="L7500" s="2"/>
    </row>
    <row r="7501" spans="1:12" x14ac:dyDescent="0.2">
      <c r="A7501"/>
      <c r="B7501"/>
      <c r="C7501"/>
      <c r="D7501"/>
      <c r="E7501"/>
      <c r="F7501"/>
      <c r="G7501"/>
      <c r="H7501"/>
      <c r="I7501"/>
      <c r="J7501"/>
      <c r="K7501" s="1"/>
      <c r="L7501" s="2"/>
    </row>
    <row r="7502" spans="1:12" x14ac:dyDescent="0.2">
      <c r="A7502"/>
      <c r="B7502"/>
      <c r="C7502"/>
      <c r="D7502"/>
      <c r="E7502"/>
      <c r="F7502"/>
      <c r="G7502"/>
      <c r="H7502"/>
      <c r="I7502"/>
      <c r="J7502"/>
      <c r="K7502" s="1"/>
      <c r="L7502" s="2"/>
    </row>
    <row r="7503" spans="1:12" x14ac:dyDescent="0.2">
      <c r="A7503"/>
      <c r="B7503"/>
      <c r="C7503"/>
      <c r="D7503"/>
      <c r="E7503"/>
      <c r="F7503"/>
      <c r="G7503"/>
      <c r="H7503"/>
      <c r="I7503"/>
      <c r="J7503"/>
      <c r="K7503" s="1"/>
      <c r="L7503" s="2"/>
    </row>
    <row r="7504" spans="1:12" x14ac:dyDescent="0.2">
      <c r="A7504"/>
      <c r="B7504"/>
      <c r="C7504"/>
      <c r="D7504"/>
      <c r="E7504"/>
      <c r="F7504"/>
      <c r="G7504"/>
      <c r="H7504"/>
      <c r="I7504"/>
      <c r="J7504"/>
      <c r="K7504" s="1"/>
      <c r="L7504" s="2"/>
    </row>
    <row r="7505" spans="1:12" x14ac:dyDescent="0.2">
      <c r="A7505"/>
      <c r="B7505"/>
      <c r="C7505"/>
      <c r="D7505"/>
      <c r="E7505"/>
      <c r="F7505"/>
      <c r="G7505"/>
      <c r="H7505"/>
      <c r="I7505"/>
      <c r="J7505"/>
      <c r="K7505" s="1"/>
      <c r="L7505" s="2"/>
    </row>
    <row r="7506" spans="1:12" x14ac:dyDescent="0.2">
      <c r="A7506"/>
      <c r="B7506"/>
      <c r="C7506"/>
      <c r="D7506"/>
      <c r="E7506"/>
      <c r="F7506"/>
      <c r="G7506"/>
      <c r="H7506"/>
      <c r="I7506"/>
      <c r="J7506"/>
      <c r="K7506" s="1"/>
      <c r="L7506" s="2"/>
    </row>
    <row r="7507" spans="1:12" x14ac:dyDescent="0.2">
      <c r="A7507"/>
      <c r="B7507"/>
      <c r="C7507"/>
      <c r="D7507"/>
      <c r="E7507"/>
      <c r="F7507"/>
      <c r="G7507"/>
      <c r="H7507"/>
      <c r="I7507"/>
      <c r="J7507"/>
      <c r="K7507" s="1"/>
      <c r="L7507" s="2"/>
    </row>
    <row r="7508" spans="1:12" x14ac:dyDescent="0.2">
      <c r="A7508"/>
      <c r="B7508"/>
      <c r="C7508"/>
      <c r="D7508"/>
      <c r="E7508"/>
      <c r="F7508"/>
      <c r="G7508"/>
      <c r="H7508"/>
      <c r="I7508"/>
      <c r="J7508"/>
      <c r="K7508" s="1"/>
      <c r="L7508" s="2"/>
    </row>
    <row r="7509" spans="1:12" x14ac:dyDescent="0.2">
      <c r="A7509"/>
      <c r="B7509"/>
      <c r="C7509"/>
      <c r="D7509"/>
      <c r="E7509"/>
      <c r="F7509"/>
      <c r="G7509"/>
      <c r="H7509"/>
      <c r="I7509"/>
      <c r="J7509"/>
      <c r="K7509" s="1"/>
      <c r="L7509" s="2"/>
    </row>
    <row r="7510" spans="1:12" x14ac:dyDescent="0.2">
      <c r="A7510"/>
      <c r="B7510"/>
      <c r="C7510"/>
      <c r="D7510"/>
      <c r="E7510"/>
      <c r="F7510"/>
      <c r="G7510"/>
      <c r="H7510"/>
      <c r="I7510"/>
      <c r="J7510"/>
      <c r="K7510" s="1"/>
      <c r="L7510" s="2"/>
    </row>
    <row r="7511" spans="1:12" x14ac:dyDescent="0.2">
      <c r="A7511"/>
      <c r="B7511"/>
      <c r="C7511"/>
      <c r="D7511"/>
      <c r="E7511"/>
      <c r="F7511"/>
      <c r="G7511"/>
      <c r="H7511"/>
      <c r="I7511"/>
      <c r="J7511"/>
      <c r="K7511" s="1"/>
      <c r="L7511" s="2"/>
    </row>
    <row r="7512" spans="1:12" x14ac:dyDescent="0.2">
      <c r="A7512"/>
      <c r="B7512"/>
      <c r="C7512"/>
      <c r="D7512"/>
      <c r="E7512"/>
      <c r="F7512"/>
      <c r="G7512"/>
      <c r="H7512"/>
      <c r="I7512"/>
      <c r="J7512"/>
      <c r="K7512" s="1"/>
      <c r="L7512" s="2"/>
    </row>
    <row r="7513" spans="1:12" x14ac:dyDescent="0.2">
      <c r="A7513"/>
      <c r="B7513"/>
      <c r="C7513"/>
      <c r="D7513"/>
      <c r="E7513"/>
      <c r="F7513"/>
      <c r="G7513"/>
      <c r="H7513"/>
      <c r="I7513"/>
      <c r="J7513"/>
      <c r="K7513" s="1"/>
      <c r="L7513" s="2"/>
    </row>
    <row r="7514" spans="1:12" x14ac:dyDescent="0.2">
      <c r="A7514"/>
      <c r="B7514"/>
      <c r="C7514"/>
      <c r="D7514"/>
      <c r="E7514"/>
      <c r="F7514"/>
      <c r="G7514"/>
      <c r="H7514"/>
      <c r="I7514"/>
      <c r="J7514"/>
      <c r="K7514" s="1"/>
      <c r="L7514" s="2"/>
    </row>
    <row r="7515" spans="1:12" x14ac:dyDescent="0.2">
      <c r="A7515"/>
      <c r="B7515"/>
      <c r="C7515"/>
      <c r="D7515"/>
      <c r="E7515"/>
      <c r="F7515"/>
      <c r="G7515"/>
      <c r="H7515"/>
      <c r="I7515"/>
      <c r="J7515"/>
      <c r="K7515" s="1"/>
      <c r="L7515" s="2"/>
    </row>
    <row r="7516" spans="1:12" x14ac:dyDescent="0.2">
      <c r="A7516"/>
      <c r="B7516"/>
      <c r="C7516"/>
      <c r="D7516"/>
      <c r="E7516"/>
      <c r="F7516"/>
      <c r="G7516"/>
      <c r="H7516"/>
      <c r="I7516"/>
      <c r="J7516"/>
      <c r="K7516" s="1"/>
      <c r="L7516" s="2"/>
    </row>
    <row r="7517" spans="1:12" x14ac:dyDescent="0.2">
      <c r="A7517"/>
      <c r="B7517"/>
      <c r="C7517"/>
      <c r="D7517"/>
      <c r="E7517"/>
      <c r="F7517"/>
      <c r="G7517"/>
      <c r="H7517"/>
      <c r="I7517"/>
      <c r="J7517"/>
      <c r="K7517" s="1"/>
      <c r="L7517" s="2"/>
    </row>
    <row r="7518" spans="1:12" x14ac:dyDescent="0.2">
      <c r="A7518"/>
      <c r="B7518"/>
      <c r="C7518"/>
      <c r="D7518"/>
      <c r="E7518"/>
      <c r="F7518"/>
      <c r="G7518"/>
      <c r="H7518"/>
      <c r="I7518"/>
      <c r="J7518"/>
      <c r="K7518" s="1"/>
      <c r="L7518" s="2"/>
    </row>
    <row r="7519" spans="1:12" x14ac:dyDescent="0.2">
      <c r="A7519"/>
      <c r="B7519"/>
      <c r="C7519"/>
      <c r="D7519"/>
      <c r="E7519"/>
      <c r="F7519"/>
      <c r="G7519"/>
      <c r="H7519"/>
      <c r="I7519"/>
      <c r="J7519"/>
      <c r="K7519" s="1"/>
      <c r="L7519" s="2"/>
    </row>
    <row r="7520" spans="1:12" x14ac:dyDescent="0.2">
      <c r="A7520"/>
      <c r="B7520"/>
      <c r="C7520"/>
      <c r="D7520"/>
      <c r="E7520"/>
      <c r="F7520"/>
      <c r="G7520"/>
      <c r="H7520"/>
      <c r="I7520"/>
      <c r="J7520"/>
      <c r="K7520" s="1"/>
      <c r="L7520" s="2"/>
    </row>
    <row r="7521" spans="1:12" x14ac:dyDescent="0.2">
      <c r="A7521"/>
      <c r="B7521"/>
      <c r="C7521"/>
      <c r="D7521"/>
      <c r="E7521"/>
      <c r="F7521"/>
      <c r="G7521"/>
      <c r="H7521"/>
      <c r="I7521"/>
      <c r="J7521"/>
      <c r="K7521" s="1"/>
      <c r="L7521" s="2"/>
    </row>
    <row r="7522" spans="1:12" x14ac:dyDescent="0.2">
      <c r="A7522"/>
      <c r="B7522"/>
      <c r="C7522"/>
      <c r="D7522"/>
      <c r="E7522"/>
      <c r="F7522"/>
      <c r="G7522"/>
      <c r="H7522"/>
      <c r="I7522"/>
      <c r="J7522"/>
      <c r="K7522" s="1"/>
      <c r="L7522" s="2"/>
    </row>
    <row r="7523" spans="1:12" x14ac:dyDescent="0.2">
      <c r="A7523"/>
      <c r="B7523"/>
      <c r="C7523"/>
      <c r="D7523"/>
      <c r="E7523"/>
      <c r="F7523"/>
      <c r="G7523"/>
      <c r="H7523"/>
      <c r="I7523"/>
      <c r="J7523"/>
      <c r="K7523" s="1"/>
      <c r="L7523" s="2"/>
    </row>
    <row r="7524" spans="1:12" x14ac:dyDescent="0.2">
      <c r="A7524"/>
      <c r="B7524"/>
      <c r="C7524"/>
      <c r="D7524"/>
      <c r="E7524"/>
      <c r="F7524"/>
      <c r="G7524"/>
      <c r="H7524"/>
      <c r="I7524"/>
      <c r="J7524"/>
      <c r="K7524" s="1"/>
      <c r="L7524" s="2"/>
    </row>
    <row r="7525" spans="1:12" x14ac:dyDescent="0.2">
      <c r="A7525"/>
      <c r="B7525"/>
      <c r="C7525"/>
      <c r="D7525"/>
      <c r="E7525"/>
      <c r="F7525"/>
      <c r="G7525"/>
      <c r="H7525"/>
      <c r="I7525"/>
      <c r="J7525"/>
      <c r="K7525" s="1"/>
      <c r="L7525" s="2"/>
    </row>
    <row r="7526" spans="1:12" x14ac:dyDescent="0.2">
      <c r="A7526"/>
      <c r="B7526"/>
      <c r="C7526"/>
      <c r="D7526"/>
      <c r="E7526"/>
      <c r="F7526"/>
      <c r="G7526"/>
      <c r="H7526"/>
      <c r="I7526"/>
      <c r="J7526"/>
      <c r="K7526" s="1"/>
      <c r="L7526" s="2"/>
    </row>
    <row r="7527" spans="1:12" x14ac:dyDescent="0.2">
      <c r="A7527"/>
      <c r="B7527"/>
      <c r="C7527"/>
      <c r="D7527"/>
      <c r="E7527"/>
      <c r="F7527"/>
      <c r="G7527"/>
      <c r="H7527"/>
      <c r="I7527"/>
      <c r="J7527"/>
      <c r="K7527" s="1"/>
      <c r="L7527" s="2"/>
    </row>
    <row r="7528" spans="1:12" x14ac:dyDescent="0.2">
      <c r="A7528"/>
      <c r="B7528"/>
      <c r="C7528"/>
      <c r="D7528"/>
      <c r="E7528"/>
      <c r="F7528"/>
      <c r="G7528"/>
      <c r="H7528"/>
      <c r="I7528"/>
      <c r="J7528"/>
      <c r="K7528" s="1"/>
      <c r="L7528" s="2"/>
    </row>
    <row r="7529" spans="1:12" x14ac:dyDescent="0.2">
      <c r="A7529"/>
      <c r="B7529"/>
      <c r="C7529"/>
      <c r="D7529"/>
      <c r="E7529"/>
      <c r="F7529"/>
      <c r="G7529"/>
      <c r="H7529"/>
      <c r="I7529"/>
      <c r="J7529"/>
      <c r="K7529" s="1"/>
      <c r="L7529" s="2"/>
    </row>
    <row r="7530" spans="1:12" x14ac:dyDescent="0.2">
      <c r="A7530"/>
      <c r="B7530"/>
      <c r="C7530"/>
      <c r="D7530"/>
      <c r="E7530"/>
      <c r="F7530"/>
      <c r="G7530"/>
      <c r="H7530"/>
      <c r="I7530"/>
      <c r="J7530"/>
      <c r="K7530" s="1"/>
      <c r="L7530" s="2"/>
    </row>
    <row r="7531" spans="1:12" x14ac:dyDescent="0.2">
      <c r="A7531"/>
      <c r="B7531"/>
      <c r="C7531"/>
      <c r="D7531"/>
      <c r="E7531"/>
      <c r="F7531"/>
      <c r="G7531"/>
      <c r="H7531"/>
      <c r="I7531"/>
      <c r="J7531"/>
      <c r="K7531" s="1"/>
      <c r="L7531" s="2"/>
    </row>
    <row r="7532" spans="1:12" x14ac:dyDescent="0.2">
      <c r="A7532"/>
      <c r="B7532"/>
      <c r="C7532"/>
      <c r="D7532"/>
      <c r="E7532"/>
      <c r="F7532"/>
      <c r="G7532"/>
      <c r="H7532"/>
      <c r="I7532"/>
      <c r="J7532"/>
      <c r="K7532" s="1"/>
      <c r="L7532" s="2"/>
    </row>
    <row r="7533" spans="1:12" x14ac:dyDescent="0.2">
      <c r="A7533"/>
      <c r="B7533"/>
      <c r="C7533"/>
      <c r="D7533"/>
      <c r="E7533"/>
      <c r="F7533"/>
      <c r="G7533"/>
      <c r="H7533"/>
      <c r="I7533"/>
      <c r="J7533"/>
      <c r="K7533" s="1"/>
      <c r="L7533" s="2"/>
    </row>
    <row r="7534" spans="1:12" x14ac:dyDescent="0.2">
      <c r="A7534"/>
      <c r="B7534"/>
      <c r="C7534"/>
      <c r="D7534"/>
      <c r="E7534"/>
      <c r="F7534"/>
      <c r="G7534"/>
      <c r="H7534"/>
      <c r="I7534"/>
      <c r="J7534"/>
      <c r="K7534" s="1"/>
      <c r="L7534" s="2"/>
    </row>
    <row r="7535" spans="1:12" x14ac:dyDescent="0.2">
      <c r="A7535"/>
      <c r="B7535"/>
      <c r="C7535"/>
      <c r="D7535"/>
      <c r="E7535"/>
      <c r="F7535"/>
      <c r="G7535"/>
      <c r="H7535"/>
      <c r="I7535"/>
      <c r="J7535"/>
      <c r="K7535" s="1"/>
      <c r="L7535" s="2"/>
    </row>
    <row r="7536" spans="1:12" x14ac:dyDescent="0.2">
      <c r="A7536"/>
      <c r="B7536"/>
      <c r="C7536"/>
      <c r="D7536"/>
      <c r="E7536"/>
      <c r="F7536"/>
      <c r="G7536"/>
      <c r="H7536"/>
      <c r="I7536"/>
      <c r="J7536"/>
      <c r="K7536" s="1"/>
      <c r="L7536" s="2"/>
    </row>
    <row r="7537" spans="1:12" x14ac:dyDescent="0.2">
      <c r="A7537"/>
      <c r="B7537"/>
      <c r="C7537"/>
      <c r="D7537"/>
      <c r="E7537"/>
      <c r="F7537"/>
      <c r="G7537"/>
      <c r="H7537"/>
      <c r="I7537"/>
      <c r="J7537"/>
      <c r="K7537" s="1"/>
      <c r="L7537" s="2"/>
    </row>
    <row r="7538" spans="1:12" x14ac:dyDescent="0.2">
      <c r="A7538"/>
      <c r="B7538"/>
      <c r="C7538"/>
      <c r="D7538"/>
      <c r="E7538"/>
      <c r="F7538"/>
      <c r="G7538"/>
      <c r="H7538"/>
      <c r="I7538"/>
      <c r="J7538"/>
      <c r="K7538" s="1"/>
      <c r="L7538" s="2"/>
    </row>
    <row r="7539" spans="1:12" x14ac:dyDescent="0.2">
      <c r="A7539"/>
      <c r="B7539"/>
      <c r="C7539"/>
      <c r="D7539"/>
      <c r="E7539"/>
      <c r="F7539"/>
      <c r="G7539"/>
      <c r="H7539"/>
      <c r="I7539"/>
      <c r="J7539"/>
      <c r="K7539" s="1"/>
      <c r="L7539" s="2"/>
    </row>
    <row r="7540" spans="1:12" x14ac:dyDescent="0.2">
      <c r="A7540"/>
      <c r="B7540"/>
      <c r="C7540"/>
      <c r="D7540"/>
      <c r="E7540"/>
      <c r="F7540"/>
      <c r="G7540"/>
      <c r="H7540"/>
      <c r="I7540"/>
      <c r="J7540"/>
      <c r="K7540" s="1"/>
      <c r="L7540" s="2"/>
    </row>
    <row r="7541" spans="1:12" x14ac:dyDescent="0.2">
      <c r="A7541"/>
      <c r="B7541"/>
      <c r="C7541"/>
      <c r="D7541"/>
      <c r="E7541"/>
      <c r="F7541"/>
      <c r="G7541"/>
      <c r="H7541"/>
      <c r="I7541"/>
      <c r="J7541"/>
      <c r="K7541" s="1"/>
      <c r="L7541" s="2"/>
    </row>
    <row r="7542" spans="1:12" x14ac:dyDescent="0.2">
      <c r="A7542"/>
      <c r="B7542"/>
      <c r="C7542"/>
      <c r="D7542"/>
      <c r="E7542"/>
      <c r="F7542"/>
      <c r="G7542"/>
      <c r="H7542"/>
      <c r="I7542"/>
      <c r="J7542"/>
      <c r="K7542" s="1"/>
      <c r="L7542" s="2"/>
    </row>
    <row r="7543" spans="1:12" x14ac:dyDescent="0.2">
      <c r="A7543"/>
      <c r="B7543"/>
      <c r="C7543"/>
      <c r="D7543"/>
      <c r="E7543"/>
      <c r="F7543"/>
      <c r="G7543"/>
      <c r="H7543"/>
      <c r="I7543"/>
      <c r="J7543"/>
      <c r="K7543" s="1"/>
      <c r="L7543" s="2"/>
    </row>
    <row r="7544" spans="1:12" x14ac:dyDescent="0.2">
      <c r="A7544"/>
      <c r="B7544"/>
      <c r="C7544"/>
      <c r="D7544"/>
      <c r="E7544"/>
      <c r="F7544"/>
      <c r="G7544"/>
      <c r="H7544"/>
      <c r="I7544"/>
      <c r="J7544"/>
      <c r="K7544" s="1"/>
      <c r="L7544" s="2"/>
    </row>
    <row r="7545" spans="1:12" x14ac:dyDescent="0.2">
      <c r="A7545"/>
      <c r="B7545"/>
      <c r="C7545"/>
      <c r="D7545"/>
      <c r="E7545"/>
      <c r="F7545"/>
      <c r="G7545"/>
      <c r="H7545"/>
      <c r="I7545"/>
      <c r="J7545"/>
      <c r="K7545" s="1"/>
      <c r="L7545" s="2"/>
    </row>
    <row r="7546" spans="1:12" x14ac:dyDescent="0.2">
      <c r="A7546"/>
      <c r="B7546"/>
      <c r="C7546"/>
      <c r="D7546"/>
      <c r="E7546"/>
      <c r="F7546"/>
      <c r="G7546"/>
      <c r="H7546"/>
      <c r="I7546"/>
      <c r="J7546"/>
      <c r="K7546" s="1"/>
      <c r="L7546" s="2"/>
    </row>
    <row r="7547" spans="1:12" x14ac:dyDescent="0.2">
      <c r="A7547"/>
      <c r="B7547"/>
      <c r="C7547"/>
      <c r="D7547"/>
      <c r="E7547"/>
      <c r="F7547"/>
      <c r="G7547"/>
      <c r="H7547"/>
      <c r="I7547"/>
      <c r="J7547"/>
      <c r="K7547" s="1"/>
      <c r="L7547" s="2"/>
    </row>
    <row r="7548" spans="1:12" x14ac:dyDescent="0.2">
      <c r="A7548"/>
      <c r="B7548"/>
      <c r="C7548"/>
      <c r="D7548"/>
      <c r="E7548"/>
      <c r="F7548"/>
      <c r="G7548"/>
      <c r="H7548"/>
      <c r="I7548"/>
      <c r="J7548"/>
      <c r="K7548" s="1"/>
      <c r="L7548" s="2"/>
    </row>
    <row r="7549" spans="1:12" x14ac:dyDescent="0.2">
      <c r="A7549"/>
      <c r="B7549"/>
      <c r="C7549"/>
      <c r="D7549"/>
      <c r="E7549"/>
      <c r="F7549"/>
      <c r="G7549"/>
      <c r="H7549"/>
      <c r="I7549"/>
      <c r="J7549"/>
      <c r="K7549" s="1"/>
      <c r="L7549" s="2"/>
    </row>
    <row r="7550" spans="1:12" x14ac:dyDescent="0.2">
      <c r="A7550"/>
      <c r="B7550"/>
      <c r="C7550"/>
      <c r="D7550"/>
      <c r="E7550"/>
      <c r="F7550"/>
      <c r="G7550"/>
      <c r="H7550"/>
      <c r="I7550"/>
      <c r="J7550"/>
      <c r="K7550" s="1"/>
      <c r="L7550" s="2"/>
    </row>
    <row r="7551" spans="1:12" x14ac:dyDescent="0.2">
      <c r="A7551"/>
      <c r="B7551"/>
      <c r="C7551"/>
      <c r="D7551"/>
      <c r="E7551"/>
      <c r="F7551"/>
      <c r="G7551"/>
      <c r="H7551"/>
      <c r="I7551"/>
      <c r="J7551"/>
      <c r="K7551" s="1"/>
      <c r="L7551" s="2"/>
    </row>
    <row r="7552" spans="1:12" x14ac:dyDescent="0.2">
      <c r="A7552"/>
      <c r="B7552"/>
      <c r="C7552"/>
      <c r="D7552"/>
      <c r="E7552"/>
      <c r="F7552"/>
      <c r="G7552"/>
      <c r="H7552"/>
      <c r="I7552"/>
      <c r="J7552"/>
      <c r="K7552" s="1"/>
      <c r="L7552" s="2"/>
    </row>
    <row r="7553" spans="1:12" x14ac:dyDescent="0.2">
      <c r="A7553"/>
      <c r="B7553"/>
      <c r="C7553"/>
      <c r="D7553"/>
      <c r="E7553"/>
      <c r="F7553"/>
      <c r="G7553"/>
      <c r="H7553"/>
      <c r="I7553"/>
      <c r="J7553"/>
      <c r="K7553" s="1"/>
      <c r="L7553" s="2"/>
    </row>
    <row r="7554" spans="1:12" x14ac:dyDescent="0.2">
      <c r="A7554"/>
      <c r="B7554"/>
      <c r="C7554"/>
      <c r="D7554"/>
      <c r="E7554"/>
      <c r="F7554"/>
      <c r="G7554"/>
      <c r="H7554"/>
      <c r="I7554"/>
      <c r="J7554"/>
      <c r="K7554" s="1"/>
      <c r="L7554" s="2"/>
    </row>
    <row r="7555" spans="1:12" x14ac:dyDescent="0.2">
      <c r="A7555"/>
      <c r="B7555"/>
      <c r="C7555"/>
      <c r="D7555"/>
      <c r="E7555"/>
      <c r="F7555"/>
      <c r="G7555"/>
      <c r="H7555"/>
      <c r="I7555"/>
      <c r="J7555"/>
      <c r="K7555" s="1"/>
      <c r="L7555" s="2"/>
    </row>
    <row r="7556" spans="1:12" x14ac:dyDescent="0.2">
      <c r="A7556"/>
      <c r="B7556"/>
      <c r="C7556"/>
      <c r="D7556"/>
      <c r="E7556"/>
      <c r="F7556"/>
      <c r="G7556"/>
      <c r="H7556"/>
      <c r="I7556"/>
      <c r="J7556"/>
      <c r="K7556" s="1"/>
      <c r="L7556" s="2"/>
    </row>
    <row r="7557" spans="1:12" x14ac:dyDescent="0.2">
      <c r="A7557"/>
      <c r="B7557"/>
      <c r="C7557"/>
      <c r="D7557"/>
      <c r="E7557"/>
      <c r="F7557"/>
      <c r="G7557"/>
      <c r="H7557"/>
      <c r="I7557"/>
      <c r="J7557"/>
      <c r="K7557" s="1"/>
      <c r="L7557" s="2"/>
    </row>
    <row r="7558" spans="1:12" x14ac:dyDescent="0.2">
      <c r="A7558"/>
      <c r="B7558"/>
      <c r="C7558"/>
      <c r="D7558"/>
      <c r="E7558"/>
      <c r="F7558"/>
      <c r="G7558"/>
      <c r="H7558"/>
      <c r="I7558"/>
      <c r="J7558"/>
      <c r="K7558" s="1"/>
      <c r="L7558" s="2"/>
    </row>
    <row r="7559" spans="1:12" x14ac:dyDescent="0.2">
      <c r="A7559"/>
      <c r="B7559"/>
      <c r="C7559"/>
      <c r="D7559"/>
      <c r="E7559"/>
      <c r="F7559"/>
      <c r="G7559"/>
      <c r="H7559"/>
      <c r="I7559"/>
      <c r="J7559"/>
      <c r="K7559" s="1"/>
      <c r="L7559" s="2"/>
    </row>
    <row r="7560" spans="1:12" x14ac:dyDescent="0.2">
      <c r="A7560"/>
      <c r="B7560"/>
      <c r="C7560"/>
      <c r="D7560"/>
      <c r="E7560"/>
      <c r="F7560"/>
      <c r="G7560"/>
      <c r="H7560"/>
      <c r="I7560"/>
      <c r="J7560"/>
      <c r="K7560" s="1"/>
      <c r="L7560" s="2"/>
    </row>
    <row r="7561" spans="1:12" x14ac:dyDescent="0.2">
      <c r="A7561"/>
      <c r="B7561"/>
      <c r="C7561"/>
      <c r="D7561"/>
      <c r="E7561"/>
      <c r="F7561"/>
      <c r="G7561"/>
      <c r="H7561"/>
      <c r="I7561"/>
      <c r="J7561"/>
      <c r="K7561" s="1"/>
      <c r="L7561" s="2"/>
    </row>
    <row r="7562" spans="1:12" x14ac:dyDescent="0.2">
      <c r="A7562"/>
      <c r="B7562"/>
      <c r="C7562"/>
      <c r="D7562"/>
      <c r="E7562"/>
      <c r="F7562"/>
      <c r="G7562"/>
      <c r="H7562"/>
      <c r="I7562"/>
      <c r="J7562"/>
      <c r="K7562" s="1"/>
      <c r="L7562" s="2"/>
    </row>
    <row r="7563" spans="1:12" x14ac:dyDescent="0.2">
      <c r="A7563"/>
      <c r="B7563"/>
      <c r="C7563"/>
      <c r="D7563"/>
      <c r="E7563"/>
      <c r="F7563"/>
      <c r="G7563"/>
      <c r="H7563"/>
      <c r="I7563"/>
      <c r="J7563"/>
      <c r="K7563" s="1"/>
      <c r="L7563" s="2"/>
    </row>
    <row r="7564" spans="1:12" x14ac:dyDescent="0.2">
      <c r="A7564"/>
      <c r="B7564"/>
      <c r="C7564"/>
      <c r="D7564"/>
      <c r="E7564"/>
      <c r="F7564"/>
      <c r="G7564"/>
      <c r="H7564"/>
      <c r="I7564"/>
      <c r="J7564"/>
      <c r="K7564" s="1"/>
      <c r="L7564" s="2"/>
    </row>
    <row r="7565" spans="1:12" x14ac:dyDescent="0.2">
      <c r="A7565"/>
      <c r="B7565"/>
      <c r="C7565"/>
      <c r="D7565"/>
      <c r="E7565"/>
      <c r="F7565"/>
      <c r="G7565"/>
      <c r="H7565"/>
      <c r="I7565"/>
      <c r="J7565"/>
      <c r="K7565" s="1"/>
      <c r="L7565" s="2"/>
    </row>
    <row r="7566" spans="1:12" x14ac:dyDescent="0.2">
      <c r="A7566"/>
      <c r="B7566"/>
      <c r="C7566"/>
      <c r="D7566"/>
      <c r="E7566"/>
      <c r="F7566"/>
      <c r="G7566"/>
      <c r="H7566"/>
      <c r="I7566"/>
      <c r="J7566"/>
      <c r="K7566" s="1"/>
      <c r="L7566" s="2"/>
    </row>
    <row r="7567" spans="1:12" x14ac:dyDescent="0.2">
      <c r="A7567"/>
      <c r="B7567"/>
      <c r="C7567"/>
      <c r="D7567"/>
      <c r="E7567"/>
      <c r="F7567"/>
      <c r="G7567"/>
      <c r="H7567"/>
      <c r="I7567"/>
      <c r="J7567"/>
      <c r="K7567" s="1"/>
      <c r="L7567" s="2"/>
    </row>
    <row r="7568" spans="1:12" x14ac:dyDescent="0.2">
      <c r="A7568"/>
      <c r="B7568"/>
      <c r="C7568"/>
      <c r="D7568"/>
      <c r="E7568"/>
      <c r="F7568"/>
      <c r="G7568"/>
      <c r="H7568"/>
      <c r="I7568"/>
      <c r="J7568"/>
      <c r="K7568" s="1"/>
      <c r="L7568" s="2"/>
    </row>
    <row r="7569" spans="1:12" x14ac:dyDescent="0.2">
      <c r="A7569"/>
      <c r="B7569"/>
      <c r="C7569"/>
      <c r="D7569"/>
      <c r="E7569"/>
      <c r="F7569"/>
      <c r="G7569"/>
      <c r="H7569"/>
      <c r="I7569"/>
      <c r="J7569"/>
      <c r="K7569" s="1"/>
      <c r="L7569" s="2"/>
    </row>
    <row r="7570" spans="1:12" x14ac:dyDescent="0.2">
      <c r="A7570"/>
      <c r="B7570"/>
      <c r="C7570"/>
      <c r="D7570"/>
      <c r="E7570"/>
      <c r="F7570"/>
      <c r="G7570"/>
      <c r="H7570"/>
      <c r="I7570"/>
      <c r="J7570"/>
      <c r="K7570" s="1"/>
      <c r="L7570" s="2"/>
    </row>
    <row r="7571" spans="1:12" x14ac:dyDescent="0.2">
      <c r="A7571"/>
      <c r="B7571"/>
      <c r="C7571"/>
      <c r="D7571"/>
      <c r="E7571"/>
      <c r="F7571"/>
      <c r="G7571"/>
      <c r="H7571"/>
      <c r="I7571"/>
      <c r="J7571"/>
      <c r="K7571" s="1"/>
      <c r="L7571" s="2"/>
    </row>
    <row r="7572" spans="1:12" x14ac:dyDescent="0.2">
      <c r="A7572"/>
      <c r="B7572"/>
      <c r="C7572"/>
      <c r="D7572"/>
      <c r="E7572"/>
      <c r="F7572"/>
      <c r="G7572"/>
      <c r="H7572"/>
      <c r="I7572"/>
      <c r="J7572"/>
      <c r="K7572" s="1"/>
      <c r="L7572" s="2"/>
    </row>
    <row r="7573" spans="1:12" x14ac:dyDescent="0.2">
      <c r="A7573"/>
      <c r="B7573"/>
      <c r="C7573"/>
      <c r="D7573"/>
      <c r="E7573"/>
      <c r="F7573"/>
      <c r="G7573"/>
      <c r="H7573"/>
      <c r="I7573"/>
      <c r="J7573"/>
      <c r="K7573" s="1"/>
      <c r="L7573" s="2"/>
    </row>
    <row r="7574" spans="1:12" x14ac:dyDescent="0.2">
      <c r="A7574"/>
      <c r="B7574"/>
      <c r="C7574"/>
      <c r="D7574"/>
      <c r="E7574"/>
      <c r="F7574"/>
      <c r="G7574"/>
      <c r="H7574"/>
      <c r="I7574"/>
      <c r="J7574"/>
      <c r="K7574" s="1"/>
      <c r="L7574" s="2"/>
    </row>
    <row r="7575" spans="1:12" x14ac:dyDescent="0.2">
      <c r="A7575"/>
      <c r="B7575"/>
      <c r="C7575"/>
      <c r="D7575"/>
      <c r="E7575"/>
      <c r="F7575"/>
      <c r="G7575"/>
      <c r="H7575"/>
      <c r="I7575"/>
      <c r="J7575"/>
      <c r="K7575" s="1"/>
      <c r="L7575" s="2"/>
    </row>
    <row r="7576" spans="1:12" x14ac:dyDescent="0.2">
      <c r="A7576"/>
      <c r="B7576"/>
      <c r="C7576"/>
      <c r="D7576"/>
      <c r="E7576"/>
      <c r="F7576"/>
      <c r="G7576"/>
      <c r="H7576"/>
      <c r="I7576"/>
      <c r="J7576"/>
      <c r="K7576" s="1"/>
      <c r="L7576" s="2"/>
    </row>
    <row r="7577" spans="1:12" x14ac:dyDescent="0.2">
      <c r="A7577"/>
      <c r="B7577"/>
      <c r="C7577"/>
      <c r="D7577"/>
      <c r="E7577"/>
      <c r="F7577"/>
      <c r="G7577"/>
      <c r="H7577"/>
      <c r="I7577"/>
      <c r="J7577"/>
      <c r="K7577" s="1"/>
      <c r="L7577" s="2"/>
    </row>
    <row r="7578" spans="1:12" x14ac:dyDescent="0.2">
      <c r="A7578"/>
      <c r="B7578"/>
      <c r="C7578"/>
      <c r="D7578"/>
      <c r="E7578"/>
      <c r="F7578"/>
      <c r="G7578"/>
      <c r="H7578"/>
      <c r="I7578"/>
      <c r="J7578"/>
      <c r="K7578" s="1"/>
      <c r="L7578" s="2"/>
    </row>
    <row r="7579" spans="1:12" x14ac:dyDescent="0.2">
      <c r="A7579"/>
      <c r="B7579"/>
      <c r="C7579"/>
      <c r="D7579"/>
      <c r="E7579"/>
      <c r="F7579"/>
      <c r="G7579"/>
      <c r="H7579"/>
      <c r="I7579"/>
      <c r="J7579"/>
      <c r="K7579" s="1"/>
      <c r="L7579" s="2"/>
    </row>
    <row r="7580" spans="1:12" x14ac:dyDescent="0.2">
      <c r="A7580"/>
      <c r="B7580"/>
      <c r="C7580"/>
      <c r="D7580"/>
      <c r="E7580"/>
      <c r="F7580"/>
      <c r="G7580"/>
      <c r="H7580"/>
      <c r="I7580"/>
      <c r="J7580"/>
      <c r="K7580" s="1"/>
      <c r="L7580" s="2"/>
    </row>
    <row r="7581" spans="1:12" x14ac:dyDescent="0.2">
      <c r="A7581"/>
      <c r="B7581"/>
      <c r="C7581"/>
      <c r="D7581"/>
      <c r="E7581"/>
      <c r="F7581"/>
      <c r="G7581"/>
      <c r="H7581"/>
      <c r="I7581"/>
      <c r="J7581"/>
      <c r="K7581" s="1"/>
      <c r="L7581" s="2"/>
    </row>
    <row r="7582" spans="1:12" x14ac:dyDescent="0.2">
      <c r="A7582"/>
      <c r="B7582"/>
      <c r="C7582"/>
      <c r="D7582"/>
      <c r="E7582"/>
      <c r="F7582"/>
      <c r="G7582"/>
      <c r="H7582"/>
      <c r="I7582"/>
      <c r="J7582"/>
      <c r="K7582" s="1"/>
      <c r="L7582" s="2"/>
    </row>
    <row r="7583" spans="1:12" x14ac:dyDescent="0.2">
      <c r="A7583"/>
      <c r="B7583"/>
      <c r="C7583"/>
      <c r="D7583"/>
      <c r="E7583"/>
      <c r="F7583"/>
      <c r="G7583"/>
      <c r="H7583"/>
      <c r="I7583"/>
      <c r="J7583"/>
      <c r="K7583" s="1"/>
      <c r="L7583" s="2"/>
    </row>
    <row r="7584" spans="1:12" x14ac:dyDescent="0.2">
      <c r="A7584"/>
      <c r="B7584"/>
      <c r="C7584"/>
      <c r="D7584"/>
      <c r="E7584"/>
      <c r="F7584"/>
      <c r="G7584"/>
      <c r="H7584"/>
      <c r="I7584"/>
      <c r="J7584"/>
      <c r="K7584" s="1"/>
      <c r="L7584" s="2"/>
    </row>
    <row r="7585" spans="1:12" x14ac:dyDescent="0.2">
      <c r="A7585"/>
      <c r="B7585"/>
      <c r="C7585"/>
      <c r="D7585"/>
      <c r="E7585"/>
      <c r="F7585"/>
      <c r="G7585"/>
      <c r="H7585"/>
      <c r="I7585"/>
      <c r="J7585"/>
      <c r="K7585" s="1"/>
      <c r="L7585" s="2"/>
    </row>
    <row r="7586" spans="1:12" x14ac:dyDescent="0.2">
      <c r="A7586"/>
      <c r="B7586"/>
      <c r="C7586"/>
      <c r="D7586"/>
      <c r="E7586"/>
      <c r="F7586"/>
      <c r="G7586"/>
      <c r="H7586"/>
      <c r="I7586"/>
      <c r="J7586"/>
      <c r="K7586" s="1"/>
      <c r="L7586" s="2"/>
    </row>
    <row r="7587" spans="1:12" x14ac:dyDescent="0.2">
      <c r="A7587"/>
      <c r="B7587"/>
      <c r="C7587"/>
      <c r="D7587"/>
      <c r="E7587"/>
      <c r="F7587"/>
      <c r="G7587"/>
      <c r="H7587"/>
      <c r="I7587"/>
      <c r="J7587"/>
      <c r="K7587" s="1"/>
      <c r="L7587" s="2"/>
    </row>
    <row r="7588" spans="1:12" x14ac:dyDescent="0.2">
      <c r="A7588"/>
      <c r="B7588"/>
      <c r="C7588"/>
      <c r="D7588"/>
      <c r="E7588"/>
      <c r="F7588"/>
      <c r="G7588"/>
      <c r="H7588"/>
      <c r="I7588"/>
      <c r="J7588"/>
      <c r="K7588" s="1"/>
      <c r="L7588" s="2"/>
    </row>
    <row r="7589" spans="1:12" x14ac:dyDescent="0.2">
      <c r="A7589"/>
      <c r="B7589"/>
      <c r="C7589"/>
      <c r="D7589"/>
      <c r="E7589"/>
      <c r="F7589"/>
      <c r="G7589"/>
      <c r="H7589"/>
      <c r="I7589"/>
      <c r="J7589"/>
      <c r="K7589" s="1"/>
      <c r="L7589" s="2"/>
    </row>
    <row r="7590" spans="1:12" x14ac:dyDescent="0.2">
      <c r="A7590"/>
      <c r="B7590"/>
      <c r="C7590"/>
      <c r="D7590"/>
      <c r="E7590"/>
      <c r="F7590"/>
      <c r="G7590"/>
      <c r="H7590"/>
      <c r="I7590"/>
      <c r="J7590"/>
      <c r="K7590" s="1"/>
      <c r="L7590" s="2"/>
    </row>
    <row r="7591" spans="1:12" x14ac:dyDescent="0.2">
      <c r="A7591"/>
      <c r="B7591"/>
      <c r="C7591"/>
      <c r="D7591"/>
      <c r="E7591"/>
      <c r="F7591"/>
      <c r="G7591"/>
      <c r="H7591"/>
      <c r="I7591"/>
      <c r="J7591"/>
      <c r="K7591" s="1"/>
      <c r="L7591" s="2"/>
    </row>
    <row r="7592" spans="1:12" x14ac:dyDescent="0.2">
      <c r="A7592"/>
      <c r="B7592"/>
      <c r="C7592"/>
      <c r="D7592"/>
      <c r="E7592"/>
      <c r="F7592"/>
      <c r="G7592"/>
      <c r="H7592"/>
      <c r="I7592"/>
      <c r="J7592"/>
      <c r="K7592" s="1"/>
      <c r="L7592" s="2"/>
    </row>
    <row r="7593" spans="1:12" x14ac:dyDescent="0.2">
      <c r="A7593"/>
      <c r="B7593"/>
      <c r="C7593"/>
      <c r="D7593"/>
      <c r="E7593"/>
      <c r="F7593"/>
      <c r="G7593"/>
      <c r="H7593"/>
      <c r="I7593"/>
      <c r="J7593"/>
      <c r="K7593" s="1"/>
      <c r="L7593" s="2"/>
    </row>
    <row r="7594" spans="1:12" x14ac:dyDescent="0.2">
      <c r="A7594"/>
      <c r="B7594"/>
      <c r="C7594"/>
      <c r="D7594"/>
      <c r="E7594"/>
      <c r="F7594"/>
      <c r="G7594"/>
      <c r="H7594"/>
      <c r="I7594"/>
      <c r="J7594"/>
      <c r="K7594" s="1"/>
      <c r="L7594" s="2"/>
    </row>
    <row r="7595" spans="1:12" x14ac:dyDescent="0.2">
      <c r="A7595"/>
      <c r="B7595"/>
      <c r="C7595"/>
      <c r="D7595"/>
      <c r="E7595"/>
      <c r="F7595"/>
      <c r="G7595"/>
      <c r="H7595"/>
      <c r="I7595"/>
      <c r="J7595"/>
      <c r="K7595" s="1"/>
      <c r="L7595" s="2"/>
    </row>
    <row r="7596" spans="1:12" x14ac:dyDescent="0.2">
      <c r="A7596"/>
      <c r="B7596"/>
      <c r="C7596"/>
      <c r="D7596"/>
      <c r="E7596"/>
      <c r="F7596"/>
      <c r="G7596"/>
      <c r="H7596"/>
      <c r="I7596"/>
      <c r="J7596"/>
      <c r="K7596" s="1"/>
      <c r="L7596" s="2"/>
    </row>
    <row r="7597" spans="1:12" x14ac:dyDescent="0.2">
      <c r="A7597"/>
      <c r="B7597"/>
      <c r="C7597"/>
      <c r="D7597"/>
      <c r="E7597"/>
      <c r="F7597"/>
      <c r="G7597"/>
      <c r="H7597"/>
      <c r="I7597"/>
      <c r="J7597"/>
      <c r="K7597" s="1"/>
      <c r="L7597" s="2"/>
    </row>
    <row r="7598" spans="1:12" x14ac:dyDescent="0.2">
      <c r="A7598"/>
      <c r="B7598"/>
      <c r="C7598"/>
      <c r="D7598"/>
      <c r="E7598"/>
      <c r="F7598"/>
      <c r="G7598"/>
      <c r="H7598"/>
      <c r="I7598"/>
      <c r="J7598"/>
      <c r="K7598" s="1"/>
      <c r="L7598" s="2"/>
    </row>
    <row r="7599" spans="1:12" x14ac:dyDescent="0.2">
      <c r="A7599"/>
      <c r="B7599"/>
      <c r="C7599"/>
      <c r="D7599"/>
      <c r="E7599"/>
      <c r="F7599"/>
      <c r="G7599"/>
      <c r="H7599"/>
      <c r="I7599"/>
      <c r="J7599"/>
      <c r="K7599" s="1"/>
      <c r="L7599" s="2"/>
    </row>
    <row r="7600" spans="1:12" x14ac:dyDescent="0.2">
      <c r="A7600"/>
      <c r="B7600"/>
      <c r="C7600"/>
      <c r="D7600"/>
      <c r="E7600"/>
      <c r="F7600"/>
      <c r="G7600"/>
      <c r="H7600"/>
      <c r="I7600"/>
      <c r="J7600"/>
      <c r="K7600" s="1"/>
      <c r="L7600" s="2"/>
    </row>
    <row r="7601" spans="1:12" x14ac:dyDescent="0.2">
      <c r="A7601"/>
      <c r="B7601"/>
      <c r="C7601"/>
      <c r="D7601"/>
      <c r="E7601"/>
      <c r="F7601"/>
      <c r="G7601"/>
      <c r="H7601"/>
      <c r="I7601"/>
      <c r="J7601"/>
      <c r="K7601" s="1"/>
      <c r="L7601" s="2"/>
    </row>
    <row r="7602" spans="1:12" x14ac:dyDescent="0.2">
      <c r="A7602"/>
      <c r="B7602"/>
      <c r="C7602"/>
      <c r="D7602"/>
      <c r="E7602"/>
      <c r="F7602"/>
      <c r="G7602"/>
      <c r="H7602"/>
      <c r="I7602"/>
      <c r="J7602"/>
      <c r="K7602" s="1"/>
      <c r="L7602" s="2"/>
    </row>
    <row r="7603" spans="1:12" x14ac:dyDescent="0.2">
      <c r="A7603"/>
      <c r="B7603"/>
      <c r="C7603"/>
      <c r="D7603"/>
      <c r="E7603"/>
      <c r="F7603"/>
      <c r="G7603"/>
      <c r="H7603"/>
      <c r="I7603"/>
      <c r="J7603"/>
      <c r="K7603" s="1"/>
      <c r="L7603" s="2"/>
    </row>
    <row r="7604" spans="1:12" x14ac:dyDescent="0.2">
      <c r="A7604"/>
      <c r="B7604"/>
      <c r="C7604"/>
      <c r="D7604"/>
      <c r="E7604"/>
      <c r="F7604"/>
      <c r="G7604"/>
      <c r="H7604"/>
      <c r="I7604"/>
      <c r="J7604"/>
      <c r="K7604" s="1"/>
      <c r="L7604" s="2"/>
    </row>
    <row r="7605" spans="1:12" x14ac:dyDescent="0.2">
      <c r="A7605"/>
      <c r="B7605"/>
      <c r="C7605"/>
      <c r="D7605"/>
      <c r="E7605"/>
      <c r="F7605"/>
      <c r="G7605"/>
      <c r="H7605"/>
      <c r="I7605"/>
      <c r="J7605"/>
      <c r="K7605" s="1"/>
      <c r="L7605" s="2"/>
    </row>
    <row r="7606" spans="1:12" x14ac:dyDescent="0.2">
      <c r="A7606"/>
      <c r="B7606"/>
      <c r="C7606"/>
      <c r="D7606"/>
      <c r="E7606"/>
      <c r="F7606"/>
      <c r="G7606"/>
      <c r="H7606"/>
      <c r="I7606"/>
      <c r="J7606"/>
      <c r="K7606" s="1"/>
      <c r="L7606" s="2"/>
    </row>
    <row r="7607" spans="1:12" x14ac:dyDescent="0.2">
      <c r="A7607"/>
      <c r="B7607"/>
      <c r="C7607"/>
      <c r="D7607"/>
      <c r="E7607"/>
      <c r="F7607"/>
      <c r="G7607"/>
      <c r="H7607"/>
      <c r="I7607"/>
      <c r="J7607"/>
      <c r="K7607" s="1"/>
      <c r="L7607" s="2"/>
    </row>
    <row r="7608" spans="1:12" x14ac:dyDescent="0.2">
      <c r="A7608"/>
      <c r="B7608"/>
      <c r="C7608"/>
      <c r="D7608"/>
      <c r="E7608"/>
      <c r="F7608"/>
      <c r="G7608"/>
      <c r="H7608"/>
      <c r="I7608"/>
      <c r="J7608"/>
      <c r="K7608" s="1"/>
      <c r="L7608" s="2"/>
    </row>
    <row r="7609" spans="1:12" x14ac:dyDescent="0.2">
      <c r="A7609"/>
      <c r="B7609"/>
      <c r="C7609"/>
      <c r="D7609"/>
      <c r="E7609"/>
      <c r="F7609"/>
      <c r="G7609"/>
      <c r="H7609"/>
      <c r="I7609"/>
      <c r="J7609"/>
      <c r="K7609" s="1"/>
      <c r="L7609" s="2"/>
    </row>
    <row r="7610" spans="1:12" x14ac:dyDescent="0.2">
      <c r="A7610"/>
      <c r="B7610"/>
      <c r="C7610"/>
      <c r="D7610"/>
      <c r="E7610"/>
      <c r="F7610"/>
      <c r="G7610"/>
      <c r="H7610"/>
      <c r="I7610"/>
      <c r="J7610"/>
      <c r="K7610" s="1"/>
      <c r="L7610" s="2"/>
    </row>
    <row r="7611" spans="1:12" x14ac:dyDescent="0.2">
      <c r="A7611"/>
      <c r="B7611"/>
      <c r="C7611"/>
      <c r="D7611"/>
      <c r="E7611"/>
      <c r="F7611"/>
      <c r="G7611"/>
      <c r="H7611"/>
      <c r="I7611"/>
      <c r="J7611"/>
      <c r="K7611" s="1"/>
      <c r="L7611" s="2"/>
    </row>
    <row r="7612" spans="1:12" x14ac:dyDescent="0.2">
      <c r="A7612"/>
      <c r="B7612"/>
      <c r="C7612"/>
      <c r="D7612"/>
      <c r="E7612"/>
      <c r="F7612"/>
      <c r="G7612"/>
      <c r="H7612"/>
      <c r="I7612"/>
      <c r="J7612"/>
      <c r="K7612" s="1"/>
      <c r="L7612" s="2"/>
    </row>
    <row r="7613" spans="1:12" x14ac:dyDescent="0.2">
      <c r="A7613"/>
      <c r="B7613"/>
      <c r="C7613"/>
      <c r="D7613"/>
      <c r="E7613"/>
      <c r="F7613"/>
      <c r="G7613"/>
      <c r="H7613"/>
      <c r="I7613"/>
      <c r="J7613"/>
      <c r="K7613" s="1"/>
      <c r="L7613" s="2"/>
    </row>
    <row r="7614" spans="1:12" x14ac:dyDescent="0.2">
      <c r="A7614"/>
      <c r="B7614"/>
      <c r="C7614"/>
      <c r="D7614"/>
      <c r="E7614"/>
      <c r="F7614"/>
      <c r="G7614"/>
      <c r="H7614"/>
      <c r="I7614"/>
      <c r="J7614"/>
      <c r="K7614" s="1"/>
      <c r="L7614" s="2"/>
    </row>
    <row r="7615" spans="1:12" x14ac:dyDescent="0.2">
      <c r="A7615"/>
      <c r="B7615"/>
      <c r="C7615"/>
      <c r="D7615"/>
      <c r="E7615"/>
      <c r="F7615"/>
      <c r="G7615"/>
      <c r="H7615"/>
      <c r="I7615"/>
      <c r="J7615"/>
      <c r="K7615" s="1"/>
      <c r="L7615" s="2"/>
    </row>
    <row r="7616" spans="1:12" x14ac:dyDescent="0.2">
      <c r="A7616"/>
      <c r="B7616"/>
      <c r="C7616"/>
      <c r="D7616"/>
      <c r="E7616"/>
      <c r="F7616"/>
      <c r="G7616"/>
      <c r="H7616"/>
      <c r="I7616"/>
      <c r="J7616"/>
      <c r="K7616" s="1"/>
      <c r="L7616" s="2"/>
    </row>
    <row r="7617" spans="1:12" x14ac:dyDescent="0.2">
      <c r="A7617"/>
      <c r="B7617"/>
      <c r="C7617"/>
      <c r="D7617"/>
      <c r="E7617"/>
      <c r="F7617"/>
      <c r="G7617"/>
      <c r="H7617"/>
      <c r="I7617"/>
      <c r="J7617"/>
      <c r="K7617" s="1"/>
      <c r="L7617" s="2"/>
    </row>
    <row r="7618" spans="1:12" x14ac:dyDescent="0.2">
      <c r="A7618"/>
      <c r="B7618"/>
      <c r="C7618"/>
      <c r="D7618"/>
      <c r="E7618"/>
      <c r="F7618"/>
      <c r="G7618"/>
      <c r="H7618"/>
      <c r="I7618"/>
      <c r="J7618"/>
      <c r="K7618" s="1"/>
      <c r="L7618" s="2"/>
    </row>
    <row r="7619" spans="1:12" x14ac:dyDescent="0.2">
      <c r="A7619"/>
      <c r="B7619"/>
      <c r="C7619"/>
      <c r="D7619"/>
      <c r="E7619"/>
      <c r="F7619"/>
      <c r="G7619"/>
      <c r="H7619"/>
      <c r="I7619"/>
      <c r="J7619"/>
      <c r="K7619" s="1"/>
      <c r="L7619" s="2"/>
    </row>
    <row r="7620" spans="1:12" x14ac:dyDescent="0.2">
      <c r="A7620"/>
      <c r="B7620"/>
      <c r="C7620"/>
      <c r="D7620"/>
      <c r="E7620"/>
      <c r="F7620"/>
      <c r="G7620"/>
      <c r="H7620"/>
      <c r="I7620"/>
      <c r="J7620"/>
      <c r="K7620" s="1"/>
      <c r="L7620" s="2"/>
    </row>
    <row r="7621" spans="1:12" x14ac:dyDescent="0.2">
      <c r="A7621"/>
      <c r="B7621"/>
      <c r="C7621"/>
      <c r="D7621"/>
      <c r="E7621"/>
      <c r="F7621"/>
      <c r="G7621"/>
      <c r="H7621"/>
      <c r="I7621"/>
      <c r="J7621"/>
      <c r="K7621" s="1"/>
      <c r="L7621" s="2"/>
    </row>
    <row r="7622" spans="1:12" x14ac:dyDescent="0.2">
      <c r="A7622"/>
      <c r="B7622"/>
      <c r="C7622"/>
      <c r="D7622"/>
      <c r="E7622"/>
      <c r="F7622"/>
      <c r="G7622"/>
      <c r="H7622"/>
      <c r="I7622"/>
      <c r="J7622"/>
      <c r="K7622" s="1"/>
      <c r="L7622" s="2"/>
    </row>
    <row r="7623" spans="1:12" x14ac:dyDescent="0.2">
      <c r="A7623"/>
      <c r="B7623"/>
      <c r="C7623"/>
      <c r="D7623"/>
      <c r="E7623"/>
      <c r="F7623"/>
      <c r="G7623"/>
      <c r="H7623"/>
      <c r="I7623"/>
      <c r="J7623"/>
      <c r="K7623" s="1"/>
      <c r="L7623" s="2"/>
    </row>
    <row r="7624" spans="1:12" x14ac:dyDescent="0.2">
      <c r="A7624"/>
      <c r="B7624"/>
      <c r="C7624"/>
      <c r="D7624"/>
      <c r="E7624"/>
      <c r="F7624"/>
      <c r="G7624"/>
      <c r="H7624"/>
      <c r="I7624"/>
      <c r="J7624"/>
      <c r="K7624" s="1"/>
      <c r="L7624" s="2"/>
    </row>
    <row r="7625" spans="1:12" x14ac:dyDescent="0.2">
      <c r="A7625"/>
      <c r="B7625"/>
      <c r="C7625"/>
      <c r="D7625"/>
      <c r="E7625"/>
      <c r="F7625"/>
      <c r="G7625"/>
      <c r="H7625"/>
      <c r="I7625"/>
      <c r="J7625"/>
      <c r="K7625" s="1"/>
      <c r="L7625" s="2"/>
    </row>
    <row r="7626" spans="1:12" x14ac:dyDescent="0.2">
      <c r="A7626"/>
      <c r="B7626"/>
      <c r="C7626"/>
      <c r="D7626"/>
      <c r="E7626"/>
      <c r="F7626"/>
      <c r="G7626"/>
      <c r="H7626"/>
      <c r="I7626"/>
      <c r="J7626"/>
      <c r="K7626" s="1"/>
      <c r="L7626" s="2"/>
    </row>
    <row r="7627" spans="1:12" x14ac:dyDescent="0.2">
      <c r="A7627"/>
      <c r="B7627"/>
      <c r="C7627"/>
      <c r="D7627"/>
      <c r="E7627"/>
      <c r="F7627"/>
      <c r="G7627"/>
      <c r="H7627"/>
      <c r="I7627"/>
      <c r="J7627"/>
      <c r="K7627" s="1"/>
      <c r="L7627" s="2"/>
    </row>
    <row r="7628" spans="1:12" x14ac:dyDescent="0.2">
      <c r="A7628"/>
      <c r="B7628"/>
      <c r="C7628"/>
      <c r="D7628"/>
      <c r="E7628"/>
      <c r="F7628"/>
      <c r="G7628"/>
      <c r="H7628"/>
      <c r="I7628"/>
      <c r="J7628"/>
      <c r="K7628" s="1"/>
      <c r="L7628" s="2"/>
    </row>
    <row r="7629" spans="1:12" x14ac:dyDescent="0.2">
      <c r="A7629"/>
      <c r="B7629"/>
      <c r="C7629"/>
      <c r="D7629"/>
      <c r="E7629"/>
      <c r="F7629"/>
      <c r="G7629"/>
      <c r="H7629"/>
      <c r="I7629"/>
      <c r="J7629"/>
      <c r="K7629" s="1"/>
      <c r="L7629" s="2"/>
    </row>
    <row r="7630" spans="1:12" x14ac:dyDescent="0.2">
      <c r="A7630"/>
      <c r="B7630"/>
      <c r="C7630"/>
      <c r="D7630"/>
      <c r="E7630"/>
      <c r="F7630"/>
      <c r="G7630"/>
      <c r="H7630"/>
      <c r="I7630"/>
      <c r="J7630"/>
      <c r="K7630" s="1"/>
      <c r="L7630" s="2"/>
    </row>
    <row r="7631" spans="1:12" x14ac:dyDescent="0.2">
      <c r="A7631"/>
      <c r="B7631"/>
      <c r="C7631"/>
      <c r="D7631"/>
      <c r="E7631"/>
      <c r="F7631"/>
      <c r="G7631"/>
      <c r="H7631"/>
      <c r="I7631"/>
      <c r="J7631"/>
      <c r="K7631" s="1"/>
      <c r="L7631" s="2"/>
    </row>
    <row r="7632" spans="1:12" x14ac:dyDescent="0.2">
      <c r="A7632"/>
      <c r="B7632"/>
      <c r="C7632"/>
      <c r="D7632"/>
      <c r="E7632"/>
      <c r="F7632"/>
      <c r="G7632"/>
      <c r="H7632"/>
      <c r="I7632"/>
      <c r="J7632"/>
      <c r="K7632" s="1"/>
      <c r="L7632" s="2"/>
    </row>
    <row r="7633" spans="1:12" x14ac:dyDescent="0.2">
      <c r="A7633"/>
      <c r="B7633"/>
      <c r="C7633"/>
      <c r="D7633"/>
      <c r="E7633"/>
      <c r="F7633"/>
      <c r="G7633"/>
      <c r="H7633"/>
      <c r="I7633"/>
      <c r="J7633"/>
      <c r="K7633" s="1"/>
      <c r="L7633" s="2"/>
    </row>
    <row r="7634" spans="1:12" x14ac:dyDescent="0.2">
      <c r="A7634"/>
      <c r="B7634"/>
      <c r="C7634"/>
      <c r="D7634"/>
      <c r="E7634"/>
      <c r="F7634"/>
      <c r="G7634"/>
      <c r="H7634"/>
      <c r="I7634"/>
      <c r="J7634"/>
      <c r="K7634" s="1"/>
      <c r="L7634" s="2"/>
    </row>
    <row r="7635" spans="1:12" x14ac:dyDescent="0.2">
      <c r="A7635"/>
      <c r="B7635"/>
      <c r="C7635"/>
      <c r="D7635"/>
      <c r="E7635"/>
      <c r="F7635"/>
      <c r="G7635"/>
      <c r="H7635"/>
      <c r="I7635"/>
      <c r="J7635"/>
      <c r="K7635" s="1"/>
      <c r="L7635" s="2"/>
    </row>
    <row r="7636" spans="1:12" x14ac:dyDescent="0.2">
      <c r="A7636"/>
      <c r="B7636"/>
      <c r="C7636"/>
      <c r="D7636"/>
      <c r="E7636"/>
      <c r="F7636"/>
      <c r="G7636"/>
      <c r="H7636"/>
      <c r="I7636"/>
      <c r="J7636"/>
      <c r="K7636" s="1"/>
      <c r="L7636" s="2"/>
    </row>
    <row r="7637" spans="1:12" x14ac:dyDescent="0.2">
      <c r="A7637"/>
      <c r="B7637"/>
      <c r="C7637"/>
      <c r="D7637"/>
      <c r="E7637"/>
      <c r="F7637"/>
      <c r="G7637"/>
      <c r="H7637"/>
      <c r="I7637"/>
      <c r="J7637"/>
      <c r="K7637" s="1"/>
      <c r="L7637" s="2"/>
    </row>
    <row r="7638" spans="1:12" x14ac:dyDescent="0.2">
      <c r="A7638"/>
      <c r="B7638"/>
      <c r="C7638"/>
      <c r="D7638"/>
      <c r="E7638"/>
      <c r="F7638"/>
      <c r="G7638"/>
      <c r="H7638"/>
      <c r="I7638"/>
      <c r="J7638"/>
      <c r="K7638" s="1"/>
      <c r="L7638" s="2"/>
    </row>
    <row r="7639" spans="1:12" x14ac:dyDescent="0.2">
      <c r="A7639"/>
      <c r="B7639"/>
      <c r="C7639"/>
      <c r="D7639"/>
      <c r="E7639"/>
      <c r="F7639"/>
      <c r="G7639"/>
      <c r="H7639"/>
      <c r="I7639"/>
      <c r="J7639"/>
      <c r="K7639" s="1"/>
      <c r="L7639" s="2"/>
    </row>
    <row r="7640" spans="1:12" x14ac:dyDescent="0.2">
      <c r="A7640"/>
      <c r="B7640"/>
      <c r="C7640"/>
      <c r="D7640"/>
      <c r="E7640"/>
      <c r="F7640"/>
      <c r="G7640"/>
      <c r="H7640"/>
      <c r="I7640"/>
      <c r="J7640"/>
      <c r="K7640" s="1"/>
      <c r="L7640" s="2"/>
    </row>
    <row r="7641" spans="1:12" x14ac:dyDescent="0.2">
      <c r="A7641"/>
      <c r="B7641"/>
      <c r="C7641"/>
      <c r="D7641"/>
      <c r="E7641"/>
      <c r="F7641"/>
      <c r="G7641"/>
      <c r="H7641"/>
      <c r="I7641"/>
      <c r="J7641"/>
      <c r="K7641" s="1"/>
      <c r="L7641" s="2"/>
    </row>
    <row r="7642" spans="1:12" x14ac:dyDescent="0.2">
      <c r="A7642"/>
      <c r="B7642"/>
      <c r="C7642"/>
      <c r="D7642"/>
      <c r="E7642"/>
      <c r="F7642"/>
      <c r="G7642"/>
      <c r="H7642"/>
      <c r="I7642"/>
      <c r="J7642"/>
      <c r="K7642" s="1"/>
      <c r="L7642" s="2"/>
    </row>
    <row r="7643" spans="1:12" x14ac:dyDescent="0.2">
      <c r="A7643"/>
      <c r="B7643"/>
      <c r="C7643"/>
      <c r="D7643"/>
      <c r="E7643"/>
      <c r="F7643"/>
      <c r="G7643"/>
      <c r="H7643"/>
      <c r="I7643"/>
      <c r="J7643"/>
      <c r="K7643" s="1"/>
      <c r="L7643" s="2"/>
    </row>
    <row r="7644" spans="1:12" x14ac:dyDescent="0.2">
      <c r="A7644"/>
      <c r="B7644"/>
      <c r="C7644"/>
      <c r="D7644"/>
      <c r="E7644"/>
      <c r="F7644"/>
      <c r="G7644"/>
      <c r="H7644"/>
      <c r="I7644"/>
      <c r="J7644"/>
      <c r="K7644" s="1"/>
      <c r="L7644" s="2"/>
    </row>
    <row r="7645" spans="1:12" x14ac:dyDescent="0.2">
      <c r="A7645"/>
      <c r="B7645"/>
      <c r="C7645"/>
      <c r="D7645"/>
      <c r="E7645"/>
      <c r="F7645"/>
      <c r="G7645"/>
      <c r="H7645"/>
      <c r="I7645"/>
      <c r="J7645"/>
      <c r="K7645" s="1"/>
      <c r="L7645" s="2"/>
    </row>
    <row r="7646" spans="1:12" x14ac:dyDescent="0.2">
      <c r="A7646"/>
      <c r="B7646"/>
      <c r="C7646"/>
      <c r="D7646"/>
      <c r="E7646"/>
      <c r="F7646"/>
      <c r="G7646"/>
      <c r="H7646"/>
      <c r="I7646"/>
      <c r="J7646"/>
      <c r="K7646" s="1"/>
      <c r="L7646" s="2"/>
    </row>
    <row r="7647" spans="1:12" x14ac:dyDescent="0.2">
      <c r="A7647"/>
      <c r="B7647"/>
      <c r="C7647"/>
      <c r="D7647"/>
      <c r="E7647"/>
      <c r="F7647"/>
      <c r="G7647"/>
      <c r="H7647"/>
      <c r="I7647"/>
      <c r="J7647"/>
      <c r="K7647" s="1"/>
      <c r="L7647" s="2"/>
    </row>
    <row r="7648" spans="1:12" x14ac:dyDescent="0.2">
      <c r="A7648"/>
      <c r="B7648"/>
      <c r="C7648"/>
      <c r="D7648"/>
      <c r="E7648"/>
      <c r="F7648"/>
      <c r="G7648"/>
      <c r="H7648"/>
      <c r="I7648"/>
      <c r="J7648"/>
      <c r="K7648" s="1"/>
      <c r="L7648" s="2"/>
    </row>
    <row r="7649" spans="1:12" x14ac:dyDescent="0.2">
      <c r="A7649"/>
      <c r="B7649"/>
      <c r="C7649"/>
      <c r="D7649"/>
      <c r="E7649"/>
      <c r="F7649"/>
      <c r="G7649"/>
      <c r="H7649"/>
      <c r="I7649"/>
      <c r="J7649"/>
      <c r="K7649" s="1"/>
      <c r="L7649" s="2"/>
    </row>
    <row r="7650" spans="1:12" x14ac:dyDescent="0.2">
      <c r="A7650"/>
      <c r="B7650"/>
      <c r="C7650"/>
      <c r="D7650"/>
      <c r="E7650"/>
      <c r="F7650"/>
      <c r="G7650"/>
      <c r="H7650"/>
      <c r="I7650"/>
      <c r="J7650"/>
      <c r="K7650" s="1"/>
      <c r="L7650" s="2"/>
    </row>
    <row r="7651" spans="1:12" x14ac:dyDescent="0.2">
      <c r="A7651"/>
      <c r="B7651"/>
      <c r="C7651"/>
      <c r="D7651"/>
      <c r="E7651"/>
      <c r="F7651"/>
      <c r="G7651"/>
      <c r="H7651"/>
      <c r="I7651"/>
      <c r="J7651"/>
      <c r="K7651" s="1"/>
      <c r="L7651" s="2"/>
    </row>
    <row r="7652" spans="1:12" x14ac:dyDescent="0.2">
      <c r="A7652"/>
      <c r="B7652"/>
      <c r="C7652"/>
      <c r="D7652"/>
      <c r="E7652"/>
      <c r="F7652"/>
      <c r="G7652"/>
      <c r="H7652"/>
      <c r="I7652"/>
      <c r="J7652"/>
      <c r="K7652" s="1"/>
      <c r="L7652" s="2"/>
    </row>
    <row r="7653" spans="1:12" x14ac:dyDescent="0.2">
      <c r="A7653"/>
      <c r="B7653"/>
      <c r="C7653"/>
      <c r="D7653"/>
      <c r="E7653"/>
      <c r="F7653"/>
      <c r="G7653"/>
      <c r="H7653"/>
      <c r="I7653"/>
      <c r="J7653"/>
      <c r="K7653" s="1"/>
      <c r="L7653" s="2"/>
    </row>
    <row r="7654" spans="1:12" x14ac:dyDescent="0.2">
      <c r="A7654"/>
      <c r="B7654"/>
      <c r="C7654"/>
      <c r="D7654"/>
      <c r="E7654"/>
      <c r="F7654"/>
      <c r="G7654"/>
      <c r="H7654"/>
      <c r="I7654"/>
      <c r="J7654"/>
      <c r="K7654" s="1"/>
      <c r="L7654" s="2"/>
    </row>
    <row r="7655" spans="1:12" x14ac:dyDescent="0.2">
      <c r="A7655"/>
      <c r="B7655"/>
      <c r="C7655"/>
      <c r="D7655"/>
      <c r="E7655"/>
      <c r="F7655"/>
      <c r="G7655"/>
      <c r="H7655"/>
      <c r="I7655"/>
      <c r="J7655"/>
      <c r="K7655" s="1"/>
      <c r="L7655" s="2"/>
    </row>
    <row r="7656" spans="1:12" x14ac:dyDescent="0.2">
      <c r="A7656"/>
      <c r="B7656"/>
      <c r="C7656"/>
      <c r="D7656"/>
      <c r="E7656"/>
      <c r="F7656"/>
      <c r="G7656"/>
      <c r="H7656"/>
      <c r="I7656"/>
      <c r="J7656"/>
      <c r="K7656" s="1"/>
      <c r="L7656" s="2"/>
    </row>
    <row r="7657" spans="1:12" x14ac:dyDescent="0.2">
      <c r="A7657"/>
      <c r="B7657"/>
      <c r="C7657"/>
      <c r="D7657"/>
      <c r="E7657"/>
      <c r="F7657"/>
      <c r="G7657"/>
      <c r="H7657"/>
      <c r="I7657"/>
      <c r="J7657"/>
      <c r="K7657" s="1"/>
      <c r="L7657" s="2"/>
    </row>
    <row r="7658" spans="1:12" x14ac:dyDescent="0.2">
      <c r="A7658"/>
      <c r="B7658"/>
      <c r="C7658"/>
      <c r="D7658"/>
      <c r="E7658"/>
      <c r="F7658"/>
      <c r="G7658"/>
      <c r="H7658"/>
      <c r="I7658"/>
      <c r="J7658"/>
      <c r="K7658" s="1"/>
      <c r="L7658" s="2"/>
    </row>
    <row r="7659" spans="1:12" x14ac:dyDescent="0.2">
      <c r="A7659"/>
      <c r="B7659"/>
      <c r="C7659"/>
      <c r="D7659"/>
      <c r="E7659"/>
      <c r="F7659"/>
      <c r="G7659"/>
      <c r="H7659"/>
      <c r="I7659"/>
      <c r="J7659"/>
      <c r="K7659" s="1"/>
      <c r="L7659" s="2"/>
    </row>
    <row r="7660" spans="1:12" x14ac:dyDescent="0.2">
      <c r="A7660"/>
      <c r="B7660"/>
      <c r="C7660"/>
      <c r="D7660"/>
      <c r="E7660"/>
      <c r="F7660"/>
      <c r="G7660"/>
      <c r="H7660"/>
      <c r="I7660"/>
      <c r="J7660"/>
      <c r="K7660" s="1"/>
      <c r="L7660" s="2"/>
    </row>
    <row r="7661" spans="1:12" x14ac:dyDescent="0.2">
      <c r="A7661"/>
      <c r="B7661"/>
      <c r="C7661"/>
      <c r="D7661"/>
      <c r="E7661"/>
      <c r="F7661"/>
      <c r="G7661"/>
      <c r="H7661"/>
      <c r="I7661"/>
      <c r="J7661"/>
      <c r="K7661" s="1"/>
      <c r="L7661" s="2"/>
    </row>
    <row r="7662" spans="1:12" x14ac:dyDescent="0.2">
      <c r="A7662"/>
      <c r="B7662"/>
      <c r="C7662"/>
      <c r="D7662"/>
      <c r="E7662"/>
      <c r="F7662"/>
      <c r="G7662"/>
      <c r="H7662"/>
      <c r="I7662"/>
      <c r="J7662"/>
      <c r="K7662" s="1"/>
      <c r="L7662" s="2"/>
    </row>
    <row r="7663" spans="1:12" x14ac:dyDescent="0.2">
      <c r="A7663"/>
      <c r="B7663"/>
      <c r="C7663"/>
      <c r="D7663"/>
      <c r="E7663"/>
      <c r="F7663"/>
      <c r="G7663"/>
      <c r="H7663"/>
      <c r="I7663"/>
      <c r="J7663"/>
      <c r="K7663" s="1"/>
      <c r="L7663" s="2"/>
    </row>
    <row r="7664" spans="1:12" x14ac:dyDescent="0.2">
      <c r="A7664"/>
      <c r="B7664"/>
      <c r="C7664"/>
      <c r="D7664"/>
      <c r="E7664"/>
      <c r="F7664"/>
      <c r="G7664"/>
      <c r="H7664"/>
      <c r="I7664"/>
      <c r="J7664"/>
      <c r="K7664" s="1"/>
      <c r="L7664" s="2"/>
    </row>
    <row r="7665" spans="1:12" x14ac:dyDescent="0.2">
      <c r="A7665"/>
      <c r="B7665"/>
      <c r="C7665"/>
      <c r="D7665"/>
      <c r="E7665"/>
      <c r="F7665"/>
      <c r="G7665"/>
      <c r="H7665"/>
      <c r="I7665"/>
      <c r="J7665"/>
      <c r="K7665" s="1"/>
      <c r="L7665" s="2"/>
    </row>
    <row r="7666" spans="1:12" x14ac:dyDescent="0.2">
      <c r="A7666"/>
      <c r="B7666"/>
      <c r="C7666"/>
      <c r="D7666"/>
      <c r="E7666"/>
      <c r="F7666"/>
      <c r="G7666"/>
      <c r="H7666"/>
      <c r="I7666"/>
      <c r="J7666"/>
      <c r="K7666" s="1"/>
      <c r="L7666" s="2"/>
    </row>
    <row r="7667" spans="1:12" x14ac:dyDescent="0.2">
      <c r="A7667"/>
      <c r="B7667"/>
      <c r="C7667"/>
      <c r="D7667"/>
      <c r="E7667"/>
      <c r="F7667"/>
      <c r="G7667"/>
      <c r="H7667"/>
      <c r="I7667"/>
      <c r="J7667"/>
      <c r="K7667" s="1"/>
      <c r="L7667" s="2"/>
    </row>
    <row r="7668" spans="1:12" x14ac:dyDescent="0.2">
      <c r="A7668"/>
      <c r="B7668"/>
      <c r="C7668"/>
      <c r="D7668"/>
      <c r="E7668"/>
      <c r="F7668"/>
      <c r="G7668"/>
      <c r="H7668"/>
      <c r="I7668"/>
      <c r="J7668"/>
      <c r="K7668" s="1"/>
      <c r="L7668" s="2"/>
    </row>
    <row r="7669" spans="1:12" x14ac:dyDescent="0.2">
      <c r="A7669"/>
      <c r="B7669"/>
      <c r="C7669"/>
      <c r="D7669"/>
      <c r="E7669"/>
      <c r="F7669"/>
      <c r="G7669"/>
      <c r="H7669"/>
      <c r="I7669"/>
      <c r="J7669"/>
      <c r="K7669" s="1"/>
      <c r="L7669" s="2"/>
    </row>
    <row r="7670" spans="1:12" x14ac:dyDescent="0.2">
      <c r="A7670"/>
      <c r="B7670"/>
      <c r="C7670"/>
      <c r="D7670"/>
      <c r="E7670"/>
      <c r="F7670"/>
      <c r="G7670"/>
      <c r="H7670"/>
      <c r="I7670"/>
      <c r="J7670"/>
      <c r="K7670" s="1"/>
      <c r="L7670" s="2"/>
    </row>
    <row r="7671" spans="1:12" x14ac:dyDescent="0.2">
      <c r="A7671"/>
      <c r="B7671"/>
      <c r="C7671"/>
      <c r="D7671"/>
      <c r="E7671"/>
      <c r="F7671"/>
      <c r="G7671"/>
      <c r="H7671"/>
      <c r="I7671"/>
      <c r="J7671"/>
      <c r="K7671" s="1"/>
      <c r="L7671" s="2"/>
    </row>
    <row r="7672" spans="1:12" x14ac:dyDescent="0.2">
      <c r="A7672"/>
      <c r="B7672"/>
      <c r="C7672"/>
      <c r="D7672"/>
      <c r="E7672"/>
      <c r="F7672"/>
      <c r="G7672"/>
      <c r="H7672"/>
      <c r="I7672"/>
      <c r="J7672"/>
      <c r="K7672" s="1"/>
      <c r="L7672" s="2"/>
    </row>
    <row r="7673" spans="1:12" x14ac:dyDescent="0.2">
      <c r="A7673"/>
      <c r="B7673"/>
      <c r="C7673"/>
      <c r="D7673"/>
      <c r="E7673"/>
      <c r="F7673"/>
      <c r="G7673"/>
      <c r="H7673"/>
      <c r="I7673"/>
      <c r="J7673"/>
      <c r="K7673" s="1"/>
      <c r="L7673" s="2"/>
    </row>
    <row r="7674" spans="1:12" x14ac:dyDescent="0.2">
      <c r="A7674"/>
      <c r="B7674"/>
      <c r="C7674"/>
      <c r="D7674"/>
      <c r="E7674"/>
      <c r="F7674"/>
      <c r="G7674"/>
      <c r="H7674"/>
      <c r="I7674"/>
      <c r="J7674"/>
      <c r="K7674" s="1"/>
      <c r="L7674" s="2"/>
    </row>
    <row r="7675" spans="1:12" x14ac:dyDescent="0.2">
      <c r="A7675"/>
      <c r="B7675"/>
      <c r="C7675"/>
      <c r="D7675"/>
      <c r="E7675"/>
      <c r="F7675"/>
      <c r="G7675"/>
      <c r="H7675"/>
      <c r="I7675"/>
      <c r="J7675"/>
      <c r="K7675" s="1"/>
      <c r="L7675" s="2"/>
    </row>
    <row r="7676" spans="1:12" x14ac:dyDescent="0.2">
      <c r="A7676"/>
      <c r="B7676"/>
      <c r="C7676"/>
      <c r="D7676"/>
      <c r="E7676"/>
      <c r="F7676"/>
      <c r="G7676"/>
      <c r="H7676"/>
      <c r="I7676"/>
      <c r="J7676"/>
      <c r="K7676" s="1"/>
      <c r="L7676" s="2"/>
    </row>
    <row r="7677" spans="1:12" x14ac:dyDescent="0.2">
      <c r="A7677"/>
      <c r="B7677"/>
      <c r="C7677"/>
      <c r="D7677"/>
      <c r="E7677"/>
      <c r="F7677"/>
      <c r="G7677"/>
      <c r="H7677"/>
      <c r="I7677"/>
      <c r="J7677"/>
      <c r="K7677" s="1"/>
      <c r="L7677" s="2"/>
    </row>
    <row r="7678" spans="1:12" x14ac:dyDescent="0.2">
      <c r="A7678"/>
      <c r="B7678"/>
      <c r="C7678"/>
      <c r="D7678"/>
      <c r="E7678"/>
      <c r="F7678"/>
      <c r="G7678"/>
      <c r="H7678"/>
      <c r="I7678"/>
      <c r="J7678"/>
      <c r="K7678" s="1"/>
      <c r="L7678" s="2"/>
    </row>
    <row r="7679" spans="1:12" x14ac:dyDescent="0.2">
      <c r="A7679"/>
      <c r="B7679"/>
      <c r="C7679"/>
      <c r="D7679"/>
      <c r="E7679"/>
      <c r="F7679"/>
      <c r="G7679"/>
      <c r="H7679"/>
      <c r="I7679"/>
      <c r="J7679"/>
      <c r="K7679" s="1"/>
      <c r="L7679" s="2"/>
    </row>
    <row r="7680" spans="1:12" x14ac:dyDescent="0.2">
      <c r="A7680"/>
      <c r="B7680"/>
      <c r="C7680"/>
      <c r="D7680"/>
      <c r="E7680"/>
      <c r="F7680"/>
      <c r="G7680"/>
      <c r="H7680"/>
      <c r="I7680"/>
      <c r="J7680"/>
      <c r="K7680" s="1"/>
      <c r="L7680" s="2"/>
    </row>
    <row r="7681" spans="1:12" x14ac:dyDescent="0.2">
      <c r="A7681"/>
      <c r="B7681"/>
      <c r="C7681"/>
      <c r="D7681"/>
      <c r="E7681"/>
      <c r="F7681"/>
      <c r="G7681"/>
      <c r="H7681"/>
      <c r="I7681"/>
      <c r="J7681"/>
      <c r="K7681" s="1"/>
      <c r="L7681" s="2"/>
    </row>
    <row r="7682" spans="1:12" x14ac:dyDescent="0.2">
      <c r="A7682"/>
      <c r="B7682"/>
      <c r="C7682"/>
      <c r="D7682"/>
      <c r="E7682"/>
      <c r="F7682"/>
      <c r="G7682"/>
      <c r="H7682"/>
      <c r="I7682"/>
      <c r="J7682"/>
      <c r="K7682" s="1"/>
      <c r="L7682" s="2"/>
    </row>
    <row r="7683" spans="1:12" x14ac:dyDescent="0.2">
      <c r="A7683"/>
      <c r="B7683"/>
      <c r="C7683"/>
      <c r="D7683"/>
      <c r="E7683"/>
      <c r="F7683"/>
      <c r="G7683"/>
      <c r="H7683"/>
      <c r="I7683"/>
      <c r="J7683"/>
      <c r="K7683" s="1"/>
      <c r="L7683" s="2"/>
    </row>
    <row r="7684" spans="1:12" x14ac:dyDescent="0.2">
      <c r="A7684"/>
      <c r="B7684"/>
      <c r="C7684"/>
      <c r="D7684"/>
      <c r="E7684"/>
      <c r="F7684"/>
      <c r="G7684"/>
      <c r="H7684"/>
      <c r="I7684"/>
      <c r="J7684"/>
      <c r="K7684" s="1"/>
      <c r="L7684" s="2"/>
    </row>
    <row r="7685" spans="1:12" x14ac:dyDescent="0.2">
      <c r="A7685"/>
      <c r="B7685"/>
      <c r="C7685"/>
      <c r="D7685"/>
      <c r="E7685"/>
      <c r="F7685"/>
      <c r="G7685"/>
      <c r="H7685"/>
      <c r="I7685"/>
      <c r="J7685"/>
      <c r="K7685" s="1"/>
      <c r="L7685" s="2"/>
    </row>
    <row r="7686" spans="1:12" x14ac:dyDescent="0.2">
      <c r="A7686"/>
      <c r="B7686"/>
      <c r="C7686"/>
      <c r="D7686"/>
      <c r="E7686"/>
      <c r="F7686"/>
      <c r="G7686"/>
      <c r="H7686"/>
      <c r="I7686"/>
      <c r="J7686"/>
      <c r="K7686" s="1"/>
      <c r="L7686" s="2"/>
    </row>
    <row r="7687" spans="1:12" x14ac:dyDescent="0.2">
      <c r="A7687"/>
      <c r="B7687"/>
      <c r="C7687"/>
      <c r="D7687"/>
      <c r="E7687"/>
      <c r="F7687"/>
      <c r="G7687"/>
      <c r="H7687"/>
      <c r="I7687"/>
      <c r="J7687"/>
      <c r="K7687" s="1"/>
      <c r="L7687" s="2"/>
    </row>
    <row r="7688" spans="1:12" x14ac:dyDescent="0.2">
      <c r="A7688"/>
      <c r="B7688"/>
      <c r="C7688"/>
      <c r="D7688"/>
      <c r="E7688"/>
      <c r="F7688"/>
      <c r="G7688"/>
      <c r="H7688"/>
      <c r="I7688"/>
      <c r="J7688"/>
      <c r="K7688" s="1"/>
      <c r="L7688" s="2"/>
    </row>
    <row r="7689" spans="1:12" x14ac:dyDescent="0.2">
      <c r="A7689"/>
      <c r="B7689"/>
      <c r="C7689"/>
      <c r="D7689"/>
      <c r="E7689"/>
      <c r="F7689"/>
      <c r="G7689"/>
      <c r="H7689"/>
      <c r="I7689"/>
      <c r="J7689"/>
      <c r="K7689" s="1"/>
      <c r="L7689" s="2"/>
    </row>
    <row r="7690" spans="1:12" x14ac:dyDescent="0.2">
      <c r="A7690"/>
      <c r="B7690"/>
      <c r="C7690"/>
      <c r="D7690"/>
      <c r="E7690"/>
      <c r="F7690"/>
      <c r="G7690"/>
      <c r="H7690"/>
      <c r="I7690"/>
      <c r="J7690"/>
      <c r="K7690" s="1"/>
      <c r="L7690" s="2"/>
    </row>
    <row r="7691" spans="1:12" x14ac:dyDescent="0.2">
      <c r="A7691"/>
      <c r="B7691"/>
      <c r="C7691"/>
      <c r="D7691"/>
      <c r="E7691"/>
      <c r="F7691"/>
      <c r="G7691"/>
      <c r="H7691"/>
      <c r="I7691"/>
      <c r="J7691"/>
      <c r="K7691" s="1"/>
      <c r="L7691" s="2"/>
    </row>
    <row r="7692" spans="1:12" x14ac:dyDescent="0.2">
      <c r="A7692"/>
      <c r="B7692"/>
      <c r="C7692"/>
      <c r="D7692"/>
      <c r="E7692"/>
      <c r="F7692"/>
      <c r="G7692"/>
      <c r="H7692"/>
      <c r="I7692"/>
      <c r="J7692"/>
      <c r="K7692" s="1"/>
      <c r="L7692" s="2"/>
    </row>
    <row r="7693" spans="1:12" x14ac:dyDescent="0.2">
      <c r="A7693"/>
      <c r="B7693"/>
      <c r="C7693"/>
      <c r="D7693"/>
      <c r="E7693"/>
      <c r="F7693"/>
      <c r="G7693"/>
      <c r="H7693"/>
      <c r="I7693"/>
      <c r="J7693"/>
      <c r="K7693" s="1"/>
      <c r="L7693" s="2"/>
    </row>
    <row r="7694" spans="1:12" x14ac:dyDescent="0.2">
      <c r="A7694"/>
      <c r="B7694"/>
      <c r="C7694"/>
      <c r="D7694"/>
      <c r="E7694"/>
      <c r="F7694"/>
      <c r="G7694"/>
      <c r="H7694"/>
      <c r="I7694"/>
      <c r="J7694"/>
      <c r="K7694" s="1"/>
      <c r="L7694" s="2"/>
    </row>
    <row r="7695" spans="1:12" x14ac:dyDescent="0.2">
      <c r="A7695"/>
      <c r="B7695"/>
      <c r="C7695"/>
      <c r="D7695"/>
      <c r="E7695"/>
      <c r="F7695"/>
      <c r="G7695"/>
      <c r="H7695"/>
      <c r="I7695"/>
      <c r="J7695"/>
      <c r="K7695" s="1"/>
      <c r="L7695" s="2"/>
    </row>
    <row r="7696" spans="1:12" x14ac:dyDescent="0.2">
      <c r="A7696"/>
      <c r="B7696"/>
      <c r="C7696"/>
      <c r="D7696"/>
      <c r="E7696"/>
      <c r="F7696"/>
      <c r="G7696"/>
      <c r="H7696"/>
      <c r="I7696"/>
      <c r="J7696"/>
      <c r="K7696" s="1"/>
      <c r="L7696" s="2"/>
    </row>
    <row r="7697" spans="1:12" x14ac:dyDescent="0.2">
      <c r="A7697"/>
      <c r="B7697"/>
      <c r="C7697"/>
      <c r="D7697"/>
      <c r="E7697"/>
      <c r="F7697"/>
      <c r="G7697"/>
      <c r="H7697"/>
      <c r="I7697"/>
      <c r="J7697"/>
      <c r="K7697" s="1"/>
      <c r="L7697" s="2"/>
    </row>
    <row r="7698" spans="1:12" x14ac:dyDescent="0.2">
      <c r="A7698"/>
      <c r="B7698"/>
      <c r="C7698"/>
      <c r="D7698"/>
      <c r="E7698"/>
      <c r="F7698"/>
      <c r="G7698"/>
      <c r="H7698"/>
      <c r="I7698"/>
      <c r="J7698"/>
      <c r="K7698" s="1"/>
      <c r="L7698" s="2"/>
    </row>
    <row r="7699" spans="1:12" x14ac:dyDescent="0.2">
      <c r="A7699"/>
      <c r="B7699"/>
      <c r="C7699"/>
      <c r="D7699"/>
      <c r="E7699"/>
      <c r="F7699"/>
      <c r="G7699"/>
      <c r="H7699"/>
      <c r="I7699"/>
      <c r="J7699"/>
      <c r="K7699" s="1"/>
      <c r="L7699" s="2"/>
    </row>
    <row r="7700" spans="1:12" x14ac:dyDescent="0.2">
      <c r="A7700"/>
      <c r="B7700"/>
      <c r="C7700"/>
      <c r="D7700"/>
      <c r="E7700"/>
      <c r="F7700"/>
      <c r="G7700"/>
      <c r="H7700"/>
      <c r="I7700"/>
      <c r="J7700"/>
      <c r="K7700" s="1"/>
      <c r="L7700" s="2"/>
    </row>
    <row r="7701" spans="1:12" x14ac:dyDescent="0.2">
      <c r="A7701"/>
      <c r="B7701"/>
      <c r="C7701"/>
      <c r="D7701"/>
      <c r="E7701"/>
      <c r="F7701"/>
      <c r="G7701"/>
      <c r="H7701"/>
      <c r="I7701"/>
      <c r="J7701"/>
      <c r="K7701" s="1"/>
      <c r="L7701" s="2"/>
    </row>
    <row r="7702" spans="1:12" x14ac:dyDescent="0.2">
      <c r="A7702"/>
      <c r="B7702"/>
      <c r="C7702"/>
      <c r="D7702"/>
      <c r="E7702"/>
      <c r="F7702"/>
      <c r="G7702"/>
      <c r="H7702"/>
      <c r="I7702"/>
      <c r="J7702"/>
      <c r="K7702" s="1"/>
      <c r="L7702" s="2"/>
    </row>
    <row r="7703" spans="1:12" x14ac:dyDescent="0.2">
      <c r="A7703"/>
      <c r="B7703"/>
      <c r="C7703"/>
      <c r="D7703"/>
      <c r="E7703"/>
      <c r="F7703"/>
      <c r="G7703"/>
      <c r="H7703"/>
      <c r="I7703"/>
      <c r="J7703"/>
      <c r="K7703" s="1"/>
      <c r="L7703" s="2"/>
    </row>
    <row r="7704" spans="1:12" x14ac:dyDescent="0.2">
      <c r="A7704"/>
      <c r="B7704"/>
      <c r="C7704"/>
      <c r="D7704"/>
      <c r="E7704"/>
      <c r="F7704"/>
      <c r="G7704"/>
      <c r="H7704"/>
      <c r="I7704"/>
      <c r="J7704"/>
      <c r="K7704" s="1"/>
      <c r="L7704" s="2"/>
    </row>
    <row r="7705" spans="1:12" x14ac:dyDescent="0.2">
      <c r="A7705"/>
      <c r="B7705"/>
      <c r="C7705"/>
      <c r="D7705"/>
      <c r="E7705"/>
      <c r="F7705"/>
      <c r="G7705"/>
      <c r="H7705"/>
      <c r="I7705"/>
      <c r="J7705"/>
      <c r="K7705" s="1"/>
      <c r="L7705" s="2"/>
    </row>
    <row r="7706" spans="1:12" x14ac:dyDescent="0.2">
      <c r="A7706"/>
      <c r="B7706"/>
      <c r="C7706"/>
      <c r="D7706"/>
      <c r="E7706"/>
      <c r="F7706"/>
      <c r="G7706"/>
      <c r="H7706"/>
      <c r="I7706"/>
      <c r="J7706"/>
      <c r="K7706" s="1"/>
      <c r="L7706" s="2"/>
    </row>
    <row r="7707" spans="1:12" x14ac:dyDescent="0.2">
      <c r="A7707"/>
      <c r="B7707"/>
      <c r="C7707"/>
      <c r="D7707"/>
      <c r="E7707"/>
      <c r="F7707"/>
      <c r="G7707"/>
      <c r="H7707"/>
      <c r="I7707"/>
      <c r="J7707"/>
      <c r="K7707" s="1"/>
      <c r="L7707" s="2"/>
    </row>
    <row r="7708" spans="1:12" x14ac:dyDescent="0.2">
      <c r="A7708"/>
      <c r="B7708"/>
      <c r="C7708"/>
      <c r="D7708"/>
      <c r="E7708"/>
      <c r="F7708"/>
      <c r="G7708"/>
      <c r="H7708"/>
      <c r="I7708"/>
      <c r="J7708"/>
      <c r="K7708" s="1"/>
      <c r="L7708" s="2"/>
    </row>
    <row r="7709" spans="1:12" x14ac:dyDescent="0.2">
      <c r="A7709"/>
      <c r="B7709"/>
      <c r="C7709"/>
      <c r="D7709"/>
      <c r="E7709"/>
      <c r="F7709"/>
      <c r="G7709"/>
      <c r="H7709"/>
      <c r="I7709"/>
      <c r="J7709"/>
      <c r="K7709" s="1"/>
      <c r="L7709" s="2"/>
    </row>
    <row r="7710" spans="1:12" x14ac:dyDescent="0.2">
      <c r="A7710"/>
      <c r="B7710"/>
      <c r="C7710"/>
      <c r="D7710"/>
      <c r="E7710"/>
      <c r="F7710"/>
      <c r="G7710"/>
      <c r="H7710"/>
      <c r="I7710"/>
      <c r="J7710"/>
      <c r="K7710" s="1"/>
      <c r="L7710" s="2"/>
    </row>
    <row r="7711" spans="1:12" x14ac:dyDescent="0.2">
      <c r="A7711"/>
      <c r="B7711"/>
      <c r="C7711"/>
      <c r="D7711"/>
      <c r="E7711"/>
      <c r="F7711"/>
      <c r="G7711"/>
      <c r="H7711"/>
      <c r="I7711"/>
      <c r="J7711"/>
      <c r="K7711" s="1"/>
      <c r="L7711" s="2"/>
    </row>
    <row r="7712" spans="1:12" x14ac:dyDescent="0.2">
      <c r="A7712"/>
      <c r="B7712"/>
      <c r="C7712"/>
      <c r="D7712"/>
      <c r="E7712"/>
      <c r="F7712"/>
      <c r="G7712"/>
      <c r="H7712"/>
      <c r="I7712"/>
      <c r="J7712"/>
      <c r="K7712" s="1"/>
      <c r="L7712" s="2"/>
    </row>
    <row r="7713" spans="1:12" x14ac:dyDescent="0.2">
      <c r="A7713"/>
      <c r="B7713"/>
      <c r="C7713"/>
      <c r="D7713"/>
      <c r="E7713"/>
      <c r="F7713"/>
      <c r="G7713"/>
      <c r="H7713"/>
      <c r="I7713"/>
      <c r="J7713"/>
      <c r="K7713" s="1"/>
      <c r="L7713" s="2"/>
    </row>
    <row r="7714" spans="1:12" x14ac:dyDescent="0.2">
      <c r="A7714"/>
      <c r="B7714"/>
      <c r="C7714"/>
      <c r="D7714"/>
      <c r="E7714"/>
      <c r="F7714"/>
      <c r="G7714"/>
      <c r="H7714"/>
      <c r="I7714"/>
      <c r="J7714"/>
      <c r="K7714" s="1"/>
      <c r="L7714" s="2"/>
    </row>
    <row r="7715" spans="1:12" x14ac:dyDescent="0.2">
      <c r="A7715"/>
      <c r="B7715"/>
      <c r="C7715"/>
      <c r="D7715"/>
      <c r="E7715"/>
      <c r="F7715"/>
      <c r="G7715"/>
      <c r="H7715"/>
      <c r="I7715"/>
      <c r="J7715"/>
      <c r="K7715" s="1"/>
      <c r="L7715" s="2"/>
    </row>
    <row r="7716" spans="1:12" x14ac:dyDescent="0.2">
      <c r="A7716"/>
      <c r="B7716"/>
      <c r="C7716"/>
      <c r="D7716"/>
      <c r="E7716"/>
      <c r="F7716"/>
      <c r="G7716"/>
      <c r="H7716"/>
      <c r="I7716"/>
      <c r="J7716"/>
      <c r="K7716" s="1"/>
      <c r="L7716" s="2"/>
    </row>
    <row r="7717" spans="1:12" x14ac:dyDescent="0.2">
      <c r="A7717"/>
      <c r="B7717"/>
      <c r="C7717"/>
      <c r="D7717"/>
      <c r="E7717"/>
      <c r="F7717"/>
      <c r="G7717"/>
      <c r="H7717"/>
      <c r="I7717"/>
      <c r="J7717"/>
      <c r="K7717" s="1"/>
      <c r="L7717" s="2"/>
    </row>
    <row r="7718" spans="1:12" x14ac:dyDescent="0.2">
      <c r="A7718"/>
      <c r="B7718"/>
      <c r="C7718"/>
      <c r="D7718"/>
      <c r="E7718"/>
      <c r="F7718"/>
      <c r="G7718"/>
      <c r="H7718"/>
      <c r="I7718"/>
      <c r="J7718"/>
      <c r="K7718" s="1"/>
      <c r="L7718" s="2"/>
    </row>
    <row r="7719" spans="1:12" x14ac:dyDescent="0.2">
      <c r="A7719"/>
      <c r="B7719"/>
      <c r="C7719"/>
      <c r="D7719"/>
      <c r="E7719"/>
      <c r="F7719"/>
      <c r="G7719"/>
      <c r="H7719"/>
      <c r="I7719"/>
      <c r="J7719"/>
      <c r="K7719" s="1"/>
      <c r="L7719" s="2"/>
    </row>
    <row r="7720" spans="1:12" x14ac:dyDescent="0.2">
      <c r="A7720"/>
      <c r="B7720"/>
      <c r="C7720"/>
      <c r="D7720"/>
      <c r="E7720"/>
      <c r="F7720"/>
      <c r="G7720"/>
      <c r="H7720"/>
      <c r="I7720"/>
      <c r="J7720"/>
      <c r="K7720" s="1"/>
      <c r="L7720" s="2"/>
    </row>
    <row r="7721" spans="1:12" x14ac:dyDescent="0.2">
      <c r="A7721"/>
      <c r="B7721"/>
      <c r="C7721"/>
      <c r="D7721"/>
      <c r="E7721"/>
      <c r="F7721"/>
      <c r="G7721"/>
      <c r="H7721"/>
      <c r="I7721"/>
      <c r="J7721"/>
      <c r="K7721" s="1"/>
      <c r="L7721" s="2"/>
    </row>
    <row r="7722" spans="1:12" x14ac:dyDescent="0.2">
      <c r="A7722"/>
      <c r="B7722"/>
      <c r="C7722"/>
      <c r="D7722"/>
      <c r="E7722"/>
      <c r="F7722"/>
      <c r="G7722"/>
      <c r="H7722"/>
      <c r="I7722"/>
      <c r="J7722"/>
      <c r="K7722" s="1"/>
      <c r="L7722" s="2"/>
    </row>
    <row r="7723" spans="1:12" x14ac:dyDescent="0.2">
      <c r="A7723"/>
      <c r="B7723"/>
      <c r="C7723"/>
      <c r="D7723"/>
      <c r="E7723"/>
      <c r="F7723"/>
      <c r="G7723"/>
      <c r="H7723"/>
      <c r="I7723"/>
      <c r="J7723"/>
      <c r="K7723" s="1"/>
      <c r="L7723" s="2"/>
    </row>
    <row r="7724" spans="1:12" x14ac:dyDescent="0.2">
      <c r="A7724"/>
      <c r="B7724"/>
      <c r="C7724"/>
      <c r="D7724"/>
      <c r="E7724"/>
      <c r="F7724"/>
      <c r="G7724"/>
      <c r="H7724"/>
      <c r="I7724"/>
      <c r="J7724"/>
      <c r="K7724" s="1"/>
      <c r="L7724" s="2"/>
    </row>
    <row r="7725" spans="1:12" x14ac:dyDescent="0.2">
      <c r="A7725"/>
      <c r="B7725"/>
      <c r="C7725"/>
      <c r="D7725"/>
      <c r="E7725"/>
      <c r="F7725"/>
      <c r="G7725"/>
      <c r="H7725"/>
      <c r="I7725"/>
      <c r="J7725"/>
      <c r="K7725" s="1"/>
      <c r="L7725" s="2"/>
    </row>
    <row r="7726" spans="1:12" x14ac:dyDescent="0.2">
      <c r="A7726"/>
      <c r="B7726"/>
      <c r="C7726"/>
      <c r="D7726"/>
      <c r="E7726"/>
      <c r="F7726"/>
      <c r="G7726"/>
      <c r="H7726"/>
      <c r="I7726"/>
      <c r="J7726"/>
      <c r="K7726" s="1"/>
      <c r="L7726" s="2"/>
    </row>
    <row r="7727" spans="1:12" x14ac:dyDescent="0.2">
      <c r="A7727"/>
      <c r="B7727"/>
      <c r="C7727"/>
      <c r="D7727"/>
      <c r="E7727"/>
      <c r="F7727"/>
      <c r="G7727"/>
      <c r="H7727"/>
      <c r="I7727"/>
      <c r="J7727"/>
      <c r="K7727" s="1"/>
      <c r="L7727" s="2"/>
    </row>
    <row r="7728" spans="1:12" x14ac:dyDescent="0.2">
      <c r="A7728"/>
      <c r="B7728"/>
      <c r="C7728"/>
      <c r="D7728"/>
      <c r="E7728"/>
      <c r="F7728"/>
      <c r="G7728"/>
      <c r="H7728"/>
      <c r="I7728"/>
      <c r="J7728"/>
      <c r="K7728" s="1"/>
      <c r="L7728" s="2"/>
    </row>
    <row r="7729" spans="1:12" x14ac:dyDescent="0.2">
      <c r="A7729"/>
      <c r="B7729"/>
      <c r="C7729"/>
      <c r="D7729"/>
      <c r="E7729"/>
      <c r="F7729"/>
      <c r="G7729"/>
      <c r="H7729"/>
      <c r="I7729"/>
      <c r="J7729"/>
      <c r="K7729" s="1"/>
      <c r="L7729" s="2"/>
    </row>
    <row r="7730" spans="1:12" x14ac:dyDescent="0.2">
      <c r="A7730"/>
      <c r="B7730"/>
      <c r="C7730"/>
      <c r="D7730"/>
      <c r="E7730"/>
      <c r="F7730"/>
      <c r="G7730"/>
      <c r="H7730"/>
      <c r="I7730"/>
      <c r="J7730"/>
      <c r="K7730" s="1"/>
      <c r="L7730" s="2"/>
    </row>
    <row r="7731" spans="1:12" x14ac:dyDescent="0.2">
      <c r="A7731"/>
      <c r="B7731"/>
      <c r="C7731"/>
      <c r="D7731"/>
      <c r="E7731"/>
      <c r="F7731"/>
      <c r="G7731"/>
      <c r="H7731"/>
      <c r="I7731"/>
      <c r="J7731"/>
      <c r="K7731" s="1"/>
      <c r="L7731" s="2"/>
    </row>
    <row r="7732" spans="1:12" x14ac:dyDescent="0.2">
      <c r="A7732"/>
      <c r="B7732"/>
      <c r="C7732"/>
      <c r="D7732"/>
      <c r="E7732"/>
      <c r="F7732"/>
      <c r="G7732"/>
      <c r="H7732"/>
      <c r="I7732"/>
      <c r="J7732"/>
      <c r="K7732" s="1"/>
      <c r="L7732" s="2"/>
    </row>
    <row r="7733" spans="1:12" x14ac:dyDescent="0.2">
      <c r="A7733"/>
      <c r="B7733"/>
      <c r="C7733"/>
      <c r="D7733"/>
      <c r="E7733"/>
      <c r="F7733"/>
      <c r="G7733"/>
      <c r="H7733"/>
      <c r="I7733"/>
      <c r="J7733"/>
      <c r="K7733" s="1"/>
      <c r="L7733" s="2"/>
    </row>
    <row r="7734" spans="1:12" x14ac:dyDescent="0.2">
      <c r="A7734"/>
      <c r="B7734"/>
      <c r="C7734"/>
      <c r="D7734"/>
      <c r="E7734"/>
      <c r="F7734"/>
      <c r="G7734"/>
      <c r="H7734"/>
      <c r="I7734"/>
      <c r="J7734"/>
      <c r="K7734" s="1"/>
      <c r="L7734" s="2"/>
    </row>
    <row r="7735" spans="1:12" x14ac:dyDescent="0.2">
      <c r="A7735"/>
      <c r="B7735"/>
      <c r="C7735"/>
      <c r="D7735"/>
      <c r="E7735"/>
      <c r="F7735"/>
      <c r="G7735"/>
      <c r="H7735"/>
      <c r="I7735"/>
      <c r="J7735"/>
      <c r="K7735" s="1"/>
      <c r="L7735" s="2"/>
    </row>
    <row r="7736" spans="1:12" x14ac:dyDescent="0.2">
      <c r="A7736"/>
      <c r="B7736"/>
      <c r="C7736"/>
      <c r="D7736"/>
      <c r="E7736"/>
      <c r="F7736"/>
      <c r="G7736"/>
      <c r="H7736"/>
      <c r="I7736"/>
      <c r="J7736"/>
      <c r="K7736" s="1"/>
      <c r="L7736" s="2"/>
    </row>
    <row r="7737" spans="1:12" x14ac:dyDescent="0.2">
      <c r="A7737"/>
      <c r="B7737"/>
      <c r="C7737"/>
      <c r="D7737"/>
      <c r="E7737"/>
      <c r="F7737"/>
      <c r="G7737"/>
      <c r="H7737"/>
      <c r="I7737"/>
      <c r="J7737"/>
      <c r="K7737" s="1"/>
      <c r="L7737" s="2"/>
    </row>
    <row r="7738" spans="1:12" x14ac:dyDescent="0.2">
      <c r="A7738"/>
      <c r="B7738"/>
      <c r="C7738"/>
      <c r="D7738"/>
      <c r="E7738"/>
      <c r="F7738"/>
      <c r="G7738"/>
      <c r="H7738"/>
      <c r="I7738"/>
      <c r="J7738"/>
      <c r="K7738" s="1"/>
      <c r="L7738" s="2"/>
    </row>
    <row r="7739" spans="1:12" x14ac:dyDescent="0.2">
      <c r="A7739"/>
      <c r="B7739"/>
      <c r="C7739"/>
      <c r="D7739"/>
      <c r="E7739"/>
      <c r="F7739"/>
      <c r="G7739"/>
      <c r="H7739"/>
      <c r="I7739"/>
      <c r="J7739"/>
      <c r="K7739" s="1"/>
      <c r="L7739" s="2"/>
    </row>
    <row r="7740" spans="1:12" x14ac:dyDescent="0.2">
      <c r="A7740"/>
      <c r="B7740"/>
      <c r="C7740"/>
      <c r="D7740"/>
      <c r="E7740"/>
      <c r="F7740"/>
      <c r="G7740"/>
      <c r="H7740"/>
      <c r="I7740"/>
      <c r="J7740"/>
      <c r="K7740" s="1"/>
      <c r="L7740" s="2"/>
    </row>
    <row r="7741" spans="1:12" x14ac:dyDescent="0.2">
      <c r="A7741"/>
      <c r="B7741"/>
      <c r="C7741"/>
      <c r="D7741"/>
      <c r="E7741"/>
      <c r="F7741"/>
      <c r="G7741"/>
      <c r="H7741"/>
      <c r="I7741"/>
      <c r="J7741"/>
      <c r="K7741" s="1"/>
      <c r="L7741" s="2"/>
    </row>
    <row r="7742" spans="1:12" x14ac:dyDescent="0.2">
      <c r="A7742"/>
      <c r="B7742"/>
      <c r="C7742"/>
      <c r="D7742"/>
      <c r="E7742"/>
      <c r="F7742"/>
      <c r="G7742"/>
      <c r="H7742"/>
      <c r="I7742"/>
      <c r="J7742"/>
      <c r="K7742" s="1"/>
      <c r="L7742" s="2"/>
    </row>
    <row r="7743" spans="1:12" x14ac:dyDescent="0.2">
      <c r="A7743"/>
      <c r="B7743"/>
      <c r="C7743"/>
      <c r="D7743"/>
      <c r="E7743"/>
      <c r="F7743"/>
      <c r="G7743"/>
      <c r="H7743"/>
      <c r="I7743"/>
      <c r="J7743"/>
      <c r="K7743" s="1"/>
      <c r="L7743" s="2"/>
    </row>
    <row r="7744" spans="1:12" x14ac:dyDescent="0.2">
      <c r="A7744"/>
      <c r="B7744"/>
      <c r="C7744"/>
      <c r="D7744"/>
      <c r="E7744"/>
      <c r="F7744"/>
      <c r="G7744"/>
      <c r="H7744"/>
      <c r="I7744"/>
      <c r="J7744"/>
      <c r="K7744" s="1"/>
      <c r="L7744" s="2"/>
    </row>
    <row r="7745" spans="1:12" x14ac:dyDescent="0.2">
      <c r="A7745"/>
      <c r="B7745"/>
      <c r="C7745"/>
      <c r="D7745"/>
      <c r="E7745"/>
      <c r="F7745"/>
      <c r="G7745"/>
      <c r="H7745"/>
      <c r="I7745"/>
      <c r="J7745"/>
      <c r="K7745" s="1"/>
      <c r="L7745" s="2"/>
    </row>
    <row r="7746" spans="1:12" x14ac:dyDescent="0.2">
      <c r="A7746"/>
      <c r="B7746"/>
      <c r="C7746"/>
      <c r="D7746"/>
      <c r="E7746"/>
      <c r="F7746"/>
      <c r="G7746"/>
      <c r="H7746"/>
      <c r="I7746"/>
      <c r="J7746"/>
      <c r="K7746" s="1"/>
      <c r="L7746" s="2"/>
    </row>
    <row r="7747" spans="1:12" x14ac:dyDescent="0.2">
      <c r="A7747"/>
      <c r="B7747"/>
      <c r="C7747"/>
      <c r="D7747"/>
      <c r="E7747"/>
      <c r="F7747"/>
      <c r="G7747"/>
      <c r="H7747"/>
      <c r="I7747"/>
      <c r="J7747"/>
      <c r="K7747" s="1"/>
      <c r="L7747" s="2"/>
    </row>
    <row r="7748" spans="1:12" x14ac:dyDescent="0.2">
      <c r="A7748"/>
      <c r="B7748"/>
      <c r="C7748"/>
      <c r="D7748"/>
      <c r="E7748"/>
      <c r="F7748"/>
      <c r="G7748"/>
      <c r="H7748"/>
      <c r="I7748"/>
      <c r="J7748"/>
      <c r="K7748" s="1"/>
      <c r="L7748" s="2"/>
    </row>
    <row r="7749" spans="1:12" x14ac:dyDescent="0.2">
      <c r="A7749"/>
      <c r="B7749"/>
      <c r="C7749"/>
      <c r="D7749"/>
      <c r="E7749"/>
      <c r="F7749"/>
      <c r="G7749"/>
      <c r="H7749"/>
      <c r="I7749"/>
      <c r="J7749"/>
      <c r="K7749" s="1"/>
      <c r="L7749" s="2"/>
    </row>
    <row r="7750" spans="1:12" x14ac:dyDescent="0.2">
      <c r="A7750"/>
      <c r="B7750"/>
      <c r="C7750"/>
      <c r="D7750"/>
      <c r="E7750"/>
      <c r="F7750"/>
      <c r="G7750"/>
      <c r="H7750"/>
      <c r="I7750"/>
      <c r="J7750"/>
      <c r="K7750" s="1"/>
      <c r="L7750" s="2"/>
    </row>
    <row r="7751" spans="1:12" x14ac:dyDescent="0.2">
      <c r="A7751"/>
      <c r="B7751"/>
      <c r="C7751"/>
      <c r="D7751"/>
      <c r="E7751"/>
      <c r="F7751"/>
      <c r="G7751"/>
      <c r="H7751"/>
      <c r="I7751"/>
      <c r="J7751"/>
      <c r="K7751" s="1"/>
      <c r="L7751" s="2"/>
    </row>
    <row r="7752" spans="1:12" x14ac:dyDescent="0.2">
      <c r="A7752"/>
      <c r="B7752"/>
      <c r="C7752"/>
      <c r="D7752"/>
      <c r="E7752"/>
      <c r="F7752"/>
      <c r="G7752"/>
      <c r="H7752"/>
      <c r="I7752"/>
      <c r="J7752"/>
      <c r="K7752" s="1"/>
      <c r="L7752" s="2"/>
    </row>
    <row r="7753" spans="1:12" x14ac:dyDescent="0.2">
      <c r="A7753"/>
      <c r="B7753"/>
      <c r="C7753"/>
      <c r="D7753"/>
      <c r="E7753"/>
      <c r="F7753"/>
      <c r="G7753"/>
      <c r="H7753"/>
      <c r="I7753"/>
      <c r="J7753"/>
      <c r="K7753" s="1"/>
      <c r="L7753" s="2"/>
    </row>
    <row r="7754" spans="1:12" x14ac:dyDescent="0.2">
      <c r="A7754"/>
      <c r="B7754"/>
      <c r="C7754"/>
      <c r="D7754"/>
      <c r="E7754"/>
      <c r="F7754"/>
      <c r="G7754"/>
      <c r="H7754"/>
      <c r="I7754"/>
      <c r="J7754"/>
      <c r="K7754" s="1"/>
      <c r="L7754" s="2"/>
    </row>
    <row r="7755" spans="1:12" x14ac:dyDescent="0.2">
      <c r="A7755"/>
      <c r="B7755"/>
      <c r="C7755"/>
      <c r="D7755"/>
      <c r="E7755"/>
      <c r="F7755"/>
      <c r="G7755"/>
      <c r="H7755"/>
      <c r="I7755"/>
      <c r="J7755"/>
      <c r="K7755" s="1"/>
      <c r="L7755" s="2"/>
    </row>
    <row r="7756" spans="1:12" x14ac:dyDescent="0.2">
      <c r="A7756"/>
      <c r="B7756"/>
      <c r="C7756"/>
      <c r="D7756"/>
      <c r="E7756"/>
      <c r="F7756"/>
      <c r="G7756"/>
      <c r="H7756"/>
      <c r="I7756"/>
      <c r="J7756"/>
      <c r="K7756" s="1"/>
      <c r="L7756" s="2"/>
    </row>
    <row r="7757" spans="1:12" x14ac:dyDescent="0.2">
      <c r="A7757"/>
      <c r="B7757"/>
      <c r="C7757"/>
      <c r="D7757"/>
      <c r="E7757"/>
      <c r="F7757"/>
      <c r="G7757"/>
      <c r="H7757"/>
      <c r="I7757"/>
      <c r="J7757"/>
      <c r="K7757" s="1"/>
      <c r="L7757" s="2"/>
    </row>
    <row r="7758" spans="1:12" x14ac:dyDescent="0.2">
      <c r="A7758"/>
      <c r="B7758"/>
      <c r="C7758"/>
      <c r="D7758"/>
      <c r="E7758"/>
      <c r="F7758"/>
      <c r="G7758"/>
      <c r="H7758"/>
      <c r="I7758"/>
      <c r="J7758"/>
      <c r="K7758" s="1"/>
      <c r="L7758" s="2"/>
    </row>
    <row r="7759" spans="1:12" x14ac:dyDescent="0.2">
      <c r="A7759"/>
      <c r="B7759"/>
      <c r="C7759"/>
      <c r="D7759"/>
      <c r="E7759"/>
      <c r="F7759"/>
      <c r="G7759"/>
      <c r="H7759"/>
      <c r="I7759"/>
      <c r="J7759"/>
      <c r="K7759" s="1"/>
      <c r="L7759" s="2"/>
    </row>
    <row r="7760" spans="1:12" x14ac:dyDescent="0.2">
      <c r="A7760"/>
      <c r="B7760"/>
      <c r="C7760"/>
      <c r="D7760"/>
      <c r="E7760"/>
      <c r="F7760"/>
      <c r="G7760"/>
      <c r="H7760"/>
      <c r="I7760"/>
      <c r="J7760"/>
      <c r="K7760" s="1"/>
      <c r="L7760" s="2"/>
    </row>
    <row r="7761" spans="1:12" x14ac:dyDescent="0.2">
      <c r="A7761"/>
      <c r="B7761"/>
      <c r="C7761"/>
      <c r="D7761"/>
      <c r="E7761"/>
      <c r="F7761"/>
      <c r="G7761"/>
      <c r="H7761"/>
      <c r="I7761"/>
      <c r="J7761"/>
      <c r="K7761" s="1"/>
      <c r="L7761" s="2"/>
    </row>
    <row r="7762" spans="1:12" x14ac:dyDescent="0.2">
      <c r="A7762"/>
      <c r="B7762"/>
      <c r="C7762"/>
      <c r="D7762"/>
      <c r="E7762"/>
      <c r="F7762"/>
      <c r="G7762"/>
      <c r="H7762"/>
      <c r="I7762"/>
      <c r="J7762"/>
      <c r="K7762" s="1"/>
      <c r="L7762" s="2"/>
    </row>
    <row r="7763" spans="1:12" x14ac:dyDescent="0.2">
      <c r="A7763"/>
      <c r="B7763"/>
      <c r="C7763"/>
      <c r="D7763"/>
      <c r="E7763"/>
      <c r="F7763"/>
      <c r="G7763"/>
      <c r="H7763"/>
      <c r="I7763"/>
      <c r="J7763"/>
      <c r="K7763" s="1"/>
      <c r="L7763" s="2"/>
    </row>
    <row r="7764" spans="1:12" x14ac:dyDescent="0.2">
      <c r="A7764"/>
      <c r="B7764"/>
      <c r="C7764"/>
      <c r="D7764"/>
      <c r="E7764"/>
      <c r="F7764"/>
      <c r="G7764"/>
      <c r="H7764"/>
      <c r="I7764"/>
      <c r="J7764"/>
      <c r="K7764" s="1"/>
      <c r="L7764" s="2"/>
    </row>
    <row r="7765" spans="1:12" x14ac:dyDescent="0.2">
      <c r="A7765"/>
      <c r="B7765"/>
      <c r="C7765"/>
      <c r="D7765"/>
      <c r="E7765"/>
      <c r="F7765"/>
      <c r="G7765"/>
      <c r="H7765"/>
      <c r="I7765"/>
      <c r="J7765"/>
      <c r="K7765" s="1"/>
      <c r="L7765" s="2"/>
    </row>
    <row r="7766" spans="1:12" x14ac:dyDescent="0.2">
      <c r="A7766"/>
      <c r="B7766"/>
      <c r="C7766"/>
      <c r="D7766"/>
      <c r="E7766"/>
      <c r="F7766"/>
      <c r="G7766"/>
      <c r="H7766"/>
      <c r="I7766"/>
      <c r="J7766"/>
      <c r="K7766" s="1"/>
      <c r="L7766" s="2"/>
    </row>
    <row r="7767" spans="1:12" x14ac:dyDescent="0.2">
      <c r="A7767"/>
      <c r="B7767"/>
      <c r="C7767"/>
      <c r="D7767"/>
      <c r="E7767"/>
      <c r="F7767"/>
      <c r="G7767"/>
      <c r="H7767"/>
      <c r="I7767"/>
      <c r="J7767"/>
      <c r="K7767" s="1"/>
      <c r="L7767" s="2"/>
    </row>
    <row r="7768" spans="1:12" x14ac:dyDescent="0.2">
      <c r="A7768"/>
      <c r="B7768"/>
      <c r="C7768"/>
      <c r="D7768"/>
      <c r="E7768"/>
      <c r="F7768"/>
      <c r="G7768"/>
      <c r="H7768"/>
      <c r="I7768"/>
      <c r="J7768"/>
      <c r="K7768" s="1"/>
      <c r="L7768" s="2"/>
    </row>
    <row r="7769" spans="1:12" x14ac:dyDescent="0.2">
      <c r="A7769"/>
      <c r="B7769"/>
      <c r="C7769"/>
      <c r="D7769"/>
      <c r="E7769"/>
      <c r="F7769"/>
      <c r="G7769"/>
      <c r="H7769"/>
      <c r="I7769"/>
      <c r="J7769"/>
      <c r="K7769" s="1"/>
      <c r="L7769" s="2"/>
    </row>
    <row r="7770" spans="1:12" x14ac:dyDescent="0.2">
      <c r="A7770"/>
      <c r="B7770"/>
      <c r="C7770"/>
      <c r="D7770"/>
      <c r="E7770"/>
      <c r="F7770"/>
      <c r="G7770"/>
      <c r="H7770"/>
      <c r="I7770"/>
      <c r="J7770"/>
      <c r="K7770" s="1"/>
      <c r="L7770" s="2"/>
    </row>
    <row r="7771" spans="1:12" x14ac:dyDescent="0.2">
      <c r="A7771"/>
      <c r="B7771"/>
      <c r="C7771"/>
      <c r="D7771"/>
      <c r="E7771"/>
      <c r="F7771"/>
      <c r="G7771"/>
      <c r="H7771"/>
      <c r="I7771"/>
      <c r="J7771"/>
      <c r="K7771" s="1"/>
      <c r="L7771" s="2"/>
    </row>
    <row r="7772" spans="1:12" x14ac:dyDescent="0.2">
      <c r="A7772"/>
      <c r="B7772"/>
      <c r="C7772"/>
      <c r="D7772"/>
      <c r="E7772"/>
      <c r="F7772"/>
      <c r="G7772"/>
      <c r="H7772"/>
      <c r="I7772"/>
      <c r="J7772"/>
      <c r="K7772" s="1"/>
      <c r="L7772" s="2"/>
    </row>
    <row r="7773" spans="1:12" x14ac:dyDescent="0.2">
      <c r="A7773"/>
      <c r="B7773"/>
      <c r="C7773"/>
      <c r="D7773"/>
      <c r="E7773"/>
      <c r="F7773"/>
      <c r="G7773"/>
      <c r="H7773"/>
      <c r="I7773"/>
      <c r="J7773"/>
      <c r="K7773" s="1"/>
      <c r="L7773" s="2"/>
    </row>
    <row r="7774" spans="1:12" x14ac:dyDescent="0.2">
      <c r="A7774"/>
      <c r="B7774"/>
      <c r="C7774"/>
      <c r="D7774"/>
      <c r="E7774"/>
      <c r="F7774"/>
      <c r="G7774"/>
      <c r="H7774"/>
      <c r="I7774"/>
      <c r="J7774"/>
      <c r="K7774" s="1"/>
      <c r="L7774" s="2"/>
    </row>
    <row r="7775" spans="1:12" x14ac:dyDescent="0.2">
      <c r="A7775"/>
      <c r="B7775"/>
      <c r="C7775"/>
      <c r="D7775"/>
      <c r="E7775"/>
      <c r="F7775"/>
      <c r="G7775"/>
      <c r="H7775"/>
      <c r="I7775"/>
      <c r="J7775"/>
      <c r="K7775" s="1"/>
      <c r="L7775" s="2"/>
    </row>
    <row r="7776" spans="1:12" x14ac:dyDescent="0.2">
      <c r="A7776"/>
      <c r="B7776"/>
      <c r="C7776"/>
      <c r="D7776"/>
      <c r="E7776"/>
      <c r="F7776"/>
      <c r="G7776"/>
      <c r="H7776"/>
      <c r="I7776"/>
      <c r="J7776"/>
      <c r="K7776" s="1"/>
      <c r="L7776" s="2"/>
    </row>
    <row r="7777" spans="1:12" x14ac:dyDescent="0.2">
      <c r="A7777"/>
      <c r="B7777"/>
      <c r="C7777"/>
      <c r="D7777"/>
      <c r="E7777"/>
      <c r="F7777"/>
      <c r="G7777"/>
      <c r="H7777"/>
      <c r="I7777"/>
      <c r="J7777"/>
      <c r="K7777" s="1"/>
      <c r="L7777" s="2"/>
    </row>
    <row r="7778" spans="1:12" x14ac:dyDescent="0.2">
      <c r="A7778"/>
      <c r="B7778"/>
      <c r="C7778"/>
      <c r="D7778"/>
      <c r="E7778"/>
      <c r="F7778"/>
      <c r="G7778"/>
      <c r="H7778"/>
      <c r="I7778"/>
      <c r="J7778"/>
      <c r="K7778" s="1"/>
      <c r="L7778" s="2"/>
    </row>
    <row r="7779" spans="1:12" x14ac:dyDescent="0.2">
      <c r="A7779"/>
      <c r="B7779"/>
      <c r="C7779"/>
      <c r="D7779"/>
      <c r="E7779"/>
      <c r="F7779"/>
      <c r="G7779"/>
      <c r="H7779"/>
      <c r="I7779"/>
      <c r="J7779"/>
      <c r="K7779" s="1"/>
      <c r="L7779" s="2"/>
    </row>
    <row r="7780" spans="1:12" x14ac:dyDescent="0.2">
      <c r="A7780"/>
      <c r="B7780"/>
      <c r="C7780"/>
      <c r="D7780"/>
      <c r="E7780"/>
      <c r="F7780"/>
      <c r="G7780"/>
      <c r="H7780"/>
      <c r="I7780"/>
      <c r="J7780"/>
      <c r="K7780" s="1"/>
      <c r="L7780" s="2"/>
    </row>
    <row r="7781" spans="1:12" x14ac:dyDescent="0.2">
      <c r="A7781"/>
      <c r="B7781"/>
      <c r="C7781"/>
      <c r="D7781"/>
      <c r="E7781"/>
      <c r="F7781"/>
      <c r="G7781"/>
      <c r="H7781"/>
      <c r="I7781"/>
      <c r="J7781"/>
      <c r="K7781" s="1"/>
      <c r="L7781" s="2"/>
    </row>
    <row r="7782" spans="1:12" x14ac:dyDescent="0.2">
      <c r="A7782"/>
      <c r="B7782"/>
      <c r="C7782"/>
      <c r="D7782"/>
      <c r="E7782"/>
      <c r="F7782"/>
      <c r="G7782"/>
      <c r="H7782"/>
      <c r="I7782"/>
      <c r="J7782"/>
      <c r="K7782" s="1"/>
      <c r="L7782" s="2"/>
    </row>
    <row r="7783" spans="1:12" x14ac:dyDescent="0.2">
      <c r="A7783"/>
      <c r="B7783"/>
      <c r="C7783"/>
      <c r="D7783"/>
      <c r="E7783"/>
      <c r="F7783"/>
      <c r="G7783"/>
      <c r="H7783"/>
      <c r="I7783"/>
      <c r="J7783"/>
      <c r="K7783" s="1"/>
      <c r="L7783" s="2"/>
    </row>
    <row r="7784" spans="1:12" x14ac:dyDescent="0.2">
      <c r="A7784"/>
      <c r="B7784"/>
      <c r="C7784"/>
      <c r="D7784"/>
      <c r="E7784"/>
      <c r="F7784"/>
      <c r="G7784"/>
      <c r="H7784"/>
      <c r="I7784"/>
      <c r="J7784"/>
      <c r="K7784" s="1"/>
      <c r="L7784" s="2"/>
    </row>
    <row r="7785" spans="1:12" x14ac:dyDescent="0.2">
      <c r="A7785"/>
      <c r="B7785"/>
      <c r="C7785"/>
      <c r="D7785"/>
      <c r="E7785"/>
      <c r="F7785"/>
      <c r="G7785"/>
      <c r="H7785"/>
      <c r="I7785"/>
      <c r="J7785"/>
      <c r="K7785" s="1"/>
      <c r="L7785" s="2"/>
    </row>
    <row r="7786" spans="1:12" x14ac:dyDescent="0.2">
      <c r="A7786"/>
      <c r="B7786"/>
      <c r="C7786"/>
      <c r="D7786"/>
      <c r="E7786"/>
      <c r="F7786"/>
      <c r="G7786"/>
      <c r="H7786"/>
      <c r="I7786"/>
      <c r="J7786"/>
      <c r="K7786" s="1"/>
      <c r="L7786" s="2"/>
    </row>
    <row r="7787" spans="1:12" x14ac:dyDescent="0.2">
      <c r="A7787"/>
      <c r="B7787"/>
      <c r="C7787"/>
      <c r="D7787"/>
      <c r="E7787"/>
      <c r="F7787"/>
      <c r="G7787"/>
      <c r="H7787"/>
      <c r="I7787"/>
      <c r="J7787"/>
      <c r="K7787" s="1"/>
      <c r="L7787" s="2"/>
    </row>
    <row r="7788" spans="1:12" x14ac:dyDescent="0.2">
      <c r="A7788"/>
      <c r="B7788"/>
      <c r="C7788"/>
      <c r="D7788"/>
      <c r="E7788"/>
      <c r="F7788"/>
      <c r="G7788"/>
      <c r="H7788"/>
      <c r="I7788"/>
      <c r="J7788"/>
      <c r="K7788" s="1"/>
      <c r="L7788" s="2"/>
    </row>
    <row r="7789" spans="1:12" x14ac:dyDescent="0.2">
      <c r="A7789"/>
      <c r="B7789"/>
      <c r="C7789"/>
      <c r="D7789"/>
      <c r="E7789"/>
      <c r="F7789"/>
      <c r="G7789"/>
      <c r="H7789"/>
      <c r="I7789"/>
      <c r="J7789"/>
      <c r="K7789" s="1"/>
      <c r="L7789" s="2"/>
    </row>
    <row r="7790" spans="1:12" x14ac:dyDescent="0.2">
      <c r="A7790"/>
      <c r="B7790"/>
      <c r="C7790"/>
      <c r="D7790"/>
      <c r="E7790"/>
      <c r="F7790"/>
      <c r="G7790"/>
      <c r="H7790"/>
      <c r="I7790"/>
      <c r="J7790"/>
      <c r="K7790" s="1"/>
      <c r="L7790" s="2"/>
    </row>
    <row r="7791" spans="1:12" x14ac:dyDescent="0.2">
      <c r="A7791"/>
      <c r="B7791"/>
      <c r="C7791"/>
      <c r="D7791"/>
      <c r="E7791"/>
      <c r="F7791"/>
      <c r="G7791"/>
      <c r="H7791"/>
      <c r="I7791"/>
      <c r="J7791"/>
      <c r="K7791" s="1"/>
      <c r="L7791" s="2"/>
    </row>
    <row r="7792" spans="1:12" x14ac:dyDescent="0.2">
      <c r="A7792"/>
      <c r="B7792"/>
      <c r="C7792"/>
      <c r="D7792"/>
      <c r="E7792"/>
      <c r="F7792"/>
      <c r="G7792"/>
      <c r="H7792"/>
      <c r="I7792"/>
      <c r="J7792"/>
      <c r="K7792" s="1"/>
      <c r="L7792" s="2"/>
    </row>
    <row r="7793" spans="1:12" x14ac:dyDescent="0.2">
      <c r="A7793"/>
      <c r="B7793"/>
      <c r="C7793"/>
      <c r="D7793"/>
      <c r="E7793"/>
      <c r="F7793"/>
      <c r="G7793"/>
      <c r="H7793"/>
      <c r="I7793"/>
      <c r="J7793"/>
      <c r="K7793" s="1"/>
      <c r="L7793" s="2"/>
    </row>
    <row r="7794" spans="1:12" x14ac:dyDescent="0.2">
      <c r="A7794"/>
      <c r="B7794"/>
      <c r="C7794"/>
      <c r="D7794"/>
      <c r="E7794"/>
      <c r="F7794"/>
      <c r="G7794"/>
      <c r="H7794"/>
      <c r="I7794"/>
      <c r="J7794"/>
      <c r="K7794" s="1"/>
      <c r="L7794" s="2"/>
    </row>
    <row r="7795" spans="1:12" x14ac:dyDescent="0.2">
      <c r="A7795"/>
      <c r="B7795"/>
      <c r="C7795"/>
      <c r="D7795"/>
      <c r="E7795"/>
      <c r="F7795"/>
      <c r="G7795"/>
      <c r="H7795"/>
      <c r="I7795"/>
      <c r="J7795"/>
      <c r="K7795" s="1"/>
      <c r="L7795" s="2"/>
    </row>
    <row r="7796" spans="1:12" x14ac:dyDescent="0.2">
      <c r="A7796"/>
      <c r="B7796"/>
      <c r="C7796"/>
      <c r="D7796"/>
      <c r="E7796"/>
      <c r="F7796"/>
      <c r="G7796"/>
      <c r="H7796"/>
      <c r="I7796"/>
      <c r="J7796"/>
      <c r="K7796" s="1"/>
      <c r="L7796" s="2"/>
    </row>
    <row r="7797" spans="1:12" x14ac:dyDescent="0.2">
      <c r="A7797"/>
      <c r="B7797"/>
      <c r="C7797"/>
      <c r="D7797"/>
      <c r="E7797"/>
      <c r="F7797"/>
      <c r="G7797"/>
      <c r="H7797"/>
      <c r="I7797"/>
      <c r="J7797"/>
      <c r="K7797" s="1"/>
      <c r="L7797" s="2"/>
    </row>
    <row r="7798" spans="1:12" x14ac:dyDescent="0.2">
      <c r="A7798"/>
      <c r="B7798"/>
      <c r="C7798"/>
      <c r="D7798"/>
      <c r="E7798"/>
      <c r="F7798"/>
      <c r="G7798"/>
      <c r="H7798"/>
      <c r="I7798"/>
      <c r="J7798"/>
      <c r="K7798" s="1"/>
      <c r="L7798" s="2"/>
    </row>
    <row r="7799" spans="1:12" x14ac:dyDescent="0.2">
      <c r="A7799"/>
      <c r="B7799"/>
      <c r="C7799"/>
      <c r="D7799"/>
      <c r="E7799"/>
      <c r="F7799"/>
      <c r="G7799"/>
      <c r="H7799"/>
      <c r="I7799"/>
      <c r="J7799"/>
      <c r="K7799" s="1"/>
      <c r="L7799" s="2"/>
    </row>
    <row r="7800" spans="1:12" x14ac:dyDescent="0.2">
      <c r="A7800"/>
      <c r="B7800"/>
      <c r="C7800"/>
      <c r="D7800"/>
      <c r="E7800"/>
      <c r="F7800"/>
      <c r="G7800"/>
      <c r="H7800"/>
      <c r="I7800"/>
      <c r="J7800"/>
      <c r="K7800" s="1"/>
      <c r="L7800" s="2"/>
    </row>
    <row r="7801" spans="1:12" x14ac:dyDescent="0.2">
      <c r="A7801"/>
      <c r="B7801"/>
      <c r="C7801"/>
      <c r="D7801"/>
      <c r="E7801"/>
      <c r="F7801"/>
      <c r="G7801"/>
      <c r="H7801"/>
      <c r="I7801"/>
      <c r="J7801"/>
      <c r="K7801" s="1"/>
      <c r="L7801" s="2"/>
    </row>
    <row r="7802" spans="1:12" x14ac:dyDescent="0.2">
      <c r="A7802"/>
      <c r="B7802"/>
      <c r="C7802"/>
      <c r="D7802"/>
      <c r="E7802"/>
      <c r="F7802"/>
      <c r="G7802"/>
      <c r="H7802"/>
      <c r="I7802"/>
      <c r="J7802"/>
      <c r="K7802" s="1"/>
      <c r="L7802" s="2"/>
    </row>
    <row r="7803" spans="1:12" x14ac:dyDescent="0.2">
      <c r="A7803"/>
      <c r="B7803"/>
      <c r="C7803"/>
      <c r="D7803"/>
      <c r="E7803"/>
      <c r="F7803"/>
      <c r="G7803"/>
      <c r="H7803"/>
      <c r="I7803"/>
      <c r="J7803"/>
      <c r="K7803" s="1"/>
      <c r="L7803" s="2"/>
    </row>
    <row r="7804" spans="1:12" x14ac:dyDescent="0.2">
      <c r="A7804"/>
      <c r="B7804"/>
      <c r="C7804"/>
      <c r="D7804"/>
      <c r="E7804"/>
      <c r="F7804"/>
      <c r="G7804"/>
      <c r="H7804"/>
      <c r="I7804"/>
      <c r="J7804"/>
      <c r="K7804" s="1"/>
      <c r="L7804" s="2"/>
    </row>
    <row r="7805" spans="1:12" x14ac:dyDescent="0.2">
      <c r="A7805"/>
      <c r="B7805"/>
      <c r="C7805"/>
      <c r="D7805"/>
      <c r="E7805"/>
      <c r="F7805"/>
      <c r="G7805"/>
      <c r="H7805"/>
      <c r="I7805"/>
      <c r="J7805"/>
      <c r="K7805" s="1"/>
      <c r="L7805" s="2"/>
    </row>
    <row r="7806" spans="1:12" x14ac:dyDescent="0.2">
      <c r="A7806"/>
      <c r="B7806"/>
      <c r="C7806"/>
      <c r="D7806"/>
      <c r="E7806"/>
      <c r="F7806"/>
      <c r="G7806"/>
      <c r="H7806"/>
      <c r="I7806"/>
      <c r="J7806"/>
      <c r="K7806" s="1"/>
      <c r="L7806" s="2"/>
    </row>
    <row r="7807" spans="1:12" x14ac:dyDescent="0.2">
      <c r="A7807"/>
      <c r="B7807"/>
      <c r="C7807"/>
      <c r="D7807"/>
      <c r="E7807"/>
      <c r="F7807"/>
      <c r="G7807"/>
      <c r="H7807"/>
      <c r="I7807"/>
      <c r="J7807"/>
      <c r="K7807" s="1"/>
      <c r="L7807" s="2"/>
    </row>
    <row r="7808" spans="1:12" x14ac:dyDescent="0.2">
      <c r="A7808"/>
      <c r="B7808"/>
      <c r="C7808"/>
      <c r="D7808"/>
      <c r="E7808"/>
      <c r="F7808"/>
      <c r="G7808"/>
      <c r="H7808"/>
      <c r="I7808"/>
      <c r="J7808"/>
      <c r="K7808" s="1"/>
      <c r="L7808" s="2"/>
    </row>
    <row r="7809" spans="1:12" x14ac:dyDescent="0.2">
      <c r="A7809"/>
      <c r="B7809"/>
      <c r="C7809"/>
      <c r="D7809"/>
      <c r="E7809"/>
      <c r="F7809"/>
      <c r="G7809"/>
      <c r="H7809"/>
      <c r="I7809"/>
      <c r="J7809"/>
      <c r="K7809" s="1"/>
      <c r="L7809" s="2"/>
    </row>
    <row r="7810" spans="1:12" x14ac:dyDescent="0.2">
      <c r="A7810"/>
      <c r="B7810"/>
      <c r="C7810"/>
      <c r="D7810"/>
      <c r="E7810"/>
      <c r="F7810"/>
      <c r="G7810"/>
      <c r="H7810"/>
      <c r="I7810"/>
      <c r="J7810"/>
      <c r="K7810" s="1"/>
      <c r="L7810" s="2"/>
    </row>
    <row r="7811" spans="1:12" x14ac:dyDescent="0.2">
      <c r="A7811"/>
      <c r="B7811"/>
      <c r="C7811"/>
      <c r="D7811"/>
      <c r="E7811"/>
      <c r="F7811"/>
      <c r="G7811"/>
      <c r="H7811"/>
      <c r="I7811"/>
      <c r="J7811"/>
      <c r="K7811" s="1"/>
      <c r="L7811" s="2"/>
    </row>
    <row r="7812" spans="1:12" x14ac:dyDescent="0.2">
      <c r="A7812"/>
      <c r="B7812"/>
      <c r="C7812"/>
      <c r="D7812"/>
      <c r="E7812"/>
      <c r="F7812"/>
      <c r="G7812"/>
      <c r="H7812"/>
      <c r="I7812"/>
      <c r="J7812"/>
      <c r="K7812" s="1"/>
      <c r="L7812" s="2"/>
    </row>
    <row r="7813" spans="1:12" x14ac:dyDescent="0.2">
      <c r="A7813"/>
      <c r="B7813"/>
      <c r="C7813"/>
      <c r="D7813"/>
      <c r="E7813"/>
      <c r="F7813"/>
      <c r="G7813"/>
      <c r="H7813"/>
      <c r="I7813"/>
      <c r="J7813"/>
      <c r="K7813" s="1"/>
      <c r="L7813" s="2"/>
    </row>
    <row r="7814" spans="1:12" x14ac:dyDescent="0.2">
      <c r="A7814"/>
      <c r="B7814"/>
      <c r="C7814"/>
      <c r="D7814"/>
      <c r="E7814"/>
      <c r="F7814"/>
      <c r="G7814"/>
      <c r="H7814"/>
      <c r="I7814"/>
      <c r="J7814"/>
      <c r="K7814" s="1"/>
      <c r="L7814" s="2"/>
    </row>
    <row r="7815" spans="1:12" x14ac:dyDescent="0.2">
      <c r="A7815"/>
      <c r="B7815"/>
      <c r="C7815"/>
      <c r="D7815"/>
      <c r="E7815"/>
      <c r="F7815"/>
      <c r="G7815"/>
      <c r="H7815"/>
      <c r="I7815"/>
      <c r="J7815"/>
      <c r="K7815" s="1"/>
      <c r="L7815" s="2"/>
    </row>
    <row r="7816" spans="1:12" x14ac:dyDescent="0.2">
      <c r="A7816"/>
      <c r="B7816"/>
      <c r="C7816"/>
      <c r="D7816"/>
      <c r="E7816"/>
      <c r="F7816"/>
      <c r="G7816"/>
      <c r="H7816"/>
      <c r="I7816"/>
      <c r="J7816"/>
      <c r="K7816" s="1"/>
      <c r="L7816" s="2"/>
    </row>
    <row r="7817" spans="1:12" x14ac:dyDescent="0.2">
      <c r="A7817"/>
      <c r="B7817"/>
      <c r="C7817"/>
      <c r="D7817"/>
      <c r="E7817"/>
      <c r="F7817"/>
      <c r="G7817"/>
      <c r="H7817"/>
      <c r="I7817"/>
      <c r="J7817"/>
      <c r="K7817" s="1"/>
      <c r="L7817" s="2"/>
    </row>
    <row r="7818" spans="1:12" x14ac:dyDescent="0.2">
      <c r="A7818"/>
      <c r="B7818"/>
      <c r="C7818"/>
      <c r="D7818"/>
      <c r="E7818"/>
      <c r="F7818"/>
      <c r="G7818"/>
      <c r="H7818"/>
      <c r="I7818"/>
      <c r="J7818"/>
      <c r="K7818" s="1"/>
      <c r="L7818" s="2"/>
    </row>
    <row r="7819" spans="1:12" x14ac:dyDescent="0.2">
      <c r="A7819"/>
      <c r="B7819"/>
      <c r="C7819"/>
      <c r="D7819"/>
      <c r="E7819"/>
      <c r="F7819"/>
      <c r="G7819"/>
      <c r="H7819"/>
      <c r="I7819"/>
      <c r="J7819"/>
      <c r="K7819" s="1"/>
      <c r="L7819" s="2"/>
    </row>
    <row r="7820" spans="1:12" x14ac:dyDescent="0.2">
      <c r="A7820"/>
      <c r="B7820"/>
      <c r="C7820"/>
      <c r="D7820"/>
      <c r="E7820"/>
      <c r="F7820"/>
      <c r="G7820"/>
      <c r="H7820"/>
      <c r="I7820"/>
      <c r="J7820"/>
      <c r="K7820" s="1"/>
      <c r="L7820" s="2"/>
    </row>
    <row r="7821" spans="1:12" x14ac:dyDescent="0.2">
      <c r="A7821"/>
      <c r="B7821"/>
      <c r="C7821"/>
      <c r="D7821"/>
      <c r="E7821"/>
      <c r="F7821"/>
      <c r="G7821"/>
      <c r="H7821"/>
      <c r="I7821"/>
      <c r="J7821"/>
      <c r="K7821" s="1"/>
      <c r="L7821" s="2"/>
    </row>
    <row r="7822" spans="1:12" x14ac:dyDescent="0.2">
      <c r="A7822"/>
      <c r="B7822"/>
      <c r="C7822"/>
      <c r="D7822"/>
      <c r="E7822"/>
      <c r="F7822"/>
      <c r="G7822"/>
      <c r="H7822"/>
      <c r="I7822"/>
      <c r="J7822"/>
      <c r="K7822" s="1"/>
      <c r="L7822" s="2"/>
    </row>
    <row r="7823" spans="1:12" x14ac:dyDescent="0.2">
      <c r="A7823"/>
      <c r="B7823"/>
      <c r="C7823"/>
      <c r="D7823"/>
      <c r="E7823"/>
      <c r="F7823"/>
      <c r="G7823"/>
      <c r="H7823"/>
      <c r="I7823"/>
      <c r="J7823"/>
      <c r="K7823" s="1"/>
      <c r="L7823" s="2"/>
    </row>
    <row r="7824" spans="1:12" x14ac:dyDescent="0.2">
      <c r="A7824"/>
      <c r="B7824"/>
      <c r="C7824"/>
      <c r="D7824"/>
      <c r="E7824"/>
      <c r="F7824"/>
      <c r="G7824"/>
      <c r="H7824"/>
      <c r="I7824"/>
      <c r="J7824"/>
      <c r="K7824" s="1"/>
      <c r="L7824" s="2"/>
    </row>
    <row r="7825" spans="1:12" x14ac:dyDescent="0.2">
      <c r="A7825"/>
      <c r="B7825"/>
      <c r="C7825"/>
      <c r="D7825"/>
      <c r="E7825"/>
      <c r="F7825"/>
      <c r="G7825"/>
      <c r="H7825"/>
      <c r="I7825"/>
      <c r="J7825"/>
      <c r="K7825" s="1"/>
      <c r="L7825" s="2"/>
    </row>
    <row r="7826" spans="1:12" x14ac:dyDescent="0.2">
      <c r="A7826"/>
      <c r="B7826"/>
      <c r="C7826"/>
      <c r="D7826"/>
      <c r="E7826"/>
      <c r="F7826"/>
      <c r="G7826"/>
      <c r="H7826"/>
      <c r="I7826"/>
      <c r="J7826"/>
      <c r="K7826" s="1"/>
      <c r="L7826" s="2"/>
    </row>
    <row r="7827" spans="1:12" x14ac:dyDescent="0.2">
      <c r="A7827"/>
      <c r="B7827"/>
      <c r="C7827"/>
      <c r="D7827"/>
      <c r="E7827"/>
      <c r="F7827"/>
      <c r="G7827"/>
      <c r="H7827"/>
      <c r="I7827"/>
      <c r="J7827"/>
      <c r="K7827" s="1"/>
      <c r="L7827" s="2"/>
    </row>
    <row r="7828" spans="1:12" x14ac:dyDescent="0.2">
      <c r="A7828"/>
      <c r="B7828"/>
      <c r="C7828"/>
      <c r="D7828"/>
      <c r="E7828"/>
      <c r="F7828"/>
      <c r="G7828"/>
      <c r="H7828"/>
      <c r="I7828"/>
      <c r="J7828"/>
      <c r="K7828" s="1"/>
      <c r="L7828" s="2"/>
    </row>
    <row r="7829" spans="1:12" x14ac:dyDescent="0.2">
      <c r="A7829"/>
      <c r="B7829"/>
      <c r="C7829"/>
      <c r="D7829"/>
      <c r="E7829"/>
      <c r="F7829"/>
      <c r="G7829"/>
      <c r="H7829"/>
      <c r="I7829"/>
      <c r="J7829"/>
      <c r="K7829" s="1"/>
      <c r="L7829" s="2"/>
    </row>
    <row r="7830" spans="1:12" x14ac:dyDescent="0.2">
      <c r="A7830"/>
      <c r="B7830"/>
      <c r="C7830"/>
      <c r="D7830"/>
      <c r="E7830"/>
      <c r="F7830"/>
      <c r="G7830"/>
      <c r="H7830"/>
      <c r="I7830"/>
      <c r="J7830"/>
      <c r="K7830" s="1"/>
      <c r="L7830" s="2"/>
    </row>
    <row r="7831" spans="1:12" x14ac:dyDescent="0.2">
      <c r="A7831"/>
      <c r="B7831"/>
      <c r="C7831"/>
      <c r="D7831"/>
      <c r="E7831"/>
      <c r="F7831"/>
      <c r="G7831"/>
      <c r="H7831"/>
      <c r="I7831"/>
      <c r="J7831"/>
      <c r="K7831" s="1"/>
      <c r="L7831" s="2"/>
    </row>
    <row r="7832" spans="1:12" x14ac:dyDescent="0.2">
      <c r="A7832"/>
      <c r="B7832"/>
      <c r="C7832"/>
      <c r="D7832"/>
      <c r="E7832"/>
      <c r="F7832"/>
      <c r="G7832"/>
      <c r="H7832"/>
      <c r="I7832"/>
      <c r="J7832"/>
      <c r="K7832" s="1"/>
      <c r="L7832" s="2"/>
    </row>
    <row r="7833" spans="1:12" x14ac:dyDescent="0.2">
      <c r="A7833"/>
      <c r="B7833"/>
      <c r="C7833"/>
      <c r="D7833"/>
      <c r="E7833"/>
      <c r="F7833"/>
      <c r="G7833"/>
      <c r="H7833"/>
      <c r="I7833"/>
      <c r="J7833"/>
      <c r="K7833" s="1"/>
      <c r="L7833" s="2"/>
    </row>
    <row r="7834" spans="1:12" x14ac:dyDescent="0.2">
      <c r="A7834"/>
      <c r="B7834"/>
      <c r="C7834"/>
      <c r="D7834"/>
      <c r="E7834"/>
      <c r="F7834"/>
      <c r="G7834"/>
      <c r="H7834"/>
      <c r="I7834"/>
      <c r="J7834"/>
      <c r="K7834" s="1"/>
      <c r="L7834" s="2"/>
    </row>
    <row r="7835" spans="1:12" x14ac:dyDescent="0.2">
      <c r="A7835"/>
      <c r="B7835"/>
      <c r="C7835"/>
      <c r="D7835"/>
      <c r="E7835"/>
      <c r="F7835"/>
      <c r="G7835"/>
      <c r="H7835"/>
      <c r="I7835"/>
      <c r="J7835"/>
      <c r="K7835" s="1"/>
      <c r="L7835" s="2"/>
    </row>
    <row r="7836" spans="1:12" x14ac:dyDescent="0.2">
      <c r="A7836"/>
      <c r="B7836"/>
      <c r="C7836"/>
      <c r="D7836"/>
      <c r="E7836"/>
      <c r="F7836"/>
      <c r="G7836"/>
      <c r="H7836"/>
      <c r="I7836"/>
      <c r="J7836"/>
      <c r="K7836" s="1"/>
      <c r="L7836" s="2"/>
    </row>
    <row r="7837" spans="1:12" x14ac:dyDescent="0.2">
      <c r="A7837"/>
      <c r="B7837"/>
      <c r="C7837"/>
      <c r="D7837"/>
      <c r="E7837"/>
      <c r="F7837"/>
      <c r="G7837"/>
      <c r="H7837"/>
      <c r="I7837"/>
      <c r="J7837"/>
      <c r="K7837" s="1"/>
      <c r="L7837" s="2"/>
    </row>
    <row r="7838" spans="1:12" x14ac:dyDescent="0.2">
      <c r="A7838"/>
      <c r="B7838"/>
      <c r="C7838"/>
      <c r="D7838"/>
      <c r="E7838"/>
      <c r="F7838"/>
      <c r="G7838"/>
      <c r="H7838"/>
      <c r="I7838"/>
      <c r="J7838"/>
      <c r="K7838" s="1"/>
      <c r="L7838" s="2"/>
    </row>
    <row r="7839" spans="1:12" x14ac:dyDescent="0.2">
      <c r="A7839"/>
      <c r="B7839"/>
      <c r="C7839"/>
      <c r="D7839"/>
      <c r="E7839"/>
      <c r="F7839"/>
      <c r="G7839"/>
      <c r="H7839"/>
      <c r="I7839"/>
      <c r="J7839"/>
      <c r="K7839" s="1"/>
      <c r="L7839" s="2"/>
    </row>
    <row r="7840" spans="1:12" x14ac:dyDescent="0.2">
      <c r="A7840"/>
      <c r="B7840"/>
      <c r="C7840"/>
      <c r="D7840"/>
      <c r="E7840"/>
      <c r="F7840"/>
      <c r="G7840"/>
      <c r="H7840"/>
      <c r="I7840"/>
      <c r="J7840"/>
      <c r="K7840" s="1"/>
      <c r="L7840" s="2"/>
    </row>
    <row r="7841" spans="1:12" x14ac:dyDescent="0.2">
      <c r="A7841"/>
      <c r="B7841"/>
      <c r="C7841"/>
      <c r="D7841"/>
      <c r="E7841"/>
      <c r="F7841"/>
      <c r="G7841"/>
      <c r="H7841"/>
      <c r="I7841"/>
      <c r="J7841"/>
      <c r="K7841" s="1"/>
      <c r="L7841" s="2"/>
    </row>
    <row r="7842" spans="1:12" x14ac:dyDescent="0.2">
      <c r="A7842"/>
      <c r="B7842"/>
      <c r="C7842"/>
      <c r="D7842"/>
      <c r="E7842"/>
      <c r="F7842"/>
      <c r="G7842"/>
      <c r="H7842"/>
      <c r="I7842"/>
      <c r="J7842"/>
      <c r="K7842" s="1"/>
      <c r="L7842" s="2"/>
    </row>
    <row r="7843" spans="1:12" x14ac:dyDescent="0.2">
      <c r="A7843"/>
      <c r="B7843"/>
      <c r="C7843"/>
      <c r="D7843"/>
      <c r="E7843"/>
      <c r="F7843"/>
      <c r="G7843"/>
      <c r="H7843"/>
      <c r="I7843"/>
      <c r="J7843"/>
      <c r="K7843" s="1"/>
      <c r="L7843" s="2"/>
    </row>
    <row r="7844" spans="1:12" x14ac:dyDescent="0.2">
      <c r="A7844"/>
      <c r="B7844"/>
      <c r="C7844"/>
      <c r="D7844"/>
      <c r="E7844"/>
      <c r="F7844"/>
      <c r="G7844"/>
      <c r="H7844"/>
      <c r="I7844"/>
      <c r="J7844"/>
      <c r="K7844" s="1"/>
      <c r="L7844" s="2"/>
    </row>
    <row r="7845" spans="1:12" x14ac:dyDescent="0.2">
      <c r="A7845"/>
      <c r="B7845"/>
      <c r="C7845"/>
      <c r="D7845"/>
      <c r="E7845"/>
      <c r="F7845"/>
      <c r="G7845"/>
      <c r="H7845"/>
      <c r="I7845"/>
      <c r="J7845"/>
      <c r="K7845" s="1"/>
      <c r="L7845" s="2"/>
    </row>
    <row r="7846" spans="1:12" x14ac:dyDescent="0.2">
      <c r="A7846"/>
      <c r="B7846"/>
      <c r="C7846"/>
      <c r="D7846"/>
      <c r="E7846"/>
      <c r="F7846"/>
      <c r="G7846"/>
      <c r="H7846"/>
      <c r="I7846"/>
      <c r="J7846"/>
      <c r="K7846" s="1"/>
      <c r="L7846" s="2"/>
    </row>
    <row r="7847" spans="1:12" x14ac:dyDescent="0.2">
      <c r="A7847"/>
      <c r="B7847"/>
      <c r="C7847"/>
      <c r="D7847"/>
      <c r="E7847"/>
      <c r="F7847"/>
      <c r="G7847"/>
      <c r="H7847"/>
      <c r="I7847"/>
      <c r="J7847"/>
      <c r="K7847" s="1"/>
      <c r="L7847" s="2"/>
    </row>
    <row r="7848" spans="1:12" x14ac:dyDescent="0.2">
      <c r="A7848"/>
      <c r="B7848"/>
      <c r="C7848"/>
      <c r="D7848"/>
      <c r="E7848"/>
      <c r="F7848"/>
      <c r="G7848"/>
      <c r="H7848"/>
      <c r="I7848"/>
      <c r="J7848"/>
      <c r="K7848" s="1"/>
      <c r="L7848" s="2"/>
    </row>
    <row r="7849" spans="1:12" x14ac:dyDescent="0.2">
      <c r="A7849"/>
      <c r="B7849"/>
      <c r="C7849"/>
      <c r="D7849"/>
      <c r="E7849"/>
      <c r="F7849"/>
      <c r="G7849"/>
      <c r="H7849"/>
      <c r="I7849"/>
      <c r="J7849"/>
      <c r="K7849" s="1"/>
      <c r="L7849" s="2"/>
    </row>
    <row r="7850" spans="1:12" x14ac:dyDescent="0.2">
      <c r="A7850"/>
      <c r="B7850"/>
      <c r="C7850"/>
      <c r="D7850"/>
      <c r="E7850"/>
      <c r="F7850"/>
      <c r="G7850"/>
      <c r="H7850"/>
      <c r="I7850"/>
      <c r="J7850"/>
      <c r="K7850" s="1"/>
      <c r="L7850" s="2"/>
    </row>
    <row r="7851" spans="1:12" x14ac:dyDescent="0.2">
      <c r="A7851"/>
      <c r="B7851"/>
      <c r="C7851"/>
      <c r="D7851"/>
      <c r="E7851"/>
      <c r="F7851"/>
      <c r="G7851"/>
      <c r="H7851"/>
      <c r="I7851"/>
      <c r="J7851"/>
      <c r="K7851" s="1"/>
      <c r="L7851" s="2"/>
    </row>
    <row r="7852" spans="1:12" x14ac:dyDescent="0.2">
      <c r="A7852"/>
      <c r="B7852"/>
      <c r="C7852"/>
      <c r="D7852"/>
      <c r="E7852"/>
      <c r="F7852"/>
      <c r="G7852"/>
      <c r="H7852"/>
      <c r="I7852"/>
      <c r="J7852"/>
      <c r="K7852" s="1"/>
      <c r="L7852" s="2"/>
    </row>
    <row r="7853" spans="1:12" x14ac:dyDescent="0.2">
      <c r="A7853"/>
      <c r="B7853"/>
      <c r="C7853"/>
      <c r="D7853"/>
      <c r="E7853"/>
      <c r="F7853"/>
      <c r="G7853"/>
      <c r="H7853"/>
      <c r="I7853"/>
      <c r="J7853"/>
      <c r="K7853" s="1"/>
      <c r="L7853" s="2"/>
    </row>
    <row r="7854" spans="1:12" x14ac:dyDescent="0.2">
      <c r="A7854"/>
      <c r="B7854"/>
      <c r="C7854"/>
      <c r="D7854"/>
      <c r="E7854"/>
      <c r="F7854"/>
      <c r="G7854"/>
      <c r="H7854"/>
      <c r="I7854"/>
      <c r="J7854"/>
      <c r="K7854" s="1"/>
      <c r="L7854" s="2"/>
    </row>
    <row r="7855" spans="1:12" x14ac:dyDescent="0.2">
      <c r="A7855"/>
      <c r="B7855"/>
      <c r="C7855"/>
      <c r="D7855"/>
      <c r="E7855"/>
      <c r="F7855"/>
      <c r="G7855"/>
      <c r="H7855"/>
      <c r="I7855"/>
      <c r="J7855"/>
      <c r="K7855" s="1"/>
      <c r="L7855" s="2"/>
    </row>
    <row r="7856" spans="1:12" x14ac:dyDescent="0.2">
      <c r="A7856"/>
      <c r="B7856"/>
      <c r="C7856"/>
      <c r="D7856"/>
      <c r="E7856"/>
      <c r="F7856"/>
      <c r="G7856"/>
      <c r="H7856"/>
      <c r="I7856"/>
      <c r="J7856"/>
      <c r="K7856" s="1"/>
      <c r="L7856" s="2"/>
    </row>
    <row r="7857" spans="1:12" x14ac:dyDescent="0.2">
      <c r="A7857"/>
      <c r="B7857"/>
      <c r="C7857"/>
      <c r="D7857"/>
      <c r="E7857"/>
      <c r="F7857"/>
      <c r="G7857"/>
      <c r="H7857"/>
      <c r="I7857"/>
      <c r="J7857"/>
      <c r="K7857" s="1"/>
      <c r="L7857" s="2"/>
    </row>
    <row r="7858" spans="1:12" x14ac:dyDescent="0.2">
      <c r="A7858"/>
      <c r="B7858"/>
      <c r="C7858"/>
      <c r="D7858"/>
      <c r="E7858"/>
      <c r="F7858"/>
      <c r="G7858"/>
      <c r="H7858"/>
      <c r="I7858"/>
      <c r="J7858"/>
      <c r="K7858" s="1"/>
      <c r="L7858" s="2"/>
    </row>
    <row r="7859" spans="1:12" x14ac:dyDescent="0.2">
      <c r="A7859"/>
      <c r="B7859"/>
      <c r="C7859"/>
      <c r="D7859"/>
      <c r="E7859"/>
      <c r="F7859"/>
      <c r="G7859"/>
      <c r="H7859"/>
      <c r="I7859"/>
      <c r="J7859"/>
      <c r="K7859" s="1"/>
      <c r="L7859" s="2"/>
    </row>
    <row r="7860" spans="1:12" x14ac:dyDescent="0.2">
      <c r="A7860"/>
      <c r="B7860"/>
      <c r="C7860"/>
      <c r="D7860"/>
      <c r="E7860"/>
      <c r="F7860"/>
      <c r="G7860"/>
      <c r="H7860"/>
      <c r="I7860"/>
      <c r="J7860"/>
      <c r="K7860" s="1"/>
      <c r="L7860" s="2"/>
    </row>
    <row r="7861" spans="1:12" x14ac:dyDescent="0.2">
      <c r="A7861"/>
      <c r="B7861"/>
      <c r="C7861"/>
      <c r="D7861"/>
      <c r="E7861"/>
      <c r="F7861"/>
      <c r="G7861"/>
      <c r="H7861"/>
      <c r="I7861"/>
      <c r="J7861"/>
      <c r="K7861" s="1"/>
      <c r="L7861" s="2"/>
    </row>
    <row r="7862" spans="1:12" x14ac:dyDescent="0.2">
      <c r="A7862"/>
      <c r="B7862"/>
      <c r="C7862"/>
      <c r="D7862"/>
      <c r="E7862"/>
      <c r="F7862"/>
      <c r="G7862"/>
      <c r="H7862"/>
      <c r="I7862"/>
      <c r="J7862"/>
      <c r="K7862" s="1"/>
      <c r="L7862" s="2"/>
    </row>
    <row r="7863" spans="1:12" x14ac:dyDescent="0.2">
      <c r="A7863"/>
      <c r="B7863"/>
      <c r="C7863"/>
      <c r="D7863"/>
      <c r="E7863"/>
      <c r="F7863"/>
      <c r="G7863"/>
      <c r="H7863"/>
      <c r="I7863"/>
      <c r="J7863"/>
      <c r="K7863" s="1"/>
      <c r="L7863" s="2"/>
    </row>
    <row r="7864" spans="1:12" x14ac:dyDescent="0.2">
      <c r="A7864"/>
      <c r="B7864"/>
      <c r="C7864"/>
      <c r="D7864"/>
      <c r="E7864"/>
      <c r="F7864"/>
      <c r="G7864"/>
      <c r="H7864"/>
      <c r="I7864"/>
      <c r="J7864"/>
      <c r="K7864" s="1"/>
      <c r="L7864" s="2"/>
    </row>
    <row r="7865" spans="1:12" x14ac:dyDescent="0.2">
      <c r="A7865"/>
      <c r="B7865"/>
      <c r="C7865"/>
      <c r="D7865"/>
      <c r="E7865"/>
      <c r="F7865"/>
      <c r="G7865"/>
      <c r="H7865"/>
      <c r="I7865"/>
      <c r="J7865"/>
      <c r="K7865" s="1"/>
      <c r="L7865" s="2"/>
    </row>
    <row r="7866" spans="1:12" x14ac:dyDescent="0.2">
      <c r="A7866"/>
      <c r="B7866"/>
      <c r="C7866"/>
      <c r="D7866"/>
      <c r="E7866"/>
      <c r="F7866"/>
      <c r="G7866"/>
      <c r="H7866"/>
      <c r="I7866"/>
      <c r="J7866"/>
      <c r="K7866" s="1"/>
      <c r="L7866" s="2"/>
    </row>
    <row r="7867" spans="1:12" x14ac:dyDescent="0.2">
      <c r="A7867"/>
      <c r="B7867"/>
      <c r="C7867"/>
      <c r="D7867"/>
      <c r="E7867"/>
      <c r="F7867"/>
      <c r="G7867"/>
      <c r="H7867"/>
      <c r="I7867"/>
      <c r="J7867"/>
      <c r="K7867" s="1"/>
      <c r="L7867" s="2"/>
    </row>
    <row r="7868" spans="1:12" x14ac:dyDescent="0.2">
      <c r="A7868"/>
      <c r="B7868"/>
      <c r="C7868"/>
      <c r="D7868"/>
      <c r="E7868"/>
      <c r="F7868"/>
      <c r="G7868"/>
      <c r="H7868"/>
      <c r="I7868"/>
      <c r="J7868"/>
      <c r="K7868" s="1"/>
      <c r="L7868" s="2"/>
    </row>
    <row r="7869" spans="1:12" x14ac:dyDescent="0.2">
      <c r="A7869"/>
      <c r="B7869"/>
      <c r="C7869"/>
      <c r="D7869"/>
      <c r="E7869"/>
      <c r="F7869"/>
      <c r="G7869"/>
      <c r="H7869"/>
      <c r="I7869"/>
      <c r="J7869"/>
      <c r="K7869" s="1"/>
      <c r="L7869" s="2"/>
    </row>
    <row r="7870" spans="1:12" x14ac:dyDescent="0.2">
      <c r="A7870"/>
      <c r="B7870"/>
      <c r="C7870"/>
      <c r="D7870"/>
      <c r="E7870"/>
      <c r="F7870"/>
      <c r="G7870"/>
      <c r="H7870"/>
      <c r="I7870"/>
      <c r="J7870"/>
      <c r="K7870" s="1"/>
      <c r="L7870" s="2"/>
    </row>
    <row r="7871" spans="1:12" x14ac:dyDescent="0.2">
      <c r="A7871"/>
      <c r="B7871"/>
      <c r="C7871"/>
      <c r="D7871"/>
      <c r="E7871"/>
      <c r="F7871"/>
      <c r="G7871"/>
      <c r="H7871"/>
      <c r="I7871"/>
      <c r="J7871"/>
      <c r="K7871" s="1"/>
      <c r="L7871" s="2"/>
    </row>
    <row r="7872" spans="1:12" x14ac:dyDescent="0.2">
      <c r="A7872"/>
      <c r="B7872"/>
      <c r="C7872"/>
      <c r="D7872"/>
      <c r="E7872"/>
      <c r="F7872"/>
      <c r="G7872"/>
      <c r="H7872"/>
      <c r="I7872"/>
      <c r="J7872"/>
      <c r="K7872" s="1"/>
      <c r="L7872" s="2"/>
    </row>
    <row r="7873" spans="1:12" x14ac:dyDescent="0.2">
      <c r="A7873"/>
      <c r="B7873"/>
      <c r="C7873"/>
      <c r="D7873"/>
      <c r="E7873"/>
      <c r="F7873"/>
      <c r="G7873"/>
      <c r="H7873"/>
      <c r="I7873"/>
      <c r="J7873"/>
      <c r="K7873" s="1"/>
      <c r="L7873" s="2"/>
    </row>
    <row r="7874" spans="1:12" x14ac:dyDescent="0.2">
      <c r="A7874"/>
      <c r="B7874"/>
      <c r="C7874"/>
      <c r="D7874"/>
      <c r="E7874"/>
      <c r="F7874"/>
      <c r="G7874"/>
      <c r="H7874"/>
      <c r="I7874"/>
      <c r="J7874"/>
      <c r="K7874" s="1"/>
      <c r="L7874" s="2"/>
    </row>
    <row r="7875" spans="1:12" x14ac:dyDescent="0.2">
      <c r="A7875"/>
      <c r="B7875"/>
      <c r="C7875"/>
      <c r="D7875"/>
      <c r="E7875"/>
      <c r="F7875"/>
      <c r="G7875"/>
      <c r="H7875"/>
      <c r="I7875"/>
      <c r="J7875"/>
      <c r="K7875" s="1"/>
      <c r="L7875" s="2"/>
    </row>
    <row r="7876" spans="1:12" x14ac:dyDescent="0.2">
      <c r="A7876"/>
      <c r="B7876"/>
      <c r="C7876"/>
      <c r="D7876"/>
      <c r="E7876"/>
      <c r="F7876"/>
      <c r="G7876"/>
      <c r="H7876"/>
      <c r="I7876"/>
      <c r="J7876"/>
      <c r="K7876" s="1"/>
      <c r="L7876" s="2"/>
    </row>
    <row r="7877" spans="1:12" x14ac:dyDescent="0.2">
      <c r="A7877"/>
      <c r="B7877"/>
      <c r="C7877"/>
      <c r="D7877"/>
      <c r="E7877"/>
      <c r="F7877"/>
      <c r="G7877"/>
      <c r="H7877"/>
      <c r="I7877"/>
      <c r="J7877"/>
      <c r="K7877" s="1"/>
      <c r="L7877" s="2"/>
    </row>
    <row r="7878" spans="1:12" x14ac:dyDescent="0.2">
      <c r="A7878"/>
      <c r="B7878"/>
      <c r="C7878"/>
      <c r="D7878"/>
      <c r="E7878"/>
      <c r="F7878"/>
      <c r="G7878"/>
      <c r="H7878"/>
      <c r="I7878"/>
      <c r="J7878"/>
      <c r="K7878" s="1"/>
      <c r="L7878" s="2"/>
    </row>
    <row r="7879" spans="1:12" x14ac:dyDescent="0.2">
      <c r="A7879"/>
      <c r="B7879"/>
      <c r="C7879"/>
      <c r="D7879"/>
      <c r="E7879"/>
      <c r="F7879"/>
      <c r="G7879"/>
      <c r="H7879"/>
      <c r="I7879"/>
      <c r="J7879"/>
      <c r="K7879" s="1"/>
      <c r="L7879" s="2"/>
    </row>
    <row r="7880" spans="1:12" x14ac:dyDescent="0.2">
      <c r="A7880"/>
      <c r="B7880"/>
      <c r="C7880"/>
      <c r="D7880"/>
      <c r="E7880"/>
      <c r="F7880"/>
      <c r="G7880"/>
      <c r="H7880"/>
      <c r="I7880"/>
      <c r="J7880"/>
      <c r="K7880" s="1"/>
      <c r="L7880" s="2"/>
    </row>
    <row r="7881" spans="1:12" x14ac:dyDescent="0.2">
      <c r="A7881"/>
      <c r="B7881"/>
      <c r="C7881"/>
      <c r="D7881"/>
      <c r="E7881"/>
      <c r="F7881"/>
      <c r="G7881"/>
      <c r="H7881"/>
      <c r="I7881"/>
      <c r="J7881"/>
      <c r="K7881" s="1"/>
      <c r="L7881" s="2"/>
    </row>
    <row r="7882" spans="1:12" x14ac:dyDescent="0.2">
      <c r="A7882"/>
      <c r="B7882"/>
      <c r="C7882"/>
      <c r="D7882"/>
      <c r="E7882"/>
      <c r="F7882"/>
      <c r="G7882"/>
      <c r="H7882"/>
      <c r="I7882"/>
      <c r="J7882"/>
      <c r="K7882" s="1"/>
      <c r="L7882" s="2"/>
    </row>
    <row r="7883" spans="1:12" x14ac:dyDescent="0.2">
      <c r="A7883"/>
      <c r="B7883"/>
      <c r="C7883"/>
      <c r="D7883"/>
      <c r="E7883"/>
      <c r="F7883"/>
      <c r="G7883"/>
      <c r="H7883"/>
      <c r="I7883"/>
      <c r="J7883"/>
      <c r="K7883" s="1"/>
      <c r="L7883" s="2"/>
    </row>
    <row r="7884" spans="1:12" x14ac:dyDescent="0.2">
      <c r="A7884"/>
      <c r="B7884"/>
      <c r="C7884"/>
      <c r="D7884"/>
      <c r="E7884"/>
      <c r="F7884"/>
      <c r="G7884"/>
      <c r="H7884"/>
      <c r="I7884"/>
      <c r="J7884"/>
      <c r="K7884" s="1"/>
      <c r="L7884" s="2"/>
    </row>
    <row r="7885" spans="1:12" x14ac:dyDescent="0.2">
      <c r="A7885"/>
      <c r="B7885"/>
      <c r="C7885"/>
      <c r="D7885"/>
      <c r="E7885"/>
      <c r="F7885"/>
      <c r="G7885"/>
      <c r="H7885"/>
      <c r="I7885"/>
      <c r="J7885"/>
      <c r="K7885" s="1"/>
      <c r="L7885" s="2"/>
    </row>
    <row r="7886" spans="1:12" x14ac:dyDescent="0.2">
      <c r="A7886"/>
      <c r="B7886"/>
      <c r="C7886"/>
      <c r="D7886"/>
      <c r="E7886"/>
      <c r="F7886"/>
      <c r="G7886"/>
      <c r="H7886"/>
      <c r="I7886"/>
      <c r="J7886"/>
      <c r="K7886" s="1"/>
      <c r="L7886" s="2"/>
    </row>
    <row r="7887" spans="1:12" x14ac:dyDescent="0.2">
      <c r="A7887"/>
      <c r="B7887"/>
      <c r="C7887"/>
      <c r="D7887"/>
      <c r="E7887"/>
      <c r="F7887"/>
      <c r="G7887"/>
      <c r="H7887"/>
      <c r="I7887"/>
      <c r="J7887"/>
      <c r="K7887" s="1"/>
      <c r="L7887" s="2"/>
    </row>
    <row r="7888" spans="1:12" x14ac:dyDescent="0.2">
      <c r="A7888"/>
      <c r="B7888"/>
      <c r="C7888"/>
      <c r="D7888"/>
      <c r="E7888"/>
      <c r="F7888"/>
      <c r="G7888"/>
      <c r="H7888"/>
      <c r="I7888"/>
      <c r="J7888"/>
      <c r="K7888" s="1"/>
      <c r="L7888" s="2"/>
    </row>
    <row r="7889" spans="1:12" x14ac:dyDescent="0.2">
      <c r="A7889"/>
      <c r="B7889"/>
      <c r="C7889"/>
      <c r="D7889"/>
      <c r="E7889"/>
      <c r="F7889"/>
      <c r="G7889"/>
      <c r="H7889"/>
      <c r="I7889"/>
      <c r="J7889"/>
      <c r="K7889" s="1"/>
      <c r="L7889" s="2"/>
    </row>
    <row r="7890" spans="1:12" x14ac:dyDescent="0.2">
      <c r="A7890"/>
      <c r="B7890"/>
      <c r="C7890"/>
      <c r="D7890"/>
      <c r="E7890"/>
      <c r="F7890"/>
      <c r="G7890"/>
      <c r="H7890"/>
      <c r="I7890"/>
      <c r="J7890"/>
      <c r="K7890" s="1"/>
      <c r="L7890" s="2"/>
    </row>
    <row r="7891" spans="1:12" x14ac:dyDescent="0.2">
      <c r="A7891"/>
      <c r="B7891"/>
      <c r="C7891"/>
      <c r="D7891"/>
      <c r="E7891"/>
      <c r="F7891"/>
      <c r="G7891"/>
      <c r="H7891"/>
      <c r="I7891"/>
      <c r="J7891"/>
      <c r="K7891" s="1"/>
      <c r="L7891" s="2"/>
    </row>
    <row r="7892" spans="1:12" x14ac:dyDescent="0.2">
      <c r="A7892"/>
      <c r="B7892"/>
      <c r="C7892"/>
      <c r="D7892"/>
      <c r="E7892"/>
      <c r="F7892"/>
      <c r="G7892"/>
      <c r="H7892"/>
      <c r="I7892"/>
      <c r="J7892"/>
      <c r="K7892" s="1"/>
      <c r="L7892" s="2"/>
    </row>
    <row r="7893" spans="1:12" x14ac:dyDescent="0.2">
      <c r="A7893"/>
      <c r="B7893"/>
      <c r="C7893"/>
      <c r="D7893"/>
      <c r="E7893"/>
      <c r="F7893"/>
      <c r="G7893"/>
      <c r="H7893"/>
      <c r="I7893"/>
      <c r="J7893"/>
      <c r="K7893" s="1"/>
      <c r="L7893" s="2"/>
    </row>
    <row r="7894" spans="1:12" x14ac:dyDescent="0.2">
      <c r="A7894"/>
      <c r="B7894"/>
      <c r="C7894"/>
      <c r="D7894"/>
      <c r="E7894"/>
      <c r="F7894"/>
      <c r="G7894"/>
      <c r="H7894"/>
      <c r="I7894"/>
      <c r="J7894"/>
      <c r="K7894" s="1"/>
      <c r="L7894" s="2"/>
    </row>
    <row r="7895" spans="1:12" x14ac:dyDescent="0.2">
      <c r="A7895"/>
      <c r="B7895"/>
      <c r="C7895"/>
      <c r="D7895"/>
      <c r="E7895"/>
      <c r="F7895"/>
      <c r="G7895"/>
      <c r="H7895"/>
      <c r="I7895"/>
      <c r="J7895"/>
      <c r="K7895" s="1"/>
      <c r="L7895" s="2"/>
    </row>
    <row r="7896" spans="1:12" x14ac:dyDescent="0.2">
      <c r="A7896"/>
      <c r="B7896"/>
      <c r="C7896"/>
      <c r="D7896"/>
      <c r="E7896"/>
      <c r="F7896"/>
      <c r="G7896"/>
      <c r="H7896"/>
      <c r="I7896"/>
      <c r="J7896"/>
      <c r="K7896" s="1"/>
      <c r="L7896" s="2"/>
    </row>
    <row r="7897" spans="1:12" x14ac:dyDescent="0.2">
      <c r="A7897"/>
      <c r="B7897"/>
      <c r="C7897"/>
      <c r="D7897"/>
      <c r="E7897"/>
      <c r="F7897"/>
      <c r="G7897"/>
      <c r="H7897"/>
      <c r="I7897"/>
      <c r="J7897"/>
      <c r="K7897" s="1"/>
      <c r="L7897" s="2"/>
    </row>
    <row r="7898" spans="1:12" x14ac:dyDescent="0.2">
      <c r="A7898"/>
      <c r="B7898"/>
      <c r="C7898"/>
      <c r="D7898"/>
      <c r="E7898"/>
      <c r="F7898"/>
      <c r="G7898"/>
      <c r="H7898"/>
      <c r="I7898"/>
      <c r="J7898"/>
      <c r="K7898" s="1"/>
      <c r="L7898" s="2"/>
    </row>
    <row r="7899" spans="1:12" x14ac:dyDescent="0.2">
      <c r="A7899"/>
      <c r="B7899"/>
      <c r="C7899"/>
      <c r="D7899"/>
      <c r="E7899"/>
      <c r="F7899"/>
      <c r="G7899"/>
      <c r="H7899"/>
      <c r="I7899"/>
      <c r="J7899"/>
      <c r="K7899" s="1"/>
      <c r="L7899" s="2"/>
    </row>
    <row r="7900" spans="1:12" x14ac:dyDescent="0.2">
      <c r="A7900"/>
      <c r="B7900"/>
      <c r="C7900"/>
      <c r="D7900"/>
      <c r="E7900"/>
      <c r="F7900"/>
      <c r="G7900"/>
      <c r="H7900"/>
      <c r="I7900"/>
      <c r="J7900"/>
      <c r="K7900" s="1"/>
      <c r="L7900" s="2"/>
    </row>
    <row r="7901" spans="1:12" x14ac:dyDescent="0.2">
      <c r="A7901"/>
      <c r="B7901"/>
      <c r="C7901"/>
      <c r="D7901"/>
      <c r="E7901"/>
      <c r="F7901"/>
      <c r="G7901"/>
      <c r="H7901"/>
      <c r="I7901"/>
      <c r="J7901"/>
      <c r="K7901" s="1"/>
      <c r="L7901" s="2"/>
    </row>
    <row r="7902" spans="1:12" x14ac:dyDescent="0.2">
      <c r="A7902"/>
      <c r="B7902"/>
      <c r="C7902"/>
      <c r="D7902"/>
      <c r="E7902"/>
      <c r="F7902"/>
      <c r="G7902"/>
      <c r="H7902"/>
      <c r="I7902"/>
      <c r="J7902"/>
      <c r="K7902" s="1"/>
      <c r="L7902" s="2"/>
    </row>
    <row r="7903" spans="1:12" x14ac:dyDescent="0.2">
      <c r="A7903"/>
      <c r="B7903"/>
      <c r="C7903"/>
      <c r="D7903"/>
      <c r="E7903"/>
      <c r="F7903"/>
      <c r="G7903"/>
      <c r="H7903"/>
      <c r="I7903"/>
      <c r="J7903"/>
      <c r="K7903" s="1"/>
      <c r="L7903" s="2"/>
    </row>
    <row r="7904" spans="1:12" x14ac:dyDescent="0.2">
      <c r="A7904"/>
      <c r="B7904"/>
      <c r="C7904"/>
      <c r="D7904"/>
      <c r="E7904"/>
      <c r="F7904"/>
      <c r="G7904"/>
      <c r="H7904"/>
      <c r="I7904"/>
      <c r="J7904"/>
      <c r="K7904" s="1"/>
      <c r="L7904" s="2"/>
    </row>
    <row r="7905" spans="1:12" x14ac:dyDescent="0.2">
      <c r="A7905"/>
      <c r="B7905"/>
      <c r="C7905"/>
      <c r="D7905"/>
      <c r="E7905"/>
      <c r="F7905"/>
      <c r="G7905"/>
      <c r="H7905"/>
      <c r="I7905"/>
      <c r="J7905"/>
      <c r="K7905" s="1"/>
      <c r="L7905" s="2"/>
    </row>
    <row r="7906" spans="1:12" x14ac:dyDescent="0.2">
      <c r="A7906"/>
      <c r="B7906"/>
      <c r="C7906"/>
      <c r="D7906"/>
      <c r="E7906"/>
      <c r="F7906"/>
      <c r="G7906"/>
      <c r="H7906"/>
      <c r="I7906"/>
      <c r="J7906"/>
      <c r="K7906" s="1"/>
      <c r="L7906" s="2"/>
    </row>
    <row r="7907" spans="1:12" x14ac:dyDescent="0.2">
      <c r="A7907"/>
      <c r="B7907"/>
      <c r="C7907"/>
      <c r="D7907"/>
      <c r="E7907"/>
      <c r="F7907"/>
      <c r="G7907"/>
      <c r="H7907"/>
      <c r="I7907"/>
      <c r="J7907"/>
      <c r="K7907" s="1"/>
      <c r="L7907" s="2"/>
    </row>
    <row r="7908" spans="1:12" x14ac:dyDescent="0.2">
      <c r="A7908"/>
      <c r="B7908"/>
      <c r="C7908"/>
      <c r="D7908"/>
      <c r="E7908"/>
      <c r="F7908"/>
      <c r="G7908"/>
      <c r="H7908"/>
      <c r="I7908"/>
      <c r="J7908"/>
      <c r="K7908" s="1"/>
      <c r="L7908" s="2"/>
    </row>
    <row r="7909" spans="1:12" x14ac:dyDescent="0.2">
      <c r="A7909"/>
      <c r="B7909"/>
      <c r="C7909"/>
      <c r="D7909"/>
      <c r="E7909"/>
      <c r="F7909"/>
      <c r="G7909"/>
      <c r="H7909"/>
      <c r="I7909"/>
      <c r="J7909"/>
      <c r="K7909" s="1"/>
      <c r="L7909" s="2"/>
    </row>
    <row r="7910" spans="1:12" x14ac:dyDescent="0.2">
      <c r="A7910"/>
      <c r="B7910"/>
      <c r="C7910"/>
      <c r="D7910"/>
      <c r="E7910"/>
      <c r="F7910"/>
      <c r="G7910"/>
      <c r="H7910"/>
      <c r="I7910"/>
      <c r="J7910"/>
      <c r="K7910" s="1"/>
      <c r="L7910" s="2"/>
    </row>
    <row r="7911" spans="1:12" x14ac:dyDescent="0.2">
      <c r="A7911"/>
      <c r="B7911"/>
      <c r="C7911"/>
      <c r="D7911"/>
      <c r="E7911"/>
      <c r="F7911"/>
      <c r="G7911"/>
      <c r="H7911"/>
      <c r="I7911"/>
      <c r="J7911"/>
      <c r="K7911" s="1"/>
      <c r="L7911" s="2"/>
    </row>
    <row r="7912" spans="1:12" x14ac:dyDescent="0.2">
      <c r="A7912"/>
      <c r="B7912"/>
      <c r="C7912"/>
      <c r="D7912"/>
      <c r="E7912"/>
      <c r="F7912"/>
      <c r="G7912"/>
      <c r="H7912"/>
      <c r="I7912"/>
      <c r="J7912"/>
      <c r="K7912" s="1"/>
      <c r="L7912" s="2"/>
    </row>
    <row r="7913" spans="1:12" x14ac:dyDescent="0.2">
      <c r="A7913"/>
      <c r="B7913"/>
      <c r="C7913"/>
      <c r="D7913"/>
      <c r="E7913"/>
      <c r="F7913"/>
      <c r="G7913"/>
      <c r="H7913"/>
      <c r="I7913"/>
      <c r="J7913"/>
      <c r="K7913" s="1"/>
      <c r="L7913" s="2"/>
    </row>
    <row r="7914" spans="1:12" x14ac:dyDescent="0.2">
      <c r="A7914"/>
      <c r="B7914"/>
      <c r="C7914"/>
      <c r="D7914"/>
      <c r="E7914"/>
      <c r="F7914"/>
      <c r="G7914"/>
      <c r="H7914"/>
      <c r="I7914"/>
      <c r="J7914"/>
      <c r="K7914" s="1"/>
      <c r="L7914" s="2"/>
    </row>
    <row r="7915" spans="1:12" x14ac:dyDescent="0.2">
      <c r="A7915"/>
      <c r="B7915"/>
      <c r="C7915"/>
      <c r="D7915"/>
      <c r="E7915"/>
      <c r="F7915"/>
      <c r="G7915"/>
      <c r="H7915"/>
      <c r="I7915"/>
      <c r="J7915"/>
      <c r="K7915" s="1"/>
      <c r="L7915" s="2"/>
    </row>
    <row r="7916" spans="1:12" x14ac:dyDescent="0.2">
      <c r="A7916"/>
      <c r="B7916"/>
      <c r="C7916"/>
      <c r="D7916"/>
      <c r="E7916"/>
      <c r="F7916"/>
      <c r="G7916"/>
      <c r="H7916"/>
      <c r="I7916"/>
      <c r="J7916"/>
      <c r="K7916" s="1"/>
      <c r="L7916" s="2"/>
    </row>
    <row r="7917" spans="1:12" x14ac:dyDescent="0.2">
      <c r="A7917"/>
      <c r="B7917"/>
      <c r="C7917"/>
      <c r="D7917"/>
      <c r="E7917"/>
      <c r="F7917"/>
      <c r="G7917"/>
      <c r="H7917"/>
      <c r="I7917"/>
      <c r="J7917"/>
      <c r="K7917" s="1"/>
      <c r="L7917" s="2"/>
    </row>
    <row r="7918" spans="1:12" x14ac:dyDescent="0.2">
      <c r="A7918"/>
      <c r="B7918"/>
      <c r="C7918"/>
      <c r="D7918"/>
      <c r="E7918"/>
      <c r="F7918"/>
      <c r="G7918"/>
      <c r="H7918"/>
      <c r="I7918"/>
      <c r="J7918"/>
      <c r="K7918" s="1"/>
      <c r="L7918" s="2"/>
    </row>
    <row r="7919" spans="1:12" x14ac:dyDescent="0.2">
      <c r="A7919"/>
      <c r="B7919"/>
      <c r="C7919"/>
      <c r="D7919"/>
      <c r="E7919"/>
      <c r="F7919"/>
      <c r="G7919"/>
      <c r="H7919"/>
      <c r="I7919"/>
      <c r="J7919"/>
      <c r="K7919" s="1"/>
      <c r="L7919" s="2"/>
    </row>
    <row r="7920" spans="1:12" x14ac:dyDescent="0.2">
      <c r="A7920"/>
      <c r="B7920"/>
      <c r="C7920"/>
      <c r="D7920"/>
      <c r="E7920"/>
      <c r="F7920"/>
      <c r="G7920"/>
      <c r="H7920"/>
      <c r="I7920"/>
      <c r="J7920"/>
      <c r="K7920" s="1"/>
      <c r="L7920" s="2"/>
    </row>
    <row r="7921" spans="1:12" x14ac:dyDescent="0.2">
      <c r="A7921"/>
      <c r="B7921"/>
      <c r="C7921"/>
      <c r="D7921"/>
      <c r="E7921"/>
      <c r="F7921"/>
      <c r="G7921"/>
      <c r="H7921"/>
      <c r="I7921"/>
      <c r="J7921"/>
      <c r="K7921" s="1"/>
      <c r="L7921" s="2"/>
    </row>
    <row r="7922" spans="1:12" x14ac:dyDescent="0.2">
      <c r="A7922"/>
      <c r="B7922"/>
      <c r="C7922"/>
      <c r="D7922"/>
      <c r="E7922"/>
      <c r="F7922"/>
      <c r="G7922"/>
      <c r="H7922"/>
      <c r="I7922"/>
      <c r="J7922"/>
      <c r="K7922" s="1"/>
      <c r="L7922" s="2"/>
    </row>
    <row r="7923" spans="1:12" x14ac:dyDescent="0.2">
      <c r="A7923"/>
      <c r="B7923"/>
      <c r="C7923"/>
      <c r="D7923"/>
      <c r="E7923"/>
      <c r="F7923"/>
      <c r="G7923"/>
      <c r="H7923"/>
      <c r="I7923"/>
      <c r="J7923"/>
      <c r="K7923" s="1"/>
      <c r="L7923" s="2"/>
    </row>
    <row r="7924" spans="1:12" x14ac:dyDescent="0.2">
      <c r="A7924"/>
      <c r="B7924"/>
      <c r="C7924"/>
      <c r="D7924"/>
      <c r="E7924"/>
      <c r="F7924"/>
      <c r="G7924"/>
      <c r="H7924"/>
      <c r="I7924"/>
      <c r="J7924"/>
      <c r="K7924" s="1"/>
      <c r="L7924" s="2"/>
    </row>
    <row r="7925" spans="1:12" x14ac:dyDescent="0.2">
      <c r="A7925"/>
      <c r="B7925"/>
      <c r="C7925"/>
      <c r="D7925"/>
      <c r="E7925"/>
      <c r="F7925"/>
      <c r="G7925"/>
      <c r="H7925"/>
      <c r="I7925"/>
      <c r="J7925"/>
      <c r="K7925" s="1"/>
      <c r="L7925" s="2"/>
    </row>
    <row r="7926" spans="1:12" x14ac:dyDescent="0.2">
      <c r="A7926"/>
      <c r="B7926"/>
      <c r="C7926"/>
      <c r="D7926"/>
      <c r="E7926"/>
      <c r="F7926"/>
      <c r="G7926"/>
      <c r="H7926"/>
      <c r="I7926"/>
      <c r="J7926"/>
      <c r="K7926" s="1"/>
      <c r="L7926" s="2"/>
    </row>
    <row r="7927" spans="1:12" x14ac:dyDescent="0.2">
      <c r="A7927"/>
      <c r="B7927"/>
      <c r="C7927"/>
      <c r="D7927"/>
      <c r="E7927"/>
      <c r="F7927"/>
      <c r="G7927"/>
      <c r="H7927"/>
      <c r="I7927"/>
      <c r="J7927"/>
      <c r="K7927" s="1"/>
      <c r="L7927" s="2"/>
    </row>
    <row r="7928" spans="1:12" x14ac:dyDescent="0.2">
      <c r="A7928"/>
      <c r="B7928"/>
      <c r="C7928"/>
      <c r="D7928"/>
      <c r="E7928"/>
      <c r="F7928"/>
      <c r="G7928"/>
      <c r="H7928"/>
      <c r="I7928"/>
      <c r="J7928"/>
      <c r="K7928" s="1"/>
      <c r="L7928" s="2"/>
    </row>
    <row r="7929" spans="1:12" x14ac:dyDescent="0.2">
      <c r="A7929"/>
      <c r="B7929"/>
      <c r="C7929"/>
      <c r="D7929"/>
      <c r="E7929"/>
      <c r="F7929"/>
      <c r="G7929"/>
      <c r="H7929"/>
      <c r="I7929"/>
      <c r="J7929"/>
      <c r="K7929" s="1"/>
      <c r="L7929" s="2"/>
    </row>
    <row r="7930" spans="1:12" x14ac:dyDescent="0.2">
      <c r="A7930"/>
      <c r="B7930"/>
      <c r="C7930"/>
      <c r="D7930"/>
      <c r="E7930"/>
      <c r="F7930"/>
      <c r="G7930"/>
      <c r="H7930"/>
      <c r="I7930"/>
      <c r="J7930"/>
      <c r="K7930" s="1"/>
      <c r="L7930" s="2"/>
    </row>
    <row r="7931" spans="1:12" x14ac:dyDescent="0.2">
      <c r="A7931"/>
      <c r="B7931"/>
      <c r="C7931"/>
      <c r="D7931"/>
      <c r="E7931"/>
      <c r="F7931"/>
      <c r="G7931"/>
      <c r="H7931"/>
      <c r="I7931"/>
      <c r="J7931"/>
      <c r="K7931" s="1"/>
      <c r="L7931" s="2"/>
    </row>
    <row r="7932" spans="1:12" x14ac:dyDescent="0.2">
      <c r="A7932"/>
      <c r="B7932"/>
      <c r="C7932"/>
      <c r="D7932"/>
      <c r="E7932"/>
      <c r="F7932"/>
      <c r="G7932"/>
      <c r="H7932"/>
      <c r="I7932"/>
      <c r="J7932"/>
      <c r="K7932" s="1"/>
      <c r="L7932" s="2"/>
    </row>
    <row r="7933" spans="1:12" x14ac:dyDescent="0.2">
      <c r="A7933"/>
      <c r="B7933"/>
      <c r="C7933"/>
      <c r="D7933"/>
      <c r="E7933"/>
      <c r="F7933"/>
      <c r="G7933"/>
      <c r="H7933"/>
      <c r="I7933"/>
      <c r="J7933"/>
      <c r="K7933" s="1"/>
      <c r="L7933" s="2"/>
    </row>
    <row r="7934" spans="1:12" x14ac:dyDescent="0.2">
      <c r="A7934"/>
      <c r="B7934"/>
      <c r="C7934"/>
      <c r="D7934"/>
      <c r="E7934"/>
      <c r="F7934"/>
      <c r="G7934"/>
      <c r="H7934"/>
      <c r="I7934"/>
      <c r="J7934"/>
      <c r="K7934" s="1"/>
      <c r="L7934" s="2"/>
    </row>
    <row r="7935" spans="1:12" x14ac:dyDescent="0.2">
      <c r="A7935"/>
      <c r="B7935"/>
      <c r="C7935"/>
      <c r="D7935"/>
      <c r="E7935"/>
      <c r="F7935"/>
      <c r="G7935"/>
      <c r="H7935"/>
      <c r="I7935"/>
      <c r="J7935"/>
      <c r="K7935" s="1"/>
      <c r="L7935" s="2"/>
    </row>
    <row r="7936" spans="1:12" x14ac:dyDescent="0.2">
      <c r="A7936"/>
      <c r="B7936"/>
      <c r="C7936"/>
      <c r="D7936"/>
      <c r="E7936"/>
      <c r="F7936"/>
      <c r="G7936"/>
      <c r="H7936"/>
      <c r="I7936"/>
      <c r="J7936"/>
      <c r="K7936" s="1"/>
      <c r="L7936" s="2"/>
    </row>
    <row r="7937" spans="1:12" x14ac:dyDescent="0.2">
      <c r="A7937"/>
      <c r="B7937"/>
      <c r="C7937"/>
      <c r="D7937"/>
      <c r="E7937"/>
      <c r="F7937"/>
      <c r="G7937"/>
      <c r="H7937"/>
      <c r="I7937"/>
      <c r="J7937"/>
      <c r="K7937" s="1"/>
      <c r="L7937" s="2"/>
    </row>
    <row r="7938" spans="1:12" x14ac:dyDescent="0.2">
      <c r="A7938"/>
      <c r="B7938"/>
      <c r="C7938"/>
      <c r="D7938"/>
      <c r="E7938"/>
      <c r="F7938"/>
      <c r="G7938"/>
      <c r="H7938"/>
      <c r="I7938"/>
      <c r="J7938"/>
      <c r="K7938" s="1"/>
      <c r="L7938" s="2"/>
    </row>
    <row r="7939" spans="1:12" x14ac:dyDescent="0.2">
      <c r="A7939"/>
      <c r="B7939"/>
      <c r="C7939"/>
      <c r="D7939"/>
      <c r="E7939"/>
      <c r="F7939"/>
      <c r="G7939"/>
      <c r="H7939"/>
      <c r="I7939"/>
      <c r="J7939"/>
      <c r="K7939" s="1"/>
      <c r="L7939" s="2"/>
    </row>
    <row r="7940" spans="1:12" x14ac:dyDescent="0.2">
      <c r="A7940"/>
      <c r="B7940"/>
      <c r="C7940"/>
      <c r="D7940"/>
      <c r="E7940"/>
      <c r="F7940"/>
      <c r="G7940"/>
      <c r="H7940"/>
      <c r="I7940"/>
      <c r="J7940"/>
      <c r="K7940" s="1"/>
      <c r="L7940" s="2"/>
    </row>
    <row r="7941" spans="1:12" x14ac:dyDescent="0.2">
      <c r="A7941"/>
      <c r="B7941"/>
      <c r="C7941"/>
      <c r="D7941"/>
      <c r="E7941"/>
      <c r="F7941"/>
      <c r="G7941"/>
      <c r="H7941"/>
      <c r="I7941"/>
      <c r="J7941"/>
      <c r="K7941" s="1"/>
      <c r="L7941" s="2"/>
    </row>
    <row r="7942" spans="1:12" x14ac:dyDescent="0.2">
      <c r="A7942"/>
      <c r="B7942"/>
      <c r="C7942"/>
      <c r="D7942"/>
      <c r="E7942"/>
      <c r="F7942"/>
      <c r="G7942"/>
      <c r="H7942"/>
      <c r="I7942"/>
      <c r="J7942"/>
      <c r="K7942" s="1"/>
      <c r="L7942" s="2"/>
    </row>
    <row r="7943" spans="1:12" x14ac:dyDescent="0.2">
      <c r="A7943"/>
      <c r="B7943"/>
      <c r="C7943"/>
      <c r="D7943"/>
      <c r="E7943"/>
      <c r="F7943"/>
      <c r="G7943"/>
      <c r="H7943"/>
      <c r="I7943"/>
      <c r="J7943"/>
      <c r="K7943" s="1"/>
      <c r="L7943" s="2"/>
    </row>
    <row r="7944" spans="1:12" x14ac:dyDescent="0.2">
      <c r="A7944"/>
      <c r="B7944"/>
      <c r="C7944"/>
      <c r="D7944"/>
      <c r="E7944"/>
      <c r="F7944"/>
      <c r="G7944"/>
      <c r="H7944"/>
      <c r="I7944"/>
      <c r="J7944"/>
      <c r="K7944" s="1"/>
      <c r="L7944" s="2"/>
    </row>
    <row r="7945" spans="1:12" x14ac:dyDescent="0.2">
      <c r="A7945"/>
      <c r="B7945"/>
      <c r="C7945"/>
      <c r="D7945"/>
      <c r="E7945"/>
      <c r="F7945"/>
      <c r="G7945"/>
      <c r="H7945"/>
      <c r="I7945"/>
      <c r="J7945"/>
      <c r="K7945" s="1"/>
      <c r="L7945" s="2"/>
    </row>
    <row r="7946" spans="1:12" x14ac:dyDescent="0.2">
      <c r="A7946"/>
      <c r="B7946"/>
      <c r="C7946"/>
      <c r="D7946"/>
      <c r="E7946"/>
      <c r="F7946"/>
      <c r="G7946"/>
      <c r="H7946"/>
      <c r="I7946"/>
      <c r="J7946"/>
      <c r="K7946" s="1"/>
      <c r="L7946" s="2"/>
    </row>
    <row r="7947" spans="1:12" x14ac:dyDescent="0.2">
      <c r="A7947"/>
      <c r="B7947"/>
      <c r="C7947"/>
      <c r="D7947"/>
      <c r="E7947"/>
      <c r="F7947"/>
      <c r="G7947"/>
      <c r="H7947"/>
      <c r="I7947"/>
      <c r="J7947"/>
      <c r="K7947" s="1"/>
      <c r="L7947" s="2"/>
    </row>
    <row r="7948" spans="1:12" x14ac:dyDescent="0.2">
      <c r="A7948"/>
      <c r="B7948"/>
      <c r="C7948"/>
      <c r="D7948"/>
      <c r="E7948"/>
      <c r="F7948"/>
      <c r="G7948"/>
      <c r="H7948"/>
      <c r="I7948"/>
      <c r="J7948"/>
      <c r="K7948" s="1"/>
      <c r="L7948" s="2"/>
    </row>
    <row r="7949" spans="1:12" x14ac:dyDescent="0.2">
      <c r="A7949"/>
      <c r="B7949"/>
      <c r="C7949"/>
      <c r="D7949"/>
      <c r="E7949"/>
      <c r="F7949"/>
      <c r="G7949"/>
      <c r="H7949"/>
      <c r="I7949"/>
      <c r="J7949"/>
      <c r="K7949" s="1"/>
      <c r="L7949" s="2"/>
    </row>
    <row r="7950" spans="1:12" x14ac:dyDescent="0.2">
      <c r="A7950"/>
      <c r="B7950"/>
      <c r="C7950"/>
      <c r="D7950"/>
      <c r="E7950"/>
      <c r="F7950"/>
      <c r="G7950"/>
      <c r="H7950"/>
      <c r="I7950"/>
      <c r="J7950"/>
      <c r="K7950" s="1"/>
      <c r="L7950" s="2"/>
    </row>
    <row r="7951" spans="1:12" x14ac:dyDescent="0.2">
      <c r="A7951"/>
      <c r="B7951"/>
      <c r="C7951"/>
      <c r="D7951"/>
      <c r="E7951"/>
      <c r="F7951"/>
      <c r="G7951"/>
      <c r="H7951"/>
      <c r="I7951"/>
      <c r="J7951"/>
      <c r="K7951" s="1"/>
      <c r="L7951" s="2"/>
    </row>
    <row r="7952" spans="1:12" x14ac:dyDescent="0.2">
      <c r="A7952"/>
      <c r="B7952"/>
      <c r="C7952"/>
      <c r="D7952"/>
      <c r="E7952"/>
      <c r="F7952"/>
      <c r="G7952"/>
      <c r="H7952"/>
      <c r="I7952"/>
      <c r="J7952"/>
      <c r="K7952" s="1"/>
      <c r="L7952" s="2"/>
    </row>
    <row r="7953" spans="1:12" x14ac:dyDescent="0.2">
      <c r="A7953"/>
      <c r="B7953"/>
      <c r="C7953"/>
      <c r="D7953"/>
      <c r="E7953"/>
      <c r="F7953"/>
      <c r="G7953"/>
      <c r="H7953"/>
      <c r="I7953"/>
      <c r="J7953"/>
      <c r="K7953" s="1"/>
      <c r="L7953" s="2"/>
    </row>
    <row r="7954" spans="1:12" x14ac:dyDescent="0.2">
      <c r="A7954"/>
      <c r="B7954"/>
      <c r="C7954"/>
      <c r="D7954"/>
      <c r="E7954"/>
      <c r="F7954"/>
      <c r="G7954"/>
      <c r="H7954"/>
      <c r="I7954"/>
      <c r="J7954"/>
      <c r="K7954" s="1"/>
      <c r="L7954" s="2"/>
    </row>
    <row r="7955" spans="1:12" x14ac:dyDescent="0.2">
      <c r="A7955"/>
      <c r="B7955"/>
      <c r="C7955"/>
      <c r="D7955"/>
      <c r="E7955"/>
      <c r="F7955"/>
      <c r="G7955"/>
      <c r="H7955"/>
      <c r="I7955"/>
      <c r="J7955"/>
      <c r="K7955" s="1"/>
      <c r="L7955" s="2"/>
    </row>
    <row r="7956" spans="1:12" x14ac:dyDescent="0.2">
      <c r="A7956"/>
      <c r="B7956"/>
      <c r="C7956"/>
      <c r="D7956"/>
      <c r="E7956"/>
      <c r="F7956"/>
      <c r="G7956"/>
      <c r="H7956"/>
      <c r="I7956"/>
      <c r="J7956"/>
      <c r="K7956" s="1"/>
      <c r="L7956" s="2"/>
    </row>
    <row r="7957" spans="1:12" x14ac:dyDescent="0.2">
      <c r="A7957"/>
      <c r="B7957"/>
      <c r="C7957"/>
      <c r="D7957"/>
      <c r="E7957"/>
      <c r="F7957"/>
      <c r="G7957"/>
      <c r="H7957"/>
      <c r="I7957"/>
      <c r="J7957"/>
      <c r="K7957" s="1"/>
      <c r="L7957" s="2"/>
    </row>
    <row r="7958" spans="1:12" x14ac:dyDescent="0.2">
      <c r="A7958"/>
      <c r="B7958"/>
      <c r="C7958"/>
      <c r="D7958"/>
      <c r="E7958"/>
      <c r="F7958"/>
      <c r="G7958"/>
      <c r="H7958"/>
      <c r="I7958"/>
      <c r="J7958"/>
      <c r="K7958" s="1"/>
      <c r="L7958" s="2"/>
    </row>
    <row r="7959" spans="1:12" x14ac:dyDescent="0.2">
      <c r="A7959"/>
      <c r="B7959"/>
      <c r="C7959"/>
      <c r="D7959"/>
      <c r="E7959"/>
      <c r="F7959"/>
      <c r="G7959"/>
      <c r="H7959"/>
      <c r="I7959"/>
      <c r="J7959"/>
      <c r="K7959" s="1"/>
      <c r="L7959" s="2"/>
    </row>
    <row r="7960" spans="1:12" x14ac:dyDescent="0.2">
      <c r="A7960"/>
      <c r="B7960"/>
      <c r="C7960"/>
      <c r="D7960"/>
      <c r="E7960"/>
      <c r="F7960"/>
      <c r="G7960"/>
      <c r="H7960"/>
      <c r="I7960"/>
      <c r="J7960"/>
      <c r="K7960" s="1"/>
      <c r="L7960" s="2"/>
    </row>
    <row r="7961" spans="1:12" x14ac:dyDescent="0.2">
      <c r="A7961"/>
      <c r="B7961"/>
      <c r="C7961"/>
      <c r="D7961"/>
      <c r="E7961"/>
      <c r="F7961"/>
      <c r="G7961"/>
      <c r="H7961"/>
      <c r="I7961"/>
      <c r="J7961"/>
      <c r="K7961" s="1"/>
      <c r="L7961" s="2"/>
    </row>
    <row r="7962" spans="1:12" x14ac:dyDescent="0.2">
      <c r="A7962"/>
      <c r="B7962"/>
      <c r="C7962"/>
      <c r="D7962"/>
      <c r="E7962"/>
      <c r="F7962"/>
      <c r="G7962"/>
      <c r="H7962"/>
      <c r="I7962"/>
      <c r="J7962"/>
      <c r="K7962" s="1"/>
      <c r="L7962" s="2"/>
    </row>
    <row r="7963" spans="1:12" x14ac:dyDescent="0.2">
      <c r="A7963"/>
      <c r="B7963"/>
      <c r="C7963"/>
      <c r="D7963"/>
      <c r="E7963"/>
      <c r="F7963"/>
      <c r="G7963"/>
      <c r="H7963"/>
      <c r="I7963"/>
      <c r="J7963"/>
      <c r="K7963" s="1"/>
      <c r="L7963" s="2"/>
    </row>
    <row r="7964" spans="1:12" x14ac:dyDescent="0.2">
      <c r="A7964"/>
      <c r="B7964"/>
      <c r="C7964"/>
      <c r="D7964"/>
      <c r="E7964"/>
      <c r="F7964"/>
      <c r="G7964"/>
      <c r="H7964"/>
      <c r="I7964"/>
      <c r="J7964"/>
      <c r="K7964" s="1"/>
      <c r="L7964" s="2"/>
    </row>
    <row r="7965" spans="1:12" x14ac:dyDescent="0.2">
      <c r="A7965"/>
      <c r="B7965"/>
      <c r="C7965"/>
      <c r="D7965"/>
      <c r="E7965"/>
      <c r="F7965"/>
      <c r="G7965"/>
      <c r="H7965"/>
      <c r="I7965"/>
      <c r="J7965"/>
      <c r="K7965" s="1"/>
      <c r="L7965" s="2"/>
    </row>
    <row r="7966" spans="1:12" x14ac:dyDescent="0.2">
      <c r="A7966"/>
      <c r="B7966"/>
      <c r="C7966"/>
      <c r="D7966"/>
      <c r="E7966"/>
      <c r="F7966"/>
      <c r="G7966"/>
      <c r="H7966"/>
      <c r="I7966"/>
      <c r="J7966"/>
      <c r="K7966" s="1"/>
      <c r="L7966" s="2"/>
    </row>
    <row r="7967" spans="1:12" x14ac:dyDescent="0.2">
      <c r="A7967"/>
      <c r="B7967"/>
      <c r="C7967"/>
      <c r="D7967"/>
      <c r="E7967"/>
      <c r="F7967"/>
      <c r="G7967"/>
      <c r="H7967"/>
      <c r="I7967"/>
      <c r="J7967"/>
      <c r="K7967" s="1"/>
      <c r="L7967" s="2"/>
    </row>
    <row r="7968" spans="1:12" x14ac:dyDescent="0.2">
      <c r="A7968"/>
      <c r="B7968"/>
      <c r="C7968"/>
      <c r="D7968"/>
      <c r="E7968"/>
      <c r="F7968"/>
      <c r="G7968"/>
      <c r="H7968"/>
      <c r="I7968"/>
      <c r="J7968"/>
      <c r="K7968" s="1"/>
      <c r="L7968" s="2"/>
    </row>
    <row r="7969" spans="1:12" x14ac:dyDescent="0.2">
      <c r="A7969"/>
      <c r="B7969"/>
      <c r="C7969"/>
      <c r="D7969"/>
      <c r="E7969"/>
      <c r="F7969"/>
      <c r="G7969"/>
      <c r="H7969"/>
      <c r="I7969"/>
      <c r="J7969"/>
      <c r="K7969" s="1"/>
      <c r="L7969" s="2"/>
    </row>
    <row r="7970" spans="1:12" x14ac:dyDescent="0.2">
      <c r="A7970"/>
      <c r="B7970"/>
      <c r="C7970"/>
      <c r="D7970"/>
      <c r="E7970"/>
      <c r="F7970"/>
      <c r="G7970"/>
      <c r="H7970"/>
      <c r="I7970"/>
      <c r="J7970"/>
      <c r="K7970" s="1"/>
      <c r="L7970" s="2"/>
    </row>
    <row r="7971" spans="1:12" x14ac:dyDescent="0.2">
      <c r="A7971"/>
      <c r="B7971"/>
      <c r="C7971"/>
      <c r="D7971"/>
      <c r="E7971"/>
      <c r="F7971"/>
      <c r="G7971"/>
      <c r="H7971"/>
      <c r="I7971"/>
      <c r="J7971"/>
      <c r="K7971" s="1"/>
      <c r="L7971" s="2"/>
    </row>
    <row r="7972" spans="1:12" x14ac:dyDescent="0.2">
      <c r="A7972"/>
      <c r="B7972"/>
      <c r="C7972"/>
      <c r="D7972"/>
      <c r="E7972"/>
      <c r="F7972"/>
      <c r="G7972"/>
      <c r="H7972"/>
      <c r="I7972"/>
      <c r="J7972"/>
      <c r="K7972" s="1"/>
      <c r="L7972" s="2"/>
    </row>
    <row r="7973" spans="1:12" x14ac:dyDescent="0.2">
      <c r="A7973"/>
      <c r="B7973"/>
      <c r="C7973"/>
      <c r="D7973"/>
      <c r="E7973"/>
      <c r="F7973"/>
      <c r="G7973"/>
      <c r="H7973"/>
      <c r="I7973"/>
      <c r="J7973"/>
      <c r="K7973" s="1"/>
      <c r="L7973" s="2"/>
    </row>
    <row r="7974" spans="1:12" x14ac:dyDescent="0.2">
      <c r="A7974"/>
      <c r="B7974"/>
      <c r="C7974"/>
      <c r="D7974"/>
      <c r="E7974"/>
      <c r="F7974"/>
      <c r="G7974"/>
      <c r="H7974"/>
      <c r="I7974"/>
      <c r="J7974"/>
      <c r="K7974" s="1"/>
      <c r="L7974" s="2"/>
    </row>
    <row r="7975" spans="1:12" x14ac:dyDescent="0.2">
      <c r="A7975"/>
      <c r="B7975"/>
      <c r="C7975"/>
      <c r="D7975"/>
      <c r="E7975"/>
      <c r="F7975"/>
      <c r="G7975"/>
      <c r="H7975"/>
      <c r="I7975"/>
      <c r="J7975"/>
      <c r="K7975" s="1"/>
      <c r="L7975" s="2"/>
    </row>
    <row r="7976" spans="1:12" x14ac:dyDescent="0.2">
      <c r="A7976"/>
      <c r="B7976"/>
      <c r="C7976"/>
      <c r="D7976"/>
      <c r="E7976"/>
      <c r="F7976"/>
      <c r="G7976"/>
      <c r="H7976"/>
      <c r="I7976"/>
      <c r="J7976"/>
      <c r="K7976" s="1"/>
      <c r="L7976" s="2"/>
    </row>
    <row r="7977" spans="1:12" x14ac:dyDescent="0.2">
      <c r="A7977"/>
      <c r="B7977"/>
      <c r="C7977"/>
      <c r="D7977"/>
      <c r="E7977"/>
      <c r="F7977"/>
      <c r="G7977"/>
      <c r="H7977"/>
      <c r="I7977"/>
      <c r="J7977"/>
      <c r="K7977" s="1"/>
      <c r="L7977" s="2"/>
    </row>
    <row r="7978" spans="1:12" x14ac:dyDescent="0.2">
      <c r="A7978"/>
      <c r="B7978"/>
      <c r="C7978"/>
      <c r="D7978"/>
      <c r="E7978"/>
      <c r="F7978"/>
      <c r="G7978"/>
      <c r="H7978"/>
      <c r="I7978"/>
      <c r="J7978"/>
      <c r="K7978" s="1"/>
      <c r="L7978" s="2"/>
    </row>
    <row r="7979" spans="1:12" x14ac:dyDescent="0.2">
      <c r="A7979"/>
      <c r="B7979"/>
      <c r="C7979"/>
      <c r="D7979"/>
      <c r="E7979"/>
      <c r="F7979"/>
      <c r="G7979"/>
      <c r="H7979"/>
      <c r="I7979"/>
      <c r="J7979"/>
      <c r="K7979" s="1"/>
      <c r="L7979" s="2"/>
    </row>
    <row r="7980" spans="1:12" x14ac:dyDescent="0.2">
      <c r="A7980"/>
      <c r="B7980"/>
      <c r="C7980"/>
      <c r="D7980"/>
      <c r="E7980"/>
      <c r="F7980"/>
      <c r="G7980"/>
      <c r="H7980"/>
      <c r="I7980"/>
      <c r="J7980"/>
      <c r="K7980" s="1"/>
      <c r="L7980" s="2"/>
    </row>
    <row r="7981" spans="1:12" x14ac:dyDescent="0.2">
      <c r="A7981"/>
      <c r="B7981"/>
      <c r="C7981"/>
      <c r="D7981"/>
      <c r="E7981"/>
      <c r="F7981"/>
      <c r="G7981"/>
      <c r="H7981"/>
      <c r="I7981"/>
      <c r="J7981"/>
      <c r="K7981" s="1"/>
      <c r="L7981" s="2"/>
    </row>
    <row r="7982" spans="1:12" x14ac:dyDescent="0.2">
      <c r="A7982"/>
      <c r="B7982"/>
      <c r="C7982"/>
      <c r="D7982"/>
      <c r="E7982"/>
      <c r="F7982"/>
      <c r="G7982"/>
      <c r="H7982"/>
      <c r="I7982"/>
      <c r="J7982"/>
      <c r="K7982" s="1"/>
      <c r="L7982" s="2"/>
    </row>
    <row r="7983" spans="1:12" x14ac:dyDescent="0.2">
      <c r="A7983"/>
      <c r="B7983"/>
      <c r="C7983"/>
      <c r="D7983"/>
      <c r="E7983"/>
      <c r="F7983"/>
      <c r="G7983"/>
      <c r="H7983"/>
      <c r="I7983"/>
      <c r="J7983"/>
      <c r="K7983" s="1"/>
      <c r="L7983" s="2"/>
    </row>
    <row r="7984" spans="1:12" x14ac:dyDescent="0.2">
      <c r="A7984"/>
      <c r="B7984"/>
      <c r="C7984"/>
      <c r="D7984"/>
      <c r="E7984"/>
      <c r="F7984"/>
      <c r="G7984"/>
      <c r="H7984"/>
      <c r="I7984"/>
      <c r="J7984"/>
      <c r="K7984" s="1"/>
      <c r="L7984" s="2"/>
    </row>
    <row r="7985" spans="1:12" x14ac:dyDescent="0.2">
      <c r="A7985"/>
      <c r="B7985"/>
      <c r="C7985"/>
      <c r="D7985"/>
      <c r="E7985"/>
      <c r="F7985"/>
      <c r="G7985"/>
      <c r="H7985"/>
      <c r="I7985"/>
      <c r="J7985"/>
      <c r="K7985" s="1"/>
      <c r="L7985" s="2"/>
    </row>
    <row r="7986" spans="1:12" x14ac:dyDescent="0.2">
      <c r="A7986"/>
      <c r="B7986"/>
      <c r="C7986"/>
      <c r="D7986"/>
      <c r="E7986"/>
      <c r="F7986"/>
      <c r="G7986"/>
      <c r="H7986"/>
      <c r="I7986"/>
      <c r="J7986"/>
      <c r="K7986" s="1"/>
      <c r="L7986" s="2"/>
    </row>
    <row r="7987" spans="1:12" x14ac:dyDescent="0.2">
      <c r="A7987"/>
      <c r="B7987"/>
      <c r="C7987"/>
      <c r="D7987"/>
      <c r="E7987"/>
      <c r="F7987"/>
      <c r="G7987"/>
      <c r="H7987"/>
      <c r="I7987"/>
      <c r="J7987"/>
      <c r="K7987" s="1"/>
      <c r="L7987" s="2"/>
    </row>
    <row r="7988" spans="1:12" x14ac:dyDescent="0.2">
      <c r="A7988"/>
      <c r="B7988"/>
      <c r="C7988"/>
      <c r="D7988"/>
      <c r="E7988"/>
      <c r="F7988"/>
      <c r="G7988"/>
      <c r="H7988"/>
      <c r="I7988"/>
      <c r="J7988"/>
      <c r="K7988" s="1"/>
      <c r="L7988" s="2"/>
    </row>
    <row r="7989" spans="1:12" x14ac:dyDescent="0.2">
      <c r="A7989"/>
      <c r="B7989"/>
      <c r="C7989"/>
      <c r="D7989"/>
      <c r="E7989"/>
      <c r="F7989"/>
      <c r="G7989"/>
      <c r="H7989"/>
      <c r="I7989"/>
      <c r="J7989"/>
      <c r="K7989" s="1"/>
      <c r="L7989" s="2"/>
    </row>
    <row r="7990" spans="1:12" x14ac:dyDescent="0.2">
      <c r="A7990"/>
      <c r="B7990"/>
      <c r="C7990"/>
      <c r="D7990"/>
      <c r="E7990"/>
      <c r="F7990"/>
      <c r="G7990"/>
      <c r="H7990"/>
      <c r="I7990"/>
      <c r="J7990"/>
      <c r="K7990" s="1"/>
      <c r="L7990" s="2"/>
    </row>
    <row r="7991" spans="1:12" x14ac:dyDescent="0.2">
      <c r="A7991"/>
      <c r="B7991"/>
      <c r="C7991"/>
      <c r="D7991"/>
      <c r="E7991"/>
      <c r="F7991"/>
      <c r="G7991"/>
      <c r="H7991"/>
      <c r="I7991"/>
      <c r="J7991"/>
      <c r="K7991" s="1"/>
      <c r="L7991" s="2"/>
    </row>
    <row r="7992" spans="1:12" x14ac:dyDescent="0.2">
      <c r="A7992"/>
      <c r="B7992"/>
      <c r="C7992"/>
      <c r="D7992"/>
      <c r="E7992"/>
      <c r="F7992"/>
      <c r="G7992"/>
      <c r="H7992"/>
      <c r="I7992"/>
      <c r="J7992"/>
      <c r="K7992" s="1"/>
      <c r="L7992" s="2"/>
    </row>
    <row r="7993" spans="1:12" x14ac:dyDescent="0.2">
      <c r="A7993"/>
      <c r="B7993"/>
      <c r="C7993"/>
      <c r="D7993"/>
      <c r="E7993"/>
      <c r="F7993"/>
      <c r="G7993"/>
      <c r="H7993"/>
      <c r="I7993"/>
      <c r="J7993"/>
      <c r="K7993" s="1"/>
      <c r="L7993" s="2"/>
    </row>
    <row r="7994" spans="1:12" x14ac:dyDescent="0.2">
      <c r="A7994"/>
      <c r="B7994"/>
      <c r="C7994"/>
      <c r="D7994"/>
      <c r="E7994"/>
      <c r="F7994"/>
      <c r="G7994"/>
      <c r="H7994"/>
      <c r="I7994"/>
      <c r="J7994"/>
      <c r="K7994" s="1"/>
      <c r="L7994" s="2"/>
    </row>
    <row r="7995" spans="1:12" x14ac:dyDescent="0.2">
      <c r="A7995"/>
      <c r="B7995"/>
      <c r="C7995"/>
      <c r="D7995"/>
      <c r="E7995"/>
      <c r="F7995"/>
      <c r="G7995"/>
      <c r="H7995"/>
      <c r="I7995"/>
      <c r="J7995"/>
      <c r="K7995" s="1"/>
      <c r="L7995" s="2"/>
    </row>
    <row r="7996" spans="1:12" x14ac:dyDescent="0.2">
      <c r="A7996"/>
      <c r="B7996"/>
      <c r="C7996"/>
      <c r="D7996"/>
      <c r="E7996"/>
      <c r="F7996"/>
      <c r="G7996"/>
      <c r="H7996"/>
      <c r="I7996"/>
      <c r="J7996"/>
      <c r="K7996" s="1"/>
      <c r="L7996" s="2"/>
    </row>
    <row r="7997" spans="1:12" x14ac:dyDescent="0.2">
      <c r="A7997"/>
      <c r="B7997"/>
      <c r="C7997"/>
      <c r="D7997"/>
      <c r="E7997"/>
      <c r="F7997"/>
      <c r="G7997"/>
      <c r="H7997"/>
      <c r="I7997"/>
      <c r="J7997"/>
      <c r="K7997" s="1"/>
      <c r="L7997" s="2"/>
    </row>
    <row r="7998" spans="1:12" x14ac:dyDescent="0.2">
      <c r="A7998"/>
      <c r="B7998"/>
      <c r="C7998"/>
      <c r="D7998"/>
      <c r="E7998"/>
      <c r="F7998"/>
      <c r="G7998"/>
      <c r="H7998"/>
      <c r="I7998"/>
      <c r="J7998"/>
      <c r="K7998" s="1"/>
      <c r="L7998" s="2"/>
    </row>
    <row r="7999" spans="1:12" x14ac:dyDescent="0.2">
      <c r="A7999"/>
      <c r="B7999"/>
      <c r="C7999"/>
      <c r="D7999"/>
      <c r="E7999"/>
      <c r="F7999"/>
      <c r="G7999"/>
      <c r="H7999"/>
      <c r="I7999"/>
      <c r="J7999"/>
      <c r="K7999" s="1"/>
      <c r="L7999" s="2"/>
    </row>
    <row r="8000" spans="1:12" x14ac:dyDescent="0.2">
      <c r="A8000"/>
      <c r="B8000"/>
      <c r="C8000"/>
      <c r="D8000"/>
      <c r="E8000"/>
      <c r="F8000"/>
      <c r="G8000"/>
      <c r="H8000"/>
      <c r="I8000"/>
      <c r="J8000"/>
      <c r="K8000" s="1"/>
      <c r="L8000" s="2"/>
    </row>
    <row r="8001" spans="1:12" x14ac:dyDescent="0.2">
      <c r="A8001"/>
      <c r="B8001"/>
      <c r="C8001"/>
      <c r="D8001"/>
      <c r="E8001"/>
      <c r="F8001"/>
      <c r="G8001"/>
      <c r="H8001"/>
      <c r="I8001"/>
      <c r="J8001"/>
      <c r="K8001" s="1"/>
      <c r="L8001" s="2"/>
    </row>
    <row r="8002" spans="1:12" x14ac:dyDescent="0.2">
      <c r="A8002"/>
      <c r="B8002"/>
      <c r="C8002"/>
      <c r="D8002"/>
      <c r="E8002"/>
      <c r="F8002"/>
      <c r="G8002"/>
      <c r="H8002"/>
      <c r="I8002"/>
      <c r="J8002"/>
      <c r="K8002" s="1"/>
      <c r="L8002" s="2"/>
    </row>
    <row r="8003" spans="1:12" x14ac:dyDescent="0.2">
      <c r="A8003"/>
      <c r="B8003"/>
      <c r="C8003"/>
      <c r="D8003"/>
      <c r="E8003"/>
      <c r="F8003"/>
      <c r="G8003"/>
      <c r="H8003"/>
      <c r="I8003"/>
      <c r="J8003"/>
      <c r="K8003" s="1"/>
      <c r="L8003" s="2"/>
    </row>
    <row r="8004" spans="1:12" x14ac:dyDescent="0.2">
      <c r="A8004"/>
      <c r="B8004"/>
      <c r="C8004"/>
      <c r="D8004"/>
      <c r="E8004"/>
      <c r="F8004"/>
      <c r="G8004"/>
      <c r="H8004"/>
      <c r="I8004"/>
      <c r="J8004"/>
      <c r="K8004" s="1"/>
      <c r="L8004" s="2"/>
    </row>
    <row r="8005" spans="1:12" x14ac:dyDescent="0.2">
      <c r="A8005"/>
      <c r="B8005"/>
      <c r="C8005"/>
      <c r="D8005"/>
      <c r="E8005"/>
      <c r="F8005"/>
      <c r="G8005"/>
      <c r="H8005"/>
      <c r="I8005"/>
      <c r="J8005"/>
      <c r="K8005" s="1"/>
      <c r="L8005" s="2"/>
    </row>
    <row r="8006" spans="1:12" x14ac:dyDescent="0.2">
      <c r="A8006"/>
      <c r="B8006"/>
      <c r="C8006"/>
      <c r="D8006"/>
      <c r="E8006"/>
      <c r="F8006"/>
      <c r="G8006"/>
      <c r="H8006"/>
      <c r="I8006"/>
      <c r="J8006"/>
      <c r="K8006" s="1"/>
      <c r="L8006" s="2"/>
    </row>
    <row r="8007" spans="1:12" x14ac:dyDescent="0.2">
      <c r="A8007"/>
      <c r="B8007"/>
      <c r="C8007"/>
      <c r="D8007"/>
      <c r="E8007"/>
      <c r="F8007"/>
      <c r="G8007"/>
      <c r="H8007"/>
      <c r="I8007"/>
      <c r="J8007"/>
      <c r="K8007" s="1"/>
      <c r="L8007" s="2"/>
    </row>
    <row r="8008" spans="1:12" x14ac:dyDescent="0.2">
      <c r="A8008"/>
      <c r="B8008"/>
      <c r="C8008"/>
      <c r="D8008"/>
      <c r="E8008"/>
      <c r="F8008"/>
      <c r="G8008"/>
      <c r="H8008"/>
      <c r="I8008"/>
      <c r="J8008"/>
      <c r="K8008" s="1"/>
      <c r="L8008" s="2"/>
    </row>
    <row r="8009" spans="1:12" x14ac:dyDescent="0.2">
      <c r="A8009"/>
      <c r="B8009"/>
      <c r="C8009"/>
      <c r="D8009"/>
      <c r="E8009"/>
      <c r="F8009"/>
      <c r="G8009"/>
      <c r="H8009"/>
      <c r="I8009"/>
      <c r="J8009"/>
      <c r="K8009" s="1"/>
      <c r="L8009" s="2"/>
    </row>
    <row r="8010" spans="1:12" x14ac:dyDescent="0.2">
      <c r="A8010"/>
      <c r="B8010"/>
      <c r="C8010"/>
      <c r="D8010"/>
      <c r="E8010"/>
      <c r="F8010"/>
      <c r="G8010"/>
      <c r="H8010"/>
      <c r="I8010"/>
      <c r="J8010"/>
      <c r="K8010" s="1"/>
      <c r="L8010" s="2"/>
    </row>
    <row r="8011" spans="1:12" x14ac:dyDescent="0.2">
      <c r="A8011"/>
      <c r="B8011"/>
      <c r="C8011"/>
      <c r="D8011"/>
      <c r="E8011"/>
      <c r="F8011"/>
      <c r="G8011"/>
      <c r="H8011"/>
      <c r="I8011"/>
      <c r="J8011"/>
      <c r="K8011" s="1"/>
      <c r="L8011" s="2"/>
    </row>
    <row r="8012" spans="1:12" x14ac:dyDescent="0.2">
      <c r="A8012"/>
      <c r="B8012"/>
      <c r="C8012"/>
      <c r="D8012"/>
      <c r="E8012"/>
      <c r="F8012"/>
      <c r="G8012"/>
      <c r="H8012"/>
      <c r="I8012"/>
      <c r="J8012"/>
      <c r="K8012" s="1"/>
      <c r="L8012" s="2"/>
    </row>
    <row r="8013" spans="1:12" x14ac:dyDescent="0.2">
      <c r="A8013"/>
      <c r="B8013"/>
      <c r="C8013"/>
      <c r="D8013"/>
      <c r="E8013"/>
      <c r="F8013"/>
      <c r="G8013"/>
      <c r="H8013"/>
      <c r="I8013"/>
      <c r="J8013"/>
      <c r="K8013" s="1"/>
      <c r="L8013" s="2"/>
    </row>
    <row r="8014" spans="1:12" x14ac:dyDescent="0.2">
      <c r="A8014"/>
      <c r="B8014"/>
      <c r="C8014"/>
      <c r="D8014"/>
      <c r="E8014"/>
      <c r="F8014"/>
      <c r="G8014"/>
      <c r="H8014"/>
      <c r="I8014"/>
      <c r="J8014"/>
      <c r="K8014" s="1"/>
      <c r="L8014" s="2"/>
    </row>
    <row r="8015" spans="1:12" x14ac:dyDescent="0.2">
      <c r="A8015"/>
      <c r="B8015"/>
      <c r="C8015"/>
      <c r="D8015"/>
      <c r="E8015"/>
      <c r="F8015"/>
      <c r="G8015"/>
      <c r="H8015"/>
      <c r="I8015"/>
      <c r="J8015"/>
      <c r="K8015" s="1"/>
      <c r="L8015" s="2"/>
    </row>
    <row r="8016" spans="1:12" x14ac:dyDescent="0.2">
      <c r="A8016"/>
      <c r="B8016"/>
      <c r="C8016"/>
      <c r="D8016"/>
      <c r="E8016"/>
      <c r="F8016"/>
      <c r="G8016"/>
      <c r="H8016"/>
      <c r="I8016"/>
      <c r="J8016"/>
      <c r="K8016" s="1"/>
      <c r="L8016" s="2"/>
    </row>
    <row r="8017" spans="1:12" x14ac:dyDescent="0.2">
      <c r="A8017"/>
      <c r="B8017"/>
      <c r="C8017"/>
      <c r="D8017"/>
      <c r="E8017"/>
      <c r="F8017"/>
      <c r="G8017"/>
      <c r="H8017"/>
      <c r="I8017"/>
      <c r="J8017"/>
      <c r="K8017" s="1"/>
      <c r="L8017" s="2"/>
    </row>
    <row r="8018" spans="1:12" x14ac:dyDescent="0.2">
      <c r="A8018"/>
      <c r="B8018"/>
      <c r="C8018"/>
      <c r="D8018"/>
      <c r="E8018"/>
      <c r="F8018"/>
      <c r="G8018"/>
      <c r="H8018"/>
      <c r="I8018"/>
      <c r="J8018"/>
      <c r="K8018" s="1"/>
      <c r="L8018" s="2"/>
    </row>
    <row r="8019" spans="1:12" x14ac:dyDescent="0.2">
      <c r="A8019"/>
      <c r="B8019"/>
      <c r="C8019"/>
      <c r="D8019"/>
      <c r="E8019"/>
      <c r="F8019"/>
      <c r="G8019"/>
      <c r="H8019"/>
      <c r="I8019"/>
      <c r="J8019"/>
      <c r="K8019" s="1"/>
      <c r="L8019" s="2"/>
    </row>
    <row r="8020" spans="1:12" x14ac:dyDescent="0.2">
      <c r="A8020"/>
      <c r="B8020"/>
      <c r="C8020"/>
      <c r="D8020"/>
      <c r="E8020"/>
      <c r="F8020"/>
      <c r="G8020"/>
      <c r="H8020"/>
      <c r="I8020"/>
      <c r="J8020"/>
      <c r="K8020" s="1"/>
      <c r="L8020" s="2"/>
    </row>
    <row r="8021" spans="1:12" x14ac:dyDescent="0.2">
      <c r="A8021"/>
      <c r="B8021"/>
      <c r="C8021"/>
      <c r="D8021"/>
      <c r="E8021"/>
      <c r="F8021"/>
      <c r="G8021"/>
      <c r="H8021"/>
      <c r="I8021"/>
      <c r="J8021"/>
      <c r="K8021" s="1"/>
      <c r="L8021" s="2"/>
    </row>
    <row r="8022" spans="1:12" x14ac:dyDescent="0.2">
      <c r="A8022"/>
      <c r="B8022"/>
      <c r="C8022"/>
      <c r="D8022"/>
      <c r="E8022"/>
      <c r="F8022"/>
      <c r="G8022"/>
      <c r="H8022"/>
      <c r="I8022"/>
      <c r="J8022"/>
      <c r="K8022" s="1"/>
      <c r="L8022" s="2"/>
    </row>
    <row r="8023" spans="1:12" x14ac:dyDescent="0.2">
      <c r="A8023"/>
      <c r="B8023"/>
      <c r="C8023"/>
      <c r="D8023"/>
      <c r="E8023"/>
      <c r="F8023"/>
      <c r="G8023"/>
      <c r="H8023"/>
      <c r="I8023"/>
      <c r="J8023"/>
      <c r="K8023" s="1"/>
      <c r="L8023" s="2"/>
    </row>
    <row r="8024" spans="1:12" x14ac:dyDescent="0.2">
      <c r="A8024"/>
      <c r="B8024"/>
      <c r="C8024"/>
      <c r="D8024"/>
      <c r="E8024"/>
      <c r="F8024"/>
      <c r="G8024"/>
      <c r="H8024"/>
      <c r="I8024"/>
      <c r="J8024"/>
      <c r="K8024" s="1"/>
      <c r="L8024" s="2"/>
    </row>
    <row r="8025" spans="1:12" x14ac:dyDescent="0.2">
      <c r="A8025"/>
      <c r="B8025"/>
      <c r="C8025"/>
      <c r="D8025"/>
      <c r="E8025"/>
      <c r="F8025"/>
      <c r="G8025"/>
      <c r="H8025"/>
      <c r="I8025"/>
      <c r="J8025"/>
      <c r="K8025" s="1"/>
      <c r="L8025" s="2"/>
    </row>
    <row r="8026" spans="1:12" x14ac:dyDescent="0.2">
      <c r="A8026"/>
      <c r="B8026"/>
      <c r="C8026"/>
      <c r="D8026"/>
      <c r="E8026"/>
      <c r="F8026"/>
      <c r="G8026"/>
      <c r="H8026"/>
      <c r="I8026"/>
      <c r="J8026"/>
      <c r="K8026" s="1"/>
      <c r="L8026" s="2"/>
    </row>
    <row r="8027" spans="1:12" x14ac:dyDescent="0.2">
      <c r="A8027"/>
      <c r="B8027"/>
      <c r="C8027"/>
      <c r="D8027"/>
      <c r="E8027"/>
      <c r="F8027"/>
      <c r="G8027"/>
      <c r="H8027"/>
      <c r="I8027"/>
      <c r="J8027"/>
      <c r="K8027" s="1"/>
      <c r="L8027" s="2"/>
    </row>
    <row r="8028" spans="1:12" x14ac:dyDescent="0.2">
      <c r="A8028"/>
      <c r="B8028"/>
      <c r="C8028"/>
      <c r="D8028"/>
      <c r="E8028"/>
      <c r="F8028"/>
      <c r="G8028"/>
      <c r="H8028"/>
      <c r="I8028"/>
      <c r="J8028"/>
      <c r="K8028" s="1"/>
      <c r="L8028" s="2"/>
    </row>
    <row r="8029" spans="1:12" x14ac:dyDescent="0.2">
      <c r="A8029"/>
      <c r="B8029"/>
      <c r="C8029"/>
      <c r="D8029"/>
      <c r="E8029"/>
      <c r="F8029"/>
      <c r="G8029"/>
      <c r="H8029"/>
      <c r="I8029"/>
      <c r="J8029"/>
      <c r="K8029" s="1"/>
      <c r="L8029" s="2"/>
    </row>
    <row r="8030" spans="1:12" x14ac:dyDescent="0.2">
      <c r="A8030"/>
      <c r="B8030"/>
      <c r="C8030"/>
      <c r="D8030"/>
      <c r="E8030"/>
      <c r="F8030"/>
      <c r="G8030"/>
      <c r="H8030"/>
      <c r="I8030"/>
      <c r="J8030"/>
      <c r="K8030" s="1"/>
      <c r="L8030" s="2"/>
    </row>
    <row r="8031" spans="1:12" x14ac:dyDescent="0.2">
      <c r="A8031"/>
      <c r="B8031"/>
      <c r="C8031"/>
      <c r="D8031"/>
      <c r="E8031"/>
      <c r="F8031"/>
      <c r="G8031"/>
      <c r="H8031"/>
      <c r="I8031"/>
      <c r="J8031"/>
      <c r="K8031" s="1"/>
      <c r="L8031" s="2"/>
    </row>
    <row r="8032" spans="1:12" x14ac:dyDescent="0.2">
      <c r="A8032"/>
      <c r="B8032"/>
      <c r="C8032"/>
      <c r="D8032"/>
      <c r="E8032"/>
      <c r="F8032"/>
      <c r="G8032"/>
      <c r="H8032"/>
      <c r="I8032"/>
      <c r="J8032"/>
      <c r="K8032" s="1"/>
      <c r="L8032" s="2"/>
    </row>
    <row r="8033" spans="1:12" x14ac:dyDescent="0.2">
      <c r="A8033"/>
      <c r="B8033"/>
      <c r="C8033"/>
      <c r="D8033"/>
      <c r="E8033"/>
      <c r="F8033"/>
      <c r="G8033"/>
      <c r="H8033"/>
      <c r="I8033"/>
      <c r="J8033"/>
      <c r="K8033" s="1"/>
      <c r="L8033" s="2"/>
    </row>
    <row r="8034" spans="1:12" x14ac:dyDescent="0.2">
      <c r="A8034"/>
      <c r="B8034"/>
      <c r="C8034"/>
      <c r="D8034"/>
      <c r="E8034"/>
      <c r="F8034"/>
      <c r="G8034"/>
      <c r="H8034"/>
      <c r="I8034"/>
      <c r="J8034"/>
      <c r="K8034" s="1"/>
      <c r="L8034" s="2"/>
    </row>
    <row r="8035" spans="1:12" x14ac:dyDescent="0.2">
      <c r="A8035"/>
      <c r="B8035"/>
      <c r="C8035"/>
      <c r="D8035"/>
      <c r="E8035"/>
      <c r="F8035"/>
      <c r="G8035"/>
      <c r="H8035"/>
      <c r="I8035"/>
      <c r="J8035"/>
      <c r="K8035" s="1"/>
      <c r="L8035" s="2"/>
    </row>
    <row r="8036" spans="1:12" x14ac:dyDescent="0.2">
      <c r="A8036"/>
      <c r="B8036"/>
      <c r="C8036"/>
      <c r="D8036"/>
      <c r="E8036"/>
      <c r="F8036"/>
      <c r="G8036"/>
      <c r="H8036"/>
      <c r="I8036"/>
      <c r="J8036"/>
      <c r="K8036" s="1"/>
      <c r="L8036" s="2"/>
    </row>
    <row r="8037" spans="1:12" x14ac:dyDescent="0.2">
      <c r="A8037"/>
      <c r="B8037"/>
      <c r="C8037"/>
      <c r="D8037"/>
      <c r="E8037"/>
      <c r="F8037"/>
      <c r="G8037"/>
      <c r="H8037"/>
      <c r="I8037"/>
      <c r="J8037"/>
      <c r="K8037" s="1"/>
      <c r="L8037" s="2"/>
    </row>
    <row r="8038" spans="1:12" x14ac:dyDescent="0.2">
      <c r="A8038"/>
      <c r="B8038"/>
      <c r="C8038"/>
      <c r="D8038"/>
      <c r="E8038"/>
      <c r="F8038"/>
      <c r="G8038"/>
      <c r="H8038"/>
      <c r="I8038"/>
      <c r="J8038"/>
      <c r="K8038" s="1"/>
      <c r="L8038" s="2"/>
    </row>
    <row r="8039" spans="1:12" x14ac:dyDescent="0.2">
      <c r="A8039"/>
      <c r="B8039"/>
      <c r="C8039"/>
      <c r="D8039"/>
      <c r="E8039"/>
      <c r="F8039"/>
      <c r="G8039"/>
      <c r="H8039"/>
      <c r="I8039"/>
      <c r="J8039"/>
      <c r="K8039" s="1"/>
      <c r="L8039" s="2"/>
    </row>
    <row r="8040" spans="1:12" x14ac:dyDescent="0.2">
      <c r="A8040"/>
      <c r="B8040"/>
      <c r="C8040"/>
      <c r="D8040"/>
      <c r="E8040"/>
      <c r="F8040"/>
      <c r="G8040"/>
      <c r="H8040"/>
      <c r="I8040"/>
      <c r="J8040"/>
      <c r="K8040" s="1"/>
      <c r="L8040" s="2"/>
    </row>
    <row r="8041" spans="1:12" x14ac:dyDescent="0.2">
      <c r="A8041"/>
      <c r="B8041"/>
      <c r="C8041"/>
      <c r="D8041"/>
      <c r="E8041"/>
      <c r="F8041"/>
      <c r="G8041"/>
      <c r="H8041"/>
      <c r="I8041"/>
      <c r="J8041"/>
      <c r="K8041" s="1"/>
      <c r="L8041" s="2"/>
    </row>
    <row r="8042" spans="1:12" x14ac:dyDescent="0.2">
      <c r="A8042"/>
      <c r="B8042"/>
      <c r="C8042"/>
      <c r="D8042"/>
      <c r="E8042"/>
      <c r="F8042"/>
      <c r="G8042"/>
      <c r="H8042"/>
      <c r="I8042"/>
      <c r="J8042"/>
      <c r="K8042" s="1"/>
      <c r="L8042" s="2"/>
    </row>
    <row r="8043" spans="1:12" x14ac:dyDescent="0.2">
      <c r="A8043"/>
      <c r="B8043"/>
      <c r="C8043"/>
      <c r="D8043"/>
      <c r="E8043"/>
      <c r="F8043"/>
      <c r="G8043"/>
      <c r="H8043"/>
      <c r="I8043"/>
      <c r="J8043"/>
      <c r="K8043" s="1"/>
      <c r="L8043" s="2"/>
    </row>
    <row r="8044" spans="1:12" x14ac:dyDescent="0.2">
      <c r="A8044"/>
      <c r="B8044"/>
      <c r="C8044"/>
      <c r="D8044"/>
      <c r="E8044"/>
      <c r="F8044"/>
      <c r="G8044"/>
      <c r="H8044"/>
      <c r="I8044"/>
      <c r="J8044"/>
      <c r="K8044" s="1"/>
      <c r="L8044" s="2"/>
    </row>
    <row r="8045" spans="1:12" x14ac:dyDescent="0.2">
      <c r="A8045"/>
      <c r="B8045"/>
      <c r="C8045"/>
      <c r="D8045"/>
      <c r="E8045"/>
      <c r="F8045"/>
      <c r="G8045"/>
      <c r="H8045"/>
      <c r="I8045"/>
      <c r="J8045"/>
      <c r="K8045" s="1"/>
      <c r="L8045" s="2"/>
    </row>
    <row r="8046" spans="1:12" x14ac:dyDescent="0.2">
      <c r="A8046"/>
      <c r="B8046"/>
      <c r="C8046"/>
      <c r="D8046"/>
      <c r="E8046"/>
      <c r="F8046"/>
      <c r="G8046"/>
      <c r="H8046"/>
      <c r="I8046"/>
      <c r="J8046"/>
      <c r="K8046" s="1"/>
      <c r="L8046" s="2"/>
    </row>
    <row r="8047" spans="1:12" x14ac:dyDescent="0.2">
      <c r="A8047"/>
      <c r="B8047"/>
      <c r="C8047"/>
      <c r="D8047"/>
      <c r="E8047"/>
      <c r="F8047"/>
      <c r="G8047"/>
      <c r="H8047"/>
      <c r="I8047"/>
      <c r="J8047"/>
      <c r="K8047" s="1"/>
      <c r="L8047" s="2"/>
    </row>
    <row r="8048" spans="1:12" x14ac:dyDescent="0.2">
      <c r="A8048"/>
      <c r="B8048"/>
      <c r="C8048"/>
      <c r="D8048"/>
      <c r="E8048"/>
      <c r="F8048"/>
      <c r="G8048"/>
      <c r="H8048"/>
      <c r="I8048"/>
      <c r="J8048"/>
      <c r="K8048" s="1"/>
      <c r="L8048" s="2"/>
    </row>
    <row r="8049" spans="1:12" x14ac:dyDescent="0.2">
      <c r="A8049"/>
      <c r="B8049"/>
      <c r="C8049"/>
      <c r="D8049"/>
      <c r="E8049"/>
      <c r="F8049"/>
      <c r="G8049"/>
      <c r="H8049"/>
      <c r="I8049"/>
      <c r="J8049"/>
      <c r="K8049" s="1"/>
      <c r="L8049" s="2"/>
    </row>
    <row r="8050" spans="1:12" x14ac:dyDescent="0.2">
      <c r="A8050"/>
      <c r="B8050"/>
      <c r="C8050"/>
      <c r="D8050"/>
      <c r="E8050"/>
      <c r="F8050"/>
      <c r="G8050"/>
      <c r="H8050"/>
      <c r="I8050"/>
      <c r="J8050"/>
      <c r="K8050" s="1"/>
      <c r="L8050" s="2"/>
    </row>
    <row r="8051" spans="1:12" x14ac:dyDescent="0.2">
      <c r="A8051"/>
      <c r="B8051"/>
      <c r="C8051"/>
      <c r="D8051"/>
      <c r="E8051"/>
      <c r="F8051"/>
      <c r="G8051"/>
      <c r="H8051"/>
      <c r="I8051"/>
      <c r="J8051"/>
      <c r="K8051" s="1"/>
      <c r="L8051" s="2"/>
    </row>
    <row r="8052" spans="1:12" x14ac:dyDescent="0.2">
      <c r="A8052"/>
      <c r="B8052"/>
      <c r="C8052"/>
      <c r="D8052"/>
      <c r="E8052"/>
      <c r="F8052"/>
      <c r="G8052"/>
      <c r="H8052"/>
      <c r="I8052"/>
      <c r="J8052"/>
      <c r="K8052" s="1"/>
      <c r="L8052" s="2"/>
    </row>
    <row r="8053" spans="1:12" x14ac:dyDescent="0.2">
      <c r="A8053"/>
      <c r="B8053"/>
      <c r="C8053"/>
      <c r="D8053"/>
      <c r="E8053"/>
      <c r="F8053"/>
      <c r="G8053"/>
      <c r="H8053"/>
      <c r="I8053"/>
      <c r="J8053"/>
      <c r="K8053" s="1"/>
      <c r="L8053" s="2"/>
    </row>
    <row r="8054" spans="1:12" x14ac:dyDescent="0.2">
      <c r="A8054"/>
      <c r="B8054"/>
      <c r="C8054"/>
      <c r="D8054"/>
      <c r="E8054"/>
      <c r="F8054"/>
      <c r="G8054"/>
      <c r="H8054"/>
      <c r="I8054"/>
      <c r="J8054"/>
      <c r="K8054" s="1"/>
      <c r="L8054" s="2"/>
    </row>
    <row r="8055" spans="1:12" x14ac:dyDescent="0.2">
      <c r="A8055"/>
      <c r="B8055"/>
      <c r="C8055"/>
      <c r="D8055"/>
      <c r="E8055"/>
      <c r="F8055"/>
      <c r="G8055"/>
      <c r="H8055"/>
      <c r="I8055"/>
      <c r="J8055"/>
      <c r="K8055" s="1"/>
      <c r="L8055" s="2"/>
    </row>
    <row r="8056" spans="1:12" x14ac:dyDescent="0.2">
      <c r="A8056"/>
      <c r="B8056"/>
      <c r="C8056"/>
      <c r="D8056"/>
      <c r="E8056"/>
      <c r="F8056"/>
      <c r="G8056"/>
      <c r="H8056"/>
      <c r="I8056"/>
      <c r="J8056"/>
      <c r="K8056" s="1"/>
      <c r="L8056" s="2"/>
    </row>
    <row r="8057" spans="1:12" x14ac:dyDescent="0.2">
      <c r="A8057"/>
      <c r="B8057"/>
      <c r="C8057"/>
      <c r="D8057"/>
      <c r="E8057"/>
      <c r="F8057"/>
      <c r="G8057"/>
      <c r="H8057"/>
      <c r="I8057"/>
      <c r="J8057"/>
      <c r="K8057" s="1"/>
      <c r="L8057" s="2"/>
    </row>
    <row r="8058" spans="1:12" x14ac:dyDescent="0.2">
      <c r="A8058"/>
      <c r="B8058"/>
      <c r="C8058"/>
      <c r="D8058"/>
      <c r="E8058"/>
      <c r="F8058"/>
      <c r="G8058"/>
      <c r="H8058"/>
      <c r="I8058"/>
      <c r="J8058"/>
      <c r="K8058" s="1"/>
      <c r="L8058" s="2"/>
    </row>
    <row r="8059" spans="1:12" x14ac:dyDescent="0.2">
      <c r="A8059"/>
      <c r="B8059"/>
      <c r="C8059"/>
      <c r="D8059"/>
      <c r="E8059"/>
      <c r="F8059"/>
      <c r="G8059"/>
      <c r="H8059"/>
      <c r="I8059"/>
      <c r="J8059"/>
      <c r="K8059" s="1"/>
      <c r="L8059" s="2"/>
    </row>
    <row r="8060" spans="1:12" x14ac:dyDescent="0.2">
      <c r="A8060"/>
      <c r="B8060"/>
      <c r="C8060"/>
      <c r="D8060"/>
      <c r="E8060"/>
      <c r="F8060"/>
      <c r="G8060"/>
      <c r="H8060"/>
      <c r="I8060"/>
      <c r="J8060"/>
      <c r="K8060" s="1"/>
      <c r="L8060" s="2"/>
    </row>
    <row r="8061" spans="1:12" x14ac:dyDescent="0.2">
      <c r="A8061"/>
      <c r="B8061"/>
      <c r="C8061"/>
      <c r="D8061"/>
      <c r="E8061"/>
      <c r="F8061"/>
      <c r="G8061"/>
      <c r="H8061"/>
      <c r="I8061"/>
      <c r="J8061"/>
      <c r="K8061" s="1"/>
      <c r="L8061" s="2"/>
    </row>
    <row r="8062" spans="1:12" x14ac:dyDescent="0.2">
      <c r="A8062"/>
      <c r="B8062"/>
      <c r="C8062"/>
      <c r="D8062"/>
      <c r="E8062"/>
      <c r="F8062"/>
      <c r="G8062"/>
      <c r="H8062"/>
      <c r="I8062"/>
      <c r="J8062"/>
      <c r="K8062" s="1"/>
      <c r="L8062" s="2"/>
    </row>
    <row r="8063" spans="1:12" x14ac:dyDescent="0.2">
      <c r="A8063"/>
      <c r="B8063"/>
      <c r="C8063"/>
      <c r="D8063"/>
      <c r="E8063"/>
      <c r="F8063"/>
      <c r="G8063"/>
      <c r="H8063"/>
      <c r="I8063"/>
      <c r="J8063"/>
      <c r="K8063" s="1"/>
      <c r="L8063" s="2"/>
    </row>
    <row r="8064" spans="1:12" x14ac:dyDescent="0.2">
      <c r="A8064"/>
      <c r="B8064"/>
      <c r="C8064"/>
      <c r="D8064"/>
      <c r="E8064"/>
      <c r="F8064"/>
      <c r="G8064"/>
      <c r="H8064"/>
      <c r="I8064"/>
      <c r="J8064"/>
      <c r="K8064" s="1"/>
      <c r="L8064" s="2"/>
    </row>
    <row r="8065" spans="1:12" x14ac:dyDescent="0.2">
      <c r="A8065"/>
      <c r="B8065"/>
      <c r="C8065"/>
      <c r="D8065"/>
      <c r="E8065"/>
      <c r="F8065"/>
      <c r="G8065"/>
      <c r="H8065"/>
      <c r="I8065"/>
      <c r="J8065"/>
      <c r="K8065" s="1"/>
      <c r="L8065" s="2"/>
    </row>
    <row r="8066" spans="1:12" x14ac:dyDescent="0.2">
      <c r="A8066"/>
      <c r="B8066"/>
      <c r="C8066"/>
      <c r="D8066"/>
      <c r="E8066"/>
      <c r="F8066"/>
      <c r="G8066"/>
      <c r="H8066"/>
      <c r="I8066"/>
      <c r="J8066"/>
      <c r="K8066" s="1"/>
      <c r="L8066" s="2"/>
    </row>
    <row r="8067" spans="1:12" x14ac:dyDescent="0.2">
      <c r="A8067"/>
      <c r="B8067"/>
      <c r="C8067"/>
      <c r="D8067"/>
      <c r="E8067"/>
      <c r="F8067"/>
      <c r="G8067"/>
      <c r="H8067"/>
      <c r="I8067"/>
      <c r="J8067"/>
      <c r="K8067" s="1"/>
      <c r="L8067" s="2"/>
    </row>
    <row r="8068" spans="1:12" x14ac:dyDescent="0.2">
      <c r="A8068"/>
      <c r="B8068"/>
      <c r="C8068"/>
      <c r="D8068"/>
      <c r="E8068"/>
      <c r="F8068"/>
      <c r="G8068"/>
      <c r="H8068"/>
      <c r="I8068"/>
      <c r="J8068"/>
      <c r="K8068" s="1"/>
      <c r="L8068" s="2"/>
    </row>
    <row r="8069" spans="1:12" x14ac:dyDescent="0.2">
      <c r="A8069"/>
      <c r="B8069"/>
      <c r="C8069"/>
      <c r="D8069"/>
      <c r="E8069"/>
      <c r="F8069"/>
      <c r="G8069"/>
      <c r="H8069"/>
      <c r="I8069"/>
      <c r="J8069"/>
      <c r="K8069" s="1"/>
      <c r="L8069" s="2"/>
    </row>
    <row r="8070" spans="1:12" x14ac:dyDescent="0.2">
      <c r="A8070"/>
      <c r="B8070"/>
      <c r="C8070"/>
      <c r="D8070"/>
      <c r="E8070"/>
      <c r="F8070"/>
      <c r="G8070"/>
      <c r="H8070"/>
      <c r="I8070"/>
      <c r="J8070"/>
      <c r="K8070" s="1"/>
      <c r="L8070" s="2"/>
    </row>
    <row r="8071" spans="1:12" x14ac:dyDescent="0.2">
      <c r="A8071"/>
      <c r="B8071"/>
      <c r="C8071"/>
      <c r="D8071"/>
      <c r="E8071"/>
      <c r="F8071"/>
      <c r="G8071"/>
      <c r="H8071"/>
      <c r="I8071"/>
      <c r="J8071"/>
      <c r="K8071" s="1"/>
      <c r="L8071" s="2"/>
    </row>
    <row r="8072" spans="1:12" x14ac:dyDescent="0.2">
      <c r="A8072"/>
      <c r="B8072"/>
      <c r="C8072"/>
      <c r="D8072"/>
      <c r="E8072"/>
      <c r="F8072"/>
      <c r="G8072"/>
      <c r="H8072"/>
      <c r="I8072"/>
      <c r="J8072"/>
      <c r="K8072" s="1"/>
      <c r="L8072" s="2"/>
    </row>
    <row r="8073" spans="1:12" x14ac:dyDescent="0.2">
      <c r="A8073"/>
      <c r="B8073"/>
      <c r="C8073"/>
      <c r="D8073"/>
      <c r="E8073"/>
      <c r="F8073"/>
      <c r="G8073"/>
      <c r="H8073"/>
      <c r="I8073"/>
      <c r="J8073"/>
      <c r="K8073" s="1"/>
      <c r="L8073" s="2"/>
    </row>
    <row r="8074" spans="1:12" x14ac:dyDescent="0.2">
      <c r="A8074"/>
      <c r="B8074"/>
      <c r="C8074"/>
      <c r="D8074"/>
      <c r="E8074"/>
      <c r="F8074"/>
      <c r="G8074"/>
      <c r="H8074"/>
      <c r="I8074"/>
      <c r="J8074"/>
      <c r="K8074" s="1"/>
      <c r="L8074" s="2"/>
    </row>
    <row r="8075" spans="1:12" x14ac:dyDescent="0.2">
      <c r="A8075"/>
      <c r="B8075"/>
      <c r="C8075"/>
      <c r="D8075"/>
      <c r="E8075"/>
      <c r="F8075"/>
      <c r="G8075"/>
      <c r="H8075"/>
      <c r="I8075"/>
      <c r="J8075"/>
      <c r="K8075" s="1"/>
      <c r="L8075" s="2"/>
    </row>
    <row r="8076" spans="1:12" x14ac:dyDescent="0.2">
      <c r="A8076"/>
      <c r="B8076"/>
      <c r="C8076"/>
      <c r="D8076"/>
      <c r="E8076"/>
      <c r="F8076"/>
      <c r="G8076"/>
      <c r="H8076"/>
      <c r="I8076"/>
      <c r="J8076"/>
      <c r="K8076" s="1"/>
      <c r="L8076" s="2"/>
    </row>
    <row r="8077" spans="1:12" x14ac:dyDescent="0.2">
      <c r="A8077"/>
      <c r="B8077"/>
      <c r="C8077"/>
      <c r="D8077"/>
      <c r="E8077"/>
      <c r="F8077"/>
      <c r="G8077"/>
      <c r="H8077"/>
      <c r="I8077"/>
      <c r="J8077"/>
      <c r="K8077" s="1"/>
      <c r="L8077" s="2"/>
    </row>
    <row r="8078" spans="1:12" x14ac:dyDescent="0.2">
      <c r="A8078"/>
      <c r="B8078"/>
      <c r="C8078"/>
      <c r="D8078"/>
      <c r="E8078"/>
      <c r="F8078"/>
      <c r="G8078"/>
      <c r="H8078"/>
      <c r="I8078"/>
      <c r="J8078"/>
      <c r="K8078" s="1"/>
      <c r="L8078" s="2"/>
    </row>
    <row r="8079" spans="1:12" x14ac:dyDescent="0.2">
      <c r="A8079"/>
      <c r="B8079"/>
      <c r="C8079"/>
      <c r="D8079"/>
      <c r="E8079"/>
      <c r="F8079"/>
      <c r="G8079"/>
      <c r="H8079"/>
      <c r="I8079"/>
      <c r="J8079"/>
      <c r="K8079" s="1"/>
      <c r="L8079" s="2"/>
    </row>
    <row r="8080" spans="1:12" x14ac:dyDescent="0.2">
      <c r="A8080"/>
      <c r="B8080"/>
      <c r="C8080"/>
      <c r="D8080"/>
      <c r="E8080"/>
      <c r="F8080"/>
      <c r="G8080"/>
      <c r="H8080"/>
      <c r="I8080"/>
      <c r="J8080"/>
      <c r="K8080" s="1"/>
      <c r="L8080" s="2"/>
    </row>
    <row r="8081" spans="1:12" x14ac:dyDescent="0.2">
      <c r="A8081"/>
      <c r="B8081"/>
      <c r="C8081"/>
      <c r="D8081"/>
      <c r="E8081"/>
      <c r="F8081"/>
      <c r="G8081"/>
      <c r="H8081"/>
      <c r="I8081"/>
      <c r="J8081"/>
      <c r="K8081" s="1"/>
      <c r="L8081" s="2"/>
    </row>
    <row r="8082" spans="1:12" x14ac:dyDescent="0.2">
      <c r="A8082"/>
      <c r="B8082"/>
      <c r="C8082"/>
      <c r="D8082"/>
      <c r="E8082"/>
      <c r="F8082"/>
      <c r="G8082"/>
      <c r="H8082"/>
      <c r="I8082"/>
      <c r="J8082"/>
      <c r="K8082" s="1"/>
      <c r="L8082" s="2"/>
    </row>
    <row r="8083" spans="1:12" x14ac:dyDescent="0.2">
      <c r="A8083"/>
      <c r="B8083"/>
      <c r="C8083"/>
      <c r="D8083"/>
      <c r="E8083"/>
      <c r="F8083"/>
      <c r="G8083"/>
      <c r="H8083"/>
      <c r="I8083"/>
      <c r="J8083"/>
      <c r="K8083" s="1"/>
      <c r="L8083" s="2"/>
    </row>
    <row r="8084" spans="1:12" x14ac:dyDescent="0.2">
      <c r="A8084"/>
      <c r="B8084"/>
      <c r="C8084"/>
      <c r="D8084"/>
      <c r="E8084"/>
      <c r="F8084"/>
      <c r="G8084"/>
      <c r="H8084"/>
      <c r="I8084"/>
      <c r="J8084"/>
      <c r="K8084" s="1"/>
      <c r="L8084" s="2"/>
    </row>
    <row r="8085" spans="1:12" x14ac:dyDescent="0.2">
      <c r="A8085"/>
      <c r="B8085"/>
      <c r="C8085"/>
      <c r="D8085"/>
      <c r="E8085"/>
      <c r="F8085"/>
      <c r="G8085"/>
      <c r="H8085"/>
      <c r="I8085"/>
      <c r="J8085"/>
      <c r="K8085" s="1"/>
      <c r="L8085" s="2"/>
    </row>
    <row r="8086" spans="1:12" x14ac:dyDescent="0.2">
      <c r="A8086"/>
      <c r="B8086"/>
      <c r="C8086"/>
      <c r="D8086"/>
      <c r="E8086"/>
      <c r="F8086"/>
      <c r="G8086"/>
      <c r="H8086"/>
      <c r="I8086"/>
      <c r="J8086"/>
      <c r="K8086" s="1"/>
      <c r="L8086" s="2"/>
    </row>
    <row r="8087" spans="1:12" x14ac:dyDescent="0.2">
      <c r="A8087"/>
      <c r="B8087"/>
      <c r="C8087"/>
      <c r="D8087"/>
      <c r="E8087"/>
      <c r="F8087"/>
      <c r="G8087"/>
      <c r="H8087"/>
      <c r="I8087"/>
      <c r="J8087"/>
      <c r="K8087" s="1"/>
      <c r="L8087" s="2"/>
    </row>
    <row r="8088" spans="1:12" x14ac:dyDescent="0.2">
      <c r="A8088"/>
      <c r="B8088"/>
      <c r="C8088"/>
      <c r="D8088"/>
      <c r="E8088"/>
      <c r="F8088"/>
      <c r="G8088"/>
      <c r="H8088"/>
      <c r="I8088"/>
      <c r="J8088"/>
      <c r="K8088" s="1"/>
      <c r="L8088" s="2"/>
    </row>
    <row r="8089" spans="1:12" x14ac:dyDescent="0.2">
      <c r="A8089"/>
      <c r="B8089"/>
      <c r="C8089"/>
      <c r="D8089"/>
      <c r="E8089"/>
      <c r="F8089"/>
      <c r="G8089"/>
      <c r="H8089"/>
      <c r="I8089"/>
      <c r="J8089"/>
      <c r="K8089" s="1"/>
      <c r="L8089" s="2"/>
    </row>
    <row r="8090" spans="1:12" x14ac:dyDescent="0.2">
      <c r="A8090"/>
      <c r="B8090"/>
      <c r="C8090"/>
      <c r="D8090"/>
      <c r="E8090"/>
      <c r="F8090"/>
      <c r="G8090"/>
      <c r="H8090"/>
      <c r="I8090"/>
      <c r="J8090"/>
      <c r="K8090" s="1"/>
      <c r="L8090" s="2"/>
    </row>
    <row r="8091" spans="1:12" x14ac:dyDescent="0.2">
      <c r="A8091"/>
      <c r="B8091"/>
      <c r="C8091"/>
      <c r="D8091"/>
      <c r="E8091"/>
      <c r="F8091"/>
      <c r="G8091"/>
      <c r="H8091"/>
      <c r="I8091"/>
      <c r="J8091"/>
      <c r="K8091" s="1"/>
      <c r="L8091" s="2"/>
    </row>
    <row r="8092" spans="1:12" x14ac:dyDescent="0.2">
      <c r="A8092"/>
      <c r="B8092"/>
      <c r="C8092"/>
      <c r="D8092"/>
      <c r="E8092"/>
      <c r="F8092"/>
      <c r="G8092"/>
      <c r="H8092"/>
      <c r="I8092"/>
      <c r="J8092"/>
      <c r="K8092" s="1"/>
      <c r="L8092" s="2"/>
    </row>
    <row r="8093" spans="1:12" x14ac:dyDescent="0.2">
      <c r="A8093"/>
      <c r="B8093"/>
      <c r="C8093"/>
      <c r="D8093"/>
      <c r="E8093"/>
      <c r="F8093"/>
      <c r="G8093"/>
      <c r="H8093"/>
      <c r="I8093"/>
      <c r="J8093"/>
      <c r="K8093" s="1"/>
      <c r="L8093" s="2"/>
    </row>
    <row r="8094" spans="1:12" x14ac:dyDescent="0.2">
      <c r="A8094"/>
      <c r="B8094"/>
      <c r="C8094"/>
      <c r="D8094"/>
      <c r="E8094"/>
      <c r="F8094"/>
      <c r="G8094"/>
      <c r="H8094"/>
      <c r="I8094"/>
      <c r="J8094"/>
      <c r="K8094" s="1"/>
      <c r="L8094" s="2"/>
    </row>
    <row r="8095" spans="1:12" x14ac:dyDescent="0.2">
      <c r="A8095"/>
      <c r="B8095"/>
      <c r="C8095"/>
      <c r="D8095"/>
      <c r="E8095"/>
      <c r="F8095"/>
      <c r="G8095"/>
      <c r="H8095"/>
      <c r="I8095"/>
      <c r="J8095"/>
      <c r="K8095" s="1"/>
      <c r="L8095" s="2"/>
    </row>
    <row r="8096" spans="1:12" x14ac:dyDescent="0.2">
      <c r="A8096"/>
      <c r="B8096"/>
      <c r="C8096"/>
      <c r="D8096"/>
      <c r="E8096"/>
      <c r="F8096"/>
      <c r="G8096"/>
      <c r="H8096"/>
      <c r="I8096"/>
      <c r="J8096"/>
      <c r="K8096" s="1"/>
      <c r="L8096" s="2"/>
    </row>
    <row r="8097" spans="1:12" x14ac:dyDescent="0.2">
      <c r="A8097"/>
      <c r="B8097"/>
      <c r="C8097"/>
      <c r="D8097"/>
      <c r="E8097"/>
      <c r="F8097"/>
      <c r="G8097"/>
      <c r="H8097"/>
      <c r="I8097"/>
      <c r="J8097"/>
      <c r="K8097" s="1"/>
      <c r="L8097" s="2"/>
    </row>
    <row r="8098" spans="1:12" x14ac:dyDescent="0.2">
      <c r="A8098"/>
      <c r="B8098"/>
      <c r="C8098"/>
      <c r="D8098"/>
      <c r="E8098"/>
      <c r="F8098"/>
      <c r="G8098"/>
      <c r="H8098"/>
      <c r="I8098"/>
      <c r="J8098"/>
      <c r="K8098" s="1"/>
      <c r="L8098" s="2"/>
    </row>
    <row r="8099" spans="1:12" x14ac:dyDescent="0.2">
      <c r="A8099"/>
      <c r="B8099"/>
      <c r="C8099"/>
      <c r="D8099"/>
      <c r="E8099"/>
      <c r="F8099"/>
      <c r="G8099"/>
      <c r="H8099"/>
      <c r="I8099"/>
      <c r="J8099"/>
      <c r="K8099" s="1"/>
      <c r="L8099" s="2"/>
    </row>
    <row r="8100" spans="1:12" x14ac:dyDescent="0.2">
      <c r="A8100"/>
      <c r="B8100"/>
      <c r="C8100"/>
      <c r="D8100"/>
      <c r="E8100"/>
      <c r="F8100"/>
      <c r="G8100"/>
      <c r="H8100"/>
      <c r="I8100"/>
      <c r="J8100"/>
      <c r="K8100" s="1"/>
      <c r="L8100" s="2"/>
    </row>
    <row r="8101" spans="1:12" x14ac:dyDescent="0.2">
      <c r="A8101"/>
      <c r="B8101"/>
      <c r="C8101"/>
      <c r="D8101"/>
      <c r="E8101"/>
      <c r="F8101"/>
      <c r="G8101"/>
      <c r="H8101"/>
      <c r="I8101"/>
      <c r="J8101"/>
      <c r="K8101" s="1"/>
      <c r="L8101" s="2"/>
    </row>
    <row r="8102" spans="1:12" x14ac:dyDescent="0.2">
      <c r="A8102"/>
      <c r="B8102"/>
      <c r="C8102"/>
      <c r="D8102"/>
      <c r="E8102"/>
      <c r="F8102"/>
      <c r="G8102"/>
      <c r="H8102"/>
      <c r="I8102"/>
      <c r="J8102"/>
      <c r="K8102" s="1"/>
      <c r="L8102" s="2"/>
    </row>
    <row r="8103" spans="1:12" x14ac:dyDescent="0.2">
      <c r="A8103"/>
      <c r="B8103"/>
      <c r="C8103"/>
      <c r="D8103"/>
      <c r="E8103"/>
      <c r="F8103"/>
      <c r="G8103"/>
      <c r="H8103"/>
      <c r="I8103"/>
      <c r="J8103"/>
      <c r="K8103" s="1"/>
      <c r="L8103" s="2"/>
    </row>
    <row r="8104" spans="1:12" x14ac:dyDescent="0.2">
      <c r="A8104"/>
      <c r="B8104"/>
      <c r="C8104"/>
      <c r="D8104"/>
      <c r="E8104"/>
      <c r="F8104"/>
      <c r="G8104"/>
      <c r="H8104"/>
      <c r="I8104"/>
      <c r="J8104"/>
      <c r="K8104" s="1"/>
      <c r="L8104" s="2"/>
    </row>
    <row r="8105" spans="1:12" x14ac:dyDescent="0.2">
      <c r="A8105"/>
      <c r="B8105"/>
      <c r="C8105"/>
      <c r="D8105"/>
      <c r="E8105"/>
      <c r="F8105"/>
      <c r="G8105"/>
      <c r="H8105"/>
      <c r="I8105"/>
      <c r="J8105"/>
      <c r="K8105" s="1"/>
      <c r="L8105" s="2"/>
    </row>
    <row r="8106" spans="1:12" x14ac:dyDescent="0.2">
      <c r="A8106"/>
      <c r="B8106"/>
      <c r="C8106"/>
      <c r="D8106"/>
      <c r="E8106"/>
      <c r="F8106"/>
      <c r="G8106"/>
      <c r="H8106"/>
      <c r="I8106"/>
      <c r="J8106"/>
      <c r="K8106" s="1"/>
      <c r="L8106" s="2"/>
    </row>
    <row r="8107" spans="1:12" x14ac:dyDescent="0.2">
      <c r="A8107"/>
      <c r="B8107"/>
      <c r="C8107"/>
      <c r="D8107"/>
      <c r="E8107"/>
      <c r="F8107"/>
      <c r="G8107"/>
      <c r="H8107"/>
      <c r="I8107"/>
      <c r="J8107"/>
      <c r="K8107" s="1"/>
      <c r="L8107" s="2"/>
    </row>
    <row r="8108" spans="1:12" x14ac:dyDescent="0.2">
      <c r="A8108"/>
      <c r="B8108"/>
      <c r="C8108"/>
      <c r="D8108"/>
      <c r="E8108"/>
      <c r="F8108"/>
      <c r="G8108"/>
      <c r="H8108"/>
      <c r="I8108"/>
      <c r="J8108"/>
      <c r="K8108" s="1"/>
      <c r="L8108" s="2"/>
    </row>
    <row r="8109" spans="1:12" x14ac:dyDescent="0.2">
      <c r="A8109"/>
      <c r="B8109"/>
      <c r="C8109"/>
      <c r="D8109"/>
      <c r="E8109"/>
      <c r="F8109"/>
      <c r="G8109"/>
      <c r="H8109"/>
      <c r="I8109"/>
      <c r="J8109"/>
      <c r="K8109" s="1"/>
      <c r="L8109" s="2"/>
    </row>
    <row r="8110" spans="1:12" x14ac:dyDescent="0.2">
      <c r="A8110"/>
      <c r="B8110"/>
      <c r="C8110"/>
      <c r="D8110"/>
      <c r="E8110"/>
      <c r="F8110"/>
      <c r="G8110"/>
      <c r="H8110"/>
      <c r="I8110"/>
      <c r="J8110"/>
      <c r="K8110" s="1"/>
      <c r="L8110" s="2"/>
    </row>
    <row r="8111" spans="1:12" x14ac:dyDescent="0.2">
      <c r="A8111"/>
      <c r="B8111"/>
      <c r="C8111"/>
      <c r="D8111"/>
      <c r="E8111"/>
      <c r="F8111"/>
      <c r="G8111"/>
      <c r="H8111"/>
      <c r="I8111"/>
      <c r="J8111"/>
      <c r="K8111" s="1"/>
      <c r="L8111" s="2"/>
    </row>
    <row r="8112" spans="1:12" x14ac:dyDescent="0.2">
      <c r="A8112"/>
      <c r="B8112"/>
      <c r="C8112"/>
      <c r="D8112"/>
      <c r="E8112"/>
      <c r="F8112"/>
      <c r="G8112"/>
      <c r="H8112"/>
      <c r="I8112"/>
      <c r="J8112"/>
      <c r="K8112" s="1"/>
      <c r="L8112" s="2"/>
    </row>
    <row r="8113" spans="1:12" x14ac:dyDescent="0.2">
      <c r="A8113"/>
      <c r="B8113"/>
      <c r="C8113"/>
      <c r="D8113"/>
      <c r="E8113"/>
      <c r="F8113"/>
      <c r="G8113"/>
      <c r="H8113"/>
      <c r="I8113"/>
      <c r="J8113"/>
      <c r="K8113" s="1"/>
      <c r="L8113" s="2"/>
    </row>
    <row r="8114" spans="1:12" x14ac:dyDescent="0.2">
      <c r="A8114"/>
      <c r="B8114"/>
      <c r="C8114"/>
      <c r="D8114"/>
      <c r="E8114"/>
      <c r="F8114"/>
      <c r="G8114"/>
      <c r="H8114"/>
      <c r="I8114"/>
      <c r="J8114"/>
      <c r="K8114" s="1"/>
      <c r="L8114" s="2"/>
    </row>
    <row r="8115" spans="1:12" x14ac:dyDescent="0.2">
      <c r="A8115"/>
      <c r="B8115"/>
      <c r="C8115"/>
      <c r="D8115"/>
      <c r="E8115"/>
      <c r="F8115"/>
      <c r="G8115"/>
      <c r="H8115"/>
      <c r="I8115"/>
      <c r="J8115"/>
      <c r="K8115" s="1"/>
      <c r="L8115" s="2"/>
    </row>
    <row r="8116" spans="1:12" x14ac:dyDescent="0.2">
      <c r="A8116"/>
      <c r="B8116"/>
      <c r="C8116"/>
      <c r="D8116"/>
      <c r="E8116"/>
      <c r="F8116"/>
      <c r="G8116"/>
      <c r="H8116"/>
      <c r="I8116"/>
      <c r="J8116"/>
      <c r="K8116" s="1"/>
      <c r="L8116" s="2"/>
    </row>
    <row r="8117" spans="1:12" x14ac:dyDescent="0.2">
      <c r="A8117"/>
      <c r="B8117"/>
      <c r="C8117"/>
      <c r="D8117"/>
      <c r="E8117"/>
      <c r="F8117"/>
      <c r="G8117"/>
      <c r="H8117"/>
      <c r="I8117"/>
      <c r="J8117"/>
      <c r="K8117" s="1"/>
      <c r="L8117" s="2"/>
    </row>
    <row r="8118" spans="1:12" x14ac:dyDescent="0.2">
      <c r="A8118"/>
      <c r="B8118"/>
      <c r="C8118"/>
      <c r="D8118"/>
      <c r="E8118"/>
      <c r="F8118"/>
      <c r="G8118"/>
      <c r="H8118"/>
      <c r="I8118"/>
      <c r="J8118"/>
      <c r="K8118" s="1"/>
      <c r="L8118" s="2"/>
    </row>
    <row r="8119" spans="1:12" x14ac:dyDescent="0.2">
      <c r="A8119"/>
      <c r="B8119"/>
      <c r="C8119"/>
      <c r="D8119"/>
      <c r="E8119"/>
      <c r="F8119"/>
      <c r="G8119"/>
      <c r="H8119"/>
      <c r="I8119"/>
      <c r="J8119"/>
      <c r="K8119" s="1"/>
      <c r="L8119" s="2"/>
    </row>
    <row r="8120" spans="1:12" x14ac:dyDescent="0.2">
      <c r="A8120"/>
      <c r="B8120"/>
      <c r="C8120"/>
      <c r="D8120"/>
      <c r="E8120"/>
      <c r="F8120"/>
      <c r="G8120"/>
      <c r="H8120"/>
      <c r="I8120"/>
      <c r="J8120"/>
      <c r="K8120" s="1"/>
      <c r="L8120" s="2"/>
    </row>
    <row r="8121" spans="1:12" x14ac:dyDescent="0.2">
      <c r="A8121"/>
      <c r="B8121"/>
      <c r="C8121"/>
      <c r="D8121"/>
      <c r="E8121"/>
      <c r="F8121"/>
      <c r="G8121"/>
      <c r="H8121"/>
      <c r="I8121"/>
      <c r="J8121"/>
      <c r="K8121" s="1"/>
      <c r="L8121" s="2"/>
    </row>
    <row r="8122" spans="1:12" x14ac:dyDescent="0.2">
      <c r="A8122"/>
      <c r="B8122"/>
      <c r="C8122"/>
      <c r="D8122"/>
      <c r="E8122"/>
      <c r="F8122"/>
      <c r="G8122"/>
      <c r="H8122"/>
      <c r="I8122"/>
      <c r="J8122"/>
      <c r="K8122" s="1"/>
      <c r="L8122" s="2"/>
    </row>
    <row r="8123" spans="1:12" x14ac:dyDescent="0.2">
      <c r="A8123"/>
      <c r="B8123"/>
      <c r="C8123"/>
      <c r="D8123"/>
      <c r="E8123"/>
      <c r="F8123"/>
      <c r="G8123"/>
      <c r="H8123"/>
      <c r="I8123"/>
      <c r="J8123"/>
      <c r="K8123" s="1"/>
      <c r="L8123" s="2"/>
    </row>
    <row r="8124" spans="1:12" x14ac:dyDescent="0.2">
      <c r="A8124"/>
      <c r="B8124"/>
      <c r="C8124"/>
      <c r="D8124"/>
      <c r="E8124"/>
      <c r="F8124"/>
      <c r="G8124"/>
      <c r="H8124"/>
      <c r="I8124"/>
      <c r="J8124"/>
      <c r="K8124" s="1"/>
      <c r="L8124" s="2"/>
    </row>
    <row r="8125" spans="1:12" x14ac:dyDescent="0.2">
      <c r="A8125"/>
      <c r="B8125"/>
      <c r="C8125"/>
      <c r="D8125"/>
      <c r="E8125"/>
      <c r="F8125"/>
      <c r="G8125"/>
      <c r="H8125"/>
      <c r="I8125"/>
      <c r="J8125"/>
      <c r="K8125" s="1"/>
      <c r="L8125" s="2"/>
    </row>
    <row r="8126" spans="1:12" x14ac:dyDescent="0.2">
      <c r="A8126"/>
      <c r="B8126"/>
      <c r="C8126"/>
      <c r="D8126"/>
      <c r="E8126"/>
      <c r="F8126"/>
      <c r="G8126"/>
      <c r="H8126"/>
      <c r="I8126"/>
      <c r="J8126"/>
      <c r="K8126" s="1"/>
      <c r="L8126" s="2"/>
    </row>
    <row r="8127" spans="1:12" x14ac:dyDescent="0.2">
      <c r="A8127"/>
      <c r="B8127"/>
      <c r="C8127"/>
      <c r="D8127"/>
      <c r="E8127"/>
      <c r="F8127"/>
      <c r="G8127"/>
      <c r="H8127"/>
      <c r="I8127"/>
      <c r="J8127"/>
      <c r="K8127" s="1"/>
      <c r="L8127" s="2"/>
    </row>
    <row r="8128" spans="1:12" x14ac:dyDescent="0.2">
      <c r="A8128"/>
      <c r="B8128"/>
      <c r="C8128"/>
      <c r="D8128"/>
      <c r="E8128"/>
      <c r="F8128"/>
      <c r="G8128"/>
      <c r="H8128"/>
      <c r="I8128"/>
      <c r="J8128"/>
      <c r="K8128" s="1"/>
      <c r="L8128" s="2"/>
    </row>
    <row r="8129" spans="1:12" x14ac:dyDescent="0.2">
      <c r="A8129"/>
      <c r="B8129"/>
      <c r="C8129"/>
      <c r="D8129"/>
      <c r="E8129"/>
      <c r="F8129"/>
      <c r="G8129"/>
      <c r="H8129"/>
      <c r="I8129"/>
      <c r="J8129"/>
      <c r="K8129" s="1"/>
      <c r="L8129" s="2"/>
    </row>
    <row r="8130" spans="1:12" x14ac:dyDescent="0.2">
      <c r="A8130"/>
      <c r="B8130"/>
      <c r="C8130"/>
      <c r="D8130"/>
      <c r="E8130"/>
      <c r="F8130"/>
      <c r="G8130"/>
      <c r="H8130"/>
      <c r="I8130"/>
      <c r="J8130"/>
      <c r="K8130" s="1"/>
      <c r="L8130" s="2"/>
    </row>
    <row r="8131" spans="1:12" x14ac:dyDescent="0.2">
      <c r="A8131"/>
      <c r="B8131"/>
      <c r="C8131"/>
      <c r="D8131"/>
      <c r="E8131"/>
      <c r="F8131"/>
      <c r="G8131"/>
      <c r="H8131"/>
      <c r="I8131"/>
      <c r="J8131"/>
      <c r="K8131" s="1"/>
      <c r="L8131" s="2"/>
    </row>
    <row r="8132" spans="1:12" x14ac:dyDescent="0.2">
      <c r="A8132"/>
      <c r="B8132"/>
      <c r="C8132"/>
      <c r="D8132"/>
      <c r="E8132"/>
      <c r="F8132"/>
      <c r="G8132"/>
      <c r="H8132"/>
      <c r="I8132"/>
      <c r="J8132"/>
      <c r="K8132" s="1"/>
      <c r="L8132" s="2"/>
    </row>
    <row r="8133" spans="1:12" x14ac:dyDescent="0.2">
      <c r="A8133"/>
      <c r="B8133"/>
      <c r="C8133"/>
      <c r="D8133"/>
      <c r="E8133"/>
      <c r="F8133"/>
      <c r="G8133"/>
      <c r="H8133"/>
      <c r="I8133"/>
      <c r="J8133"/>
      <c r="K8133" s="1"/>
      <c r="L8133" s="2"/>
    </row>
    <row r="8134" spans="1:12" x14ac:dyDescent="0.2">
      <c r="A8134"/>
      <c r="B8134"/>
      <c r="C8134"/>
      <c r="D8134"/>
      <c r="E8134"/>
      <c r="F8134"/>
      <c r="G8134"/>
      <c r="H8134"/>
      <c r="I8134"/>
      <c r="J8134"/>
      <c r="K8134" s="1"/>
      <c r="L8134" s="2"/>
    </row>
    <row r="8135" spans="1:12" x14ac:dyDescent="0.2">
      <c r="A8135"/>
      <c r="B8135"/>
      <c r="C8135"/>
      <c r="D8135"/>
      <c r="E8135"/>
      <c r="F8135"/>
      <c r="G8135"/>
      <c r="H8135"/>
      <c r="I8135"/>
      <c r="J8135"/>
      <c r="K8135" s="1"/>
      <c r="L8135" s="2"/>
    </row>
    <row r="8136" spans="1:12" x14ac:dyDescent="0.2">
      <c r="A8136"/>
      <c r="B8136"/>
      <c r="C8136"/>
      <c r="D8136"/>
      <c r="E8136"/>
      <c r="F8136"/>
      <c r="G8136"/>
      <c r="H8136"/>
      <c r="I8136"/>
      <c r="J8136"/>
      <c r="K8136" s="1"/>
      <c r="L8136" s="2"/>
    </row>
    <row r="8137" spans="1:12" x14ac:dyDescent="0.2">
      <c r="A8137"/>
      <c r="B8137"/>
      <c r="C8137"/>
      <c r="D8137"/>
      <c r="E8137"/>
      <c r="F8137"/>
      <c r="G8137"/>
      <c r="H8137"/>
      <c r="I8137"/>
      <c r="J8137"/>
      <c r="K8137" s="1"/>
      <c r="L8137" s="2"/>
    </row>
    <row r="8138" spans="1:12" x14ac:dyDescent="0.2">
      <c r="A8138"/>
      <c r="B8138"/>
      <c r="C8138"/>
      <c r="D8138"/>
      <c r="E8138"/>
      <c r="F8138"/>
      <c r="G8138"/>
      <c r="H8138"/>
      <c r="I8138"/>
      <c r="J8138"/>
      <c r="K8138" s="1"/>
      <c r="L8138" s="2"/>
    </row>
    <row r="8139" spans="1:12" x14ac:dyDescent="0.2">
      <c r="A8139"/>
      <c r="B8139"/>
      <c r="C8139"/>
      <c r="D8139"/>
      <c r="E8139"/>
      <c r="F8139"/>
      <c r="G8139"/>
      <c r="H8139"/>
      <c r="I8139"/>
      <c r="J8139"/>
      <c r="K8139" s="1"/>
      <c r="L8139" s="2"/>
    </row>
    <row r="8140" spans="1:12" x14ac:dyDescent="0.2">
      <c r="A8140"/>
      <c r="B8140"/>
      <c r="C8140"/>
      <c r="D8140"/>
      <c r="E8140"/>
      <c r="F8140"/>
      <c r="G8140"/>
      <c r="H8140"/>
      <c r="I8140"/>
      <c r="J8140"/>
      <c r="K8140" s="1"/>
      <c r="L8140" s="2"/>
    </row>
    <row r="8141" spans="1:12" x14ac:dyDescent="0.2">
      <c r="A8141"/>
      <c r="B8141"/>
      <c r="C8141"/>
      <c r="D8141"/>
      <c r="E8141"/>
      <c r="F8141"/>
      <c r="G8141"/>
      <c r="H8141"/>
      <c r="I8141"/>
      <c r="J8141"/>
      <c r="K8141" s="1"/>
      <c r="L8141" s="2"/>
    </row>
    <row r="8142" spans="1:12" x14ac:dyDescent="0.2">
      <c r="A8142"/>
      <c r="B8142"/>
      <c r="C8142"/>
      <c r="D8142"/>
      <c r="E8142"/>
      <c r="F8142"/>
      <c r="G8142"/>
      <c r="H8142"/>
      <c r="I8142"/>
      <c r="J8142"/>
      <c r="K8142" s="1"/>
      <c r="L8142" s="2"/>
    </row>
    <row r="8143" spans="1:12" x14ac:dyDescent="0.2">
      <c r="A8143"/>
      <c r="B8143"/>
      <c r="C8143"/>
      <c r="D8143"/>
      <c r="E8143"/>
      <c r="F8143"/>
      <c r="G8143"/>
      <c r="H8143"/>
      <c r="I8143"/>
      <c r="J8143"/>
      <c r="K8143" s="1"/>
      <c r="L8143" s="2"/>
    </row>
    <row r="8144" spans="1:12" x14ac:dyDescent="0.2">
      <c r="A8144"/>
      <c r="B8144"/>
      <c r="C8144"/>
      <c r="D8144"/>
      <c r="E8144"/>
      <c r="F8144"/>
      <c r="G8144"/>
      <c r="H8144"/>
      <c r="I8144"/>
      <c r="J8144"/>
      <c r="K8144" s="1"/>
      <c r="L8144" s="2"/>
    </row>
    <row r="8145" spans="1:12" x14ac:dyDescent="0.2">
      <c r="A8145"/>
      <c r="B8145"/>
      <c r="C8145"/>
      <c r="D8145"/>
      <c r="E8145"/>
      <c r="F8145"/>
      <c r="G8145"/>
      <c r="H8145"/>
      <c r="I8145"/>
      <c r="J8145"/>
      <c r="K8145" s="1"/>
      <c r="L8145" s="2"/>
    </row>
    <row r="8146" spans="1:12" x14ac:dyDescent="0.2">
      <c r="A8146"/>
      <c r="B8146"/>
      <c r="C8146"/>
      <c r="D8146"/>
      <c r="E8146"/>
      <c r="F8146"/>
      <c r="G8146"/>
      <c r="H8146"/>
      <c r="I8146"/>
      <c r="J8146"/>
      <c r="K8146" s="1"/>
      <c r="L8146" s="2"/>
    </row>
    <row r="8147" spans="1:12" x14ac:dyDescent="0.2">
      <c r="A8147"/>
      <c r="B8147"/>
      <c r="C8147"/>
      <c r="D8147"/>
      <c r="E8147"/>
      <c r="F8147"/>
      <c r="G8147"/>
      <c r="H8147"/>
      <c r="I8147"/>
      <c r="J8147"/>
      <c r="K8147" s="1"/>
      <c r="L8147" s="2"/>
    </row>
    <row r="8148" spans="1:12" x14ac:dyDescent="0.2">
      <c r="A8148"/>
      <c r="B8148"/>
      <c r="C8148"/>
      <c r="D8148"/>
      <c r="E8148"/>
      <c r="F8148"/>
      <c r="G8148"/>
      <c r="H8148"/>
      <c r="I8148"/>
      <c r="J8148"/>
      <c r="K8148" s="1"/>
      <c r="L8148" s="2"/>
    </row>
    <row r="8149" spans="1:12" x14ac:dyDescent="0.2">
      <c r="A8149"/>
      <c r="B8149"/>
      <c r="C8149"/>
      <c r="D8149"/>
      <c r="E8149"/>
      <c r="F8149"/>
      <c r="G8149"/>
      <c r="H8149"/>
      <c r="I8149"/>
      <c r="J8149"/>
      <c r="K8149" s="1"/>
      <c r="L8149" s="2"/>
    </row>
    <row r="8150" spans="1:12" x14ac:dyDescent="0.2">
      <c r="A8150"/>
      <c r="B8150"/>
      <c r="C8150"/>
      <c r="D8150"/>
      <c r="E8150"/>
      <c r="F8150"/>
      <c r="G8150"/>
      <c r="H8150"/>
      <c r="I8150"/>
      <c r="J8150"/>
      <c r="K8150" s="1"/>
      <c r="L8150" s="2"/>
    </row>
    <row r="8151" spans="1:12" x14ac:dyDescent="0.2">
      <c r="A8151"/>
      <c r="B8151"/>
      <c r="C8151"/>
      <c r="D8151"/>
      <c r="E8151"/>
      <c r="F8151"/>
      <c r="G8151"/>
      <c r="H8151"/>
      <c r="I8151"/>
      <c r="J8151"/>
      <c r="K8151" s="1"/>
      <c r="L8151" s="2"/>
    </row>
    <row r="8152" spans="1:12" x14ac:dyDescent="0.2">
      <c r="A8152"/>
      <c r="B8152"/>
      <c r="C8152"/>
      <c r="D8152"/>
      <c r="E8152"/>
      <c r="F8152"/>
      <c r="G8152"/>
      <c r="H8152"/>
      <c r="I8152"/>
      <c r="J8152"/>
      <c r="K8152" s="1"/>
      <c r="L8152" s="2"/>
    </row>
    <row r="8153" spans="1:12" x14ac:dyDescent="0.2">
      <c r="A8153"/>
      <c r="B8153"/>
      <c r="C8153"/>
      <c r="D8153"/>
      <c r="E8153"/>
      <c r="F8153"/>
      <c r="G8153"/>
      <c r="H8153"/>
      <c r="I8153"/>
      <c r="J8153"/>
      <c r="K8153" s="1"/>
      <c r="L8153" s="2"/>
    </row>
    <row r="8154" spans="1:12" x14ac:dyDescent="0.2">
      <c r="A8154"/>
      <c r="B8154"/>
      <c r="C8154"/>
      <c r="D8154"/>
      <c r="E8154"/>
      <c r="F8154"/>
      <c r="G8154"/>
      <c r="H8154"/>
      <c r="I8154"/>
      <c r="J8154"/>
      <c r="K8154" s="1"/>
      <c r="L8154" s="2"/>
    </row>
    <row r="8155" spans="1:12" x14ac:dyDescent="0.2">
      <c r="A8155"/>
      <c r="B8155"/>
      <c r="C8155"/>
      <c r="D8155"/>
      <c r="E8155"/>
      <c r="F8155"/>
      <c r="G8155"/>
      <c r="H8155"/>
      <c r="I8155"/>
      <c r="J8155"/>
      <c r="K8155" s="1"/>
      <c r="L8155" s="2"/>
    </row>
    <row r="8156" spans="1:12" x14ac:dyDescent="0.2">
      <c r="A8156"/>
      <c r="B8156"/>
      <c r="C8156"/>
      <c r="D8156"/>
      <c r="E8156"/>
      <c r="F8156"/>
      <c r="G8156"/>
      <c r="H8156"/>
      <c r="I8156"/>
      <c r="J8156"/>
      <c r="K8156" s="1"/>
      <c r="L8156" s="2"/>
    </row>
    <row r="8157" spans="1:12" x14ac:dyDescent="0.2">
      <c r="A8157"/>
      <c r="B8157"/>
      <c r="C8157"/>
      <c r="D8157"/>
      <c r="E8157"/>
      <c r="F8157"/>
      <c r="G8157"/>
      <c r="H8157"/>
      <c r="I8157"/>
      <c r="J8157"/>
      <c r="K8157" s="1"/>
      <c r="L8157" s="2"/>
    </row>
    <row r="8158" spans="1:12" x14ac:dyDescent="0.2">
      <c r="A8158"/>
      <c r="B8158"/>
      <c r="C8158"/>
      <c r="D8158"/>
      <c r="E8158"/>
      <c r="F8158"/>
      <c r="G8158"/>
      <c r="H8158"/>
      <c r="I8158"/>
      <c r="J8158"/>
      <c r="K8158" s="1"/>
      <c r="L8158" s="2"/>
    </row>
    <row r="8159" spans="1:12" x14ac:dyDescent="0.2">
      <c r="A8159"/>
      <c r="B8159"/>
      <c r="C8159"/>
      <c r="D8159"/>
      <c r="E8159"/>
      <c r="F8159"/>
      <c r="G8159"/>
      <c r="H8159"/>
      <c r="I8159"/>
      <c r="J8159"/>
      <c r="K8159" s="1"/>
      <c r="L8159" s="2"/>
    </row>
    <row r="8160" spans="1:12" x14ac:dyDescent="0.2">
      <c r="A8160"/>
      <c r="B8160"/>
      <c r="C8160"/>
      <c r="D8160"/>
      <c r="E8160"/>
      <c r="F8160"/>
      <c r="G8160"/>
      <c r="H8160"/>
      <c r="I8160"/>
      <c r="J8160"/>
      <c r="K8160" s="1"/>
      <c r="L8160" s="2"/>
    </row>
    <row r="8161" spans="1:12" x14ac:dyDescent="0.2">
      <c r="A8161"/>
      <c r="B8161"/>
      <c r="C8161"/>
      <c r="D8161"/>
      <c r="E8161"/>
      <c r="F8161"/>
      <c r="G8161"/>
      <c r="H8161"/>
      <c r="I8161"/>
      <c r="J8161"/>
      <c r="K8161" s="1"/>
      <c r="L8161" s="2"/>
    </row>
    <row r="8162" spans="1:12" x14ac:dyDescent="0.2">
      <c r="A8162"/>
      <c r="B8162"/>
      <c r="C8162"/>
      <c r="D8162"/>
      <c r="E8162"/>
      <c r="F8162"/>
      <c r="G8162"/>
      <c r="H8162"/>
      <c r="I8162"/>
      <c r="J8162"/>
      <c r="K8162" s="1"/>
      <c r="L8162" s="2"/>
    </row>
    <row r="8163" spans="1:12" x14ac:dyDescent="0.2">
      <c r="A8163"/>
      <c r="B8163"/>
      <c r="C8163"/>
      <c r="D8163"/>
      <c r="E8163"/>
      <c r="F8163"/>
      <c r="G8163"/>
      <c r="H8163"/>
      <c r="I8163"/>
      <c r="J8163"/>
      <c r="K8163" s="1"/>
      <c r="L8163" s="2"/>
    </row>
    <row r="8164" spans="1:12" x14ac:dyDescent="0.2">
      <c r="A8164"/>
      <c r="B8164"/>
      <c r="C8164"/>
      <c r="D8164"/>
      <c r="E8164"/>
      <c r="F8164"/>
      <c r="G8164"/>
      <c r="H8164"/>
      <c r="I8164"/>
      <c r="J8164"/>
      <c r="K8164" s="1"/>
      <c r="L8164" s="2"/>
    </row>
    <row r="8165" spans="1:12" x14ac:dyDescent="0.2">
      <c r="A8165"/>
      <c r="B8165"/>
      <c r="C8165"/>
      <c r="D8165"/>
      <c r="E8165"/>
      <c r="F8165"/>
      <c r="G8165"/>
      <c r="H8165"/>
      <c r="I8165"/>
      <c r="J8165"/>
      <c r="K8165" s="1"/>
      <c r="L8165" s="2"/>
    </row>
    <row r="8166" spans="1:12" x14ac:dyDescent="0.2">
      <c r="A8166"/>
      <c r="B8166"/>
      <c r="C8166"/>
      <c r="D8166"/>
      <c r="E8166"/>
      <c r="F8166"/>
      <c r="G8166"/>
      <c r="H8166"/>
      <c r="I8166"/>
      <c r="J8166"/>
      <c r="K8166" s="1"/>
      <c r="L8166" s="2"/>
    </row>
    <row r="8167" spans="1:12" x14ac:dyDescent="0.2">
      <c r="A8167"/>
      <c r="B8167"/>
      <c r="C8167"/>
      <c r="D8167"/>
      <c r="E8167"/>
      <c r="F8167"/>
      <c r="G8167"/>
      <c r="H8167"/>
      <c r="I8167"/>
      <c r="J8167"/>
      <c r="K8167" s="1"/>
      <c r="L8167" s="2"/>
    </row>
    <row r="8168" spans="1:12" x14ac:dyDescent="0.2">
      <c r="A8168"/>
      <c r="B8168"/>
      <c r="C8168"/>
      <c r="D8168"/>
      <c r="E8168"/>
      <c r="F8168"/>
      <c r="G8168"/>
      <c r="H8168"/>
      <c r="I8168"/>
      <c r="J8168"/>
      <c r="K8168" s="1"/>
      <c r="L8168" s="2"/>
    </row>
    <row r="8169" spans="1:12" x14ac:dyDescent="0.2">
      <c r="A8169"/>
      <c r="B8169"/>
      <c r="C8169"/>
      <c r="D8169"/>
      <c r="E8169"/>
      <c r="F8169"/>
      <c r="G8169"/>
      <c r="H8169"/>
      <c r="I8169"/>
      <c r="J8169"/>
      <c r="K8169" s="1"/>
      <c r="L8169" s="2"/>
    </row>
    <row r="8170" spans="1:12" x14ac:dyDescent="0.2">
      <c r="A8170"/>
      <c r="B8170"/>
      <c r="C8170"/>
      <c r="D8170"/>
      <c r="E8170"/>
      <c r="F8170"/>
      <c r="G8170"/>
      <c r="H8170"/>
      <c r="I8170"/>
      <c r="J8170"/>
      <c r="K8170" s="1"/>
      <c r="L8170" s="2"/>
    </row>
    <row r="8171" spans="1:12" x14ac:dyDescent="0.2">
      <c r="A8171"/>
      <c r="B8171"/>
      <c r="C8171"/>
      <c r="D8171"/>
      <c r="E8171"/>
      <c r="F8171"/>
      <c r="G8171"/>
      <c r="H8171"/>
      <c r="I8171"/>
      <c r="J8171"/>
      <c r="K8171" s="1"/>
      <c r="L8171" s="2"/>
    </row>
    <row r="8172" spans="1:12" x14ac:dyDescent="0.2">
      <c r="A8172"/>
      <c r="B8172"/>
      <c r="C8172"/>
      <c r="D8172"/>
      <c r="E8172"/>
      <c r="F8172"/>
      <c r="G8172"/>
      <c r="H8172"/>
      <c r="I8172"/>
      <c r="J8172"/>
      <c r="K8172" s="1"/>
      <c r="L8172" s="2"/>
    </row>
    <row r="8173" spans="1:12" x14ac:dyDescent="0.2">
      <c r="A8173"/>
      <c r="B8173"/>
      <c r="C8173"/>
      <c r="D8173"/>
      <c r="E8173"/>
      <c r="F8173"/>
      <c r="G8173"/>
      <c r="H8173"/>
      <c r="I8173"/>
      <c r="J8173"/>
      <c r="K8173" s="1"/>
      <c r="L8173" s="2"/>
    </row>
    <row r="8174" spans="1:12" x14ac:dyDescent="0.2">
      <c r="A8174"/>
      <c r="B8174"/>
      <c r="C8174"/>
      <c r="D8174"/>
      <c r="E8174"/>
      <c r="F8174"/>
      <c r="G8174"/>
      <c r="H8174"/>
      <c r="I8174"/>
      <c r="J8174"/>
      <c r="K8174" s="1"/>
      <c r="L8174" s="2"/>
    </row>
    <row r="8175" spans="1:12" x14ac:dyDescent="0.2">
      <c r="A8175"/>
      <c r="B8175"/>
      <c r="C8175"/>
      <c r="D8175"/>
      <c r="E8175"/>
      <c r="F8175"/>
      <c r="G8175"/>
      <c r="H8175"/>
      <c r="I8175"/>
      <c r="J8175"/>
      <c r="K8175" s="1"/>
      <c r="L8175" s="2"/>
    </row>
    <row r="8176" spans="1:12" x14ac:dyDescent="0.2">
      <c r="A8176"/>
      <c r="B8176"/>
      <c r="C8176"/>
      <c r="D8176"/>
      <c r="E8176"/>
      <c r="F8176"/>
      <c r="G8176"/>
      <c r="H8176"/>
      <c r="I8176"/>
      <c r="J8176"/>
      <c r="K8176" s="1"/>
      <c r="L8176" s="2"/>
    </row>
    <row r="8177" spans="1:12" x14ac:dyDescent="0.2">
      <c r="A8177"/>
      <c r="B8177"/>
      <c r="C8177"/>
      <c r="D8177"/>
      <c r="E8177"/>
      <c r="F8177"/>
      <c r="G8177"/>
      <c r="H8177"/>
      <c r="I8177"/>
      <c r="J8177"/>
      <c r="K8177" s="1"/>
      <c r="L8177" s="2"/>
    </row>
    <row r="8178" spans="1:12" x14ac:dyDescent="0.2">
      <c r="A8178"/>
      <c r="B8178"/>
      <c r="C8178"/>
      <c r="D8178"/>
      <c r="E8178"/>
      <c r="F8178"/>
      <c r="G8178"/>
      <c r="H8178"/>
      <c r="I8178"/>
      <c r="J8178"/>
      <c r="K8178" s="1"/>
      <c r="L8178" s="2"/>
    </row>
    <row r="8179" spans="1:12" x14ac:dyDescent="0.2">
      <c r="A8179"/>
      <c r="B8179"/>
      <c r="C8179"/>
      <c r="D8179"/>
      <c r="E8179"/>
      <c r="F8179"/>
      <c r="G8179"/>
      <c r="H8179"/>
      <c r="I8179"/>
      <c r="J8179"/>
      <c r="K8179" s="1"/>
      <c r="L8179" s="2"/>
    </row>
    <row r="8180" spans="1:12" x14ac:dyDescent="0.2">
      <c r="A8180"/>
      <c r="B8180"/>
      <c r="C8180"/>
      <c r="D8180"/>
      <c r="E8180"/>
      <c r="F8180"/>
      <c r="G8180"/>
      <c r="H8180"/>
      <c r="I8180"/>
      <c r="J8180"/>
      <c r="K8180" s="1"/>
      <c r="L8180" s="2"/>
    </row>
    <row r="8181" spans="1:12" x14ac:dyDescent="0.2">
      <c r="A8181"/>
      <c r="B8181"/>
      <c r="C8181"/>
      <c r="D8181"/>
      <c r="E8181"/>
      <c r="F8181"/>
      <c r="G8181"/>
      <c r="H8181"/>
      <c r="I8181"/>
      <c r="J8181"/>
      <c r="K8181" s="1"/>
      <c r="L8181" s="2"/>
    </row>
    <row r="8182" spans="1:12" x14ac:dyDescent="0.2">
      <c r="A8182"/>
      <c r="B8182"/>
      <c r="C8182"/>
      <c r="D8182"/>
      <c r="E8182"/>
      <c r="F8182"/>
      <c r="G8182"/>
      <c r="H8182"/>
      <c r="I8182"/>
      <c r="J8182"/>
      <c r="K8182" s="1"/>
      <c r="L8182" s="2"/>
    </row>
    <row r="8183" spans="1:12" x14ac:dyDescent="0.2">
      <c r="A8183"/>
      <c r="B8183"/>
      <c r="C8183"/>
      <c r="D8183"/>
      <c r="E8183"/>
      <c r="F8183"/>
      <c r="G8183"/>
      <c r="H8183"/>
      <c r="I8183"/>
      <c r="J8183"/>
      <c r="K8183" s="1"/>
      <c r="L8183" s="2"/>
    </row>
    <row r="8184" spans="1:12" x14ac:dyDescent="0.2">
      <c r="A8184"/>
      <c r="B8184"/>
      <c r="C8184"/>
      <c r="D8184"/>
      <c r="E8184"/>
      <c r="F8184"/>
      <c r="G8184"/>
      <c r="H8184"/>
      <c r="I8184"/>
      <c r="J8184"/>
      <c r="K8184" s="1"/>
      <c r="L8184" s="2"/>
    </row>
    <row r="8185" spans="1:12" x14ac:dyDescent="0.2">
      <c r="A8185"/>
      <c r="B8185"/>
      <c r="C8185"/>
      <c r="D8185"/>
      <c r="E8185"/>
      <c r="F8185"/>
      <c r="G8185"/>
      <c r="H8185"/>
      <c r="I8185"/>
      <c r="J8185"/>
      <c r="K8185" s="1"/>
      <c r="L8185" s="2"/>
    </row>
    <row r="8186" spans="1:12" x14ac:dyDescent="0.2">
      <c r="A8186"/>
      <c r="B8186"/>
      <c r="C8186"/>
      <c r="D8186"/>
      <c r="E8186"/>
      <c r="F8186"/>
      <c r="G8186"/>
      <c r="H8186"/>
      <c r="I8186"/>
      <c r="J8186"/>
      <c r="K8186" s="1"/>
      <c r="L8186" s="2"/>
    </row>
    <row r="8187" spans="1:12" x14ac:dyDescent="0.2">
      <c r="A8187"/>
      <c r="B8187"/>
      <c r="C8187"/>
      <c r="D8187"/>
      <c r="E8187"/>
      <c r="F8187"/>
      <c r="G8187"/>
      <c r="H8187"/>
      <c r="I8187"/>
      <c r="J8187"/>
      <c r="K8187" s="1"/>
      <c r="L8187" s="2"/>
    </row>
    <row r="8188" spans="1:12" x14ac:dyDescent="0.2">
      <c r="A8188"/>
      <c r="B8188"/>
      <c r="C8188"/>
      <c r="D8188"/>
      <c r="E8188"/>
      <c r="F8188"/>
      <c r="G8188"/>
      <c r="H8188"/>
      <c r="I8188"/>
      <c r="J8188"/>
      <c r="K8188" s="1"/>
      <c r="L8188" s="2"/>
    </row>
    <row r="8189" spans="1:12" x14ac:dyDescent="0.2">
      <c r="A8189"/>
      <c r="B8189"/>
      <c r="C8189"/>
      <c r="D8189"/>
      <c r="E8189"/>
      <c r="F8189"/>
      <c r="G8189"/>
      <c r="H8189"/>
      <c r="I8189"/>
      <c r="J8189"/>
      <c r="K8189" s="1"/>
      <c r="L8189" s="2"/>
    </row>
    <row r="8190" spans="1:12" x14ac:dyDescent="0.2">
      <c r="A8190"/>
      <c r="B8190"/>
      <c r="C8190"/>
      <c r="D8190"/>
      <c r="E8190"/>
      <c r="F8190"/>
      <c r="G8190"/>
      <c r="H8190"/>
      <c r="I8190"/>
      <c r="J8190"/>
      <c r="K8190" s="1"/>
      <c r="L8190" s="2"/>
    </row>
    <row r="8191" spans="1:12" x14ac:dyDescent="0.2">
      <c r="A8191"/>
      <c r="B8191"/>
      <c r="C8191"/>
      <c r="D8191"/>
      <c r="E8191"/>
      <c r="F8191"/>
      <c r="G8191"/>
      <c r="H8191"/>
      <c r="I8191"/>
      <c r="J8191"/>
      <c r="K8191" s="1"/>
      <c r="L8191" s="2"/>
    </row>
    <row r="8192" spans="1:12" x14ac:dyDescent="0.2">
      <c r="A8192"/>
      <c r="B8192"/>
      <c r="C8192"/>
      <c r="D8192"/>
      <c r="E8192"/>
      <c r="F8192"/>
      <c r="G8192"/>
      <c r="H8192"/>
      <c r="I8192"/>
      <c r="J8192"/>
      <c r="K8192" s="1"/>
      <c r="L8192" s="2"/>
    </row>
    <row r="8193" spans="1:12" x14ac:dyDescent="0.2">
      <c r="A8193"/>
      <c r="B8193"/>
      <c r="C8193"/>
      <c r="D8193"/>
      <c r="E8193"/>
      <c r="F8193"/>
      <c r="G8193"/>
      <c r="H8193"/>
      <c r="I8193"/>
      <c r="J8193"/>
      <c r="K8193" s="1"/>
      <c r="L8193" s="2"/>
    </row>
    <row r="8194" spans="1:12" x14ac:dyDescent="0.2">
      <c r="A8194"/>
      <c r="B8194"/>
      <c r="C8194"/>
      <c r="D8194"/>
      <c r="E8194"/>
      <c r="F8194"/>
      <c r="G8194"/>
      <c r="H8194"/>
      <c r="I8194"/>
      <c r="J8194"/>
      <c r="K8194" s="1"/>
      <c r="L8194" s="2"/>
    </row>
    <row r="8195" spans="1:12" x14ac:dyDescent="0.2">
      <c r="A8195"/>
      <c r="B8195"/>
      <c r="C8195"/>
      <c r="D8195"/>
      <c r="E8195"/>
      <c r="F8195"/>
      <c r="G8195"/>
      <c r="H8195"/>
      <c r="I8195"/>
      <c r="J8195"/>
      <c r="K8195" s="1"/>
      <c r="L8195" s="2"/>
    </row>
    <row r="8196" spans="1:12" x14ac:dyDescent="0.2">
      <c r="A8196"/>
      <c r="B8196"/>
      <c r="C8196"/>
      <c r="D8196"/>
      <c r="E8196"/>
      <c r="F8196"/>
      <c r="G8196"/>
      <c r="H8196"/>
      <c r="I8196"/>
      <c r="J8196"/>
      <c r="K8196" s="1"/>
      <c r="L8196" s="2"/>
    </row>
    <row r="8197" spans="1:12" x14ac:dyDescent="0.2">
      <c r="A8197"/>
      <c r="B8197"/>
      <c r="C8197"/>
      <c r="D8197"/>
      <c r="E8197"/>
      <c r="F8197"/>
      <c r="G8197"/>
      <c r="H8197"/>
      <c r="I8197"/>
      <c r="J8197"/>
      <c r="K8197" s="1"/>
      <c r="L8197" s="2"/>
    </row>
    <row r="8198" spans="1:12" x14ac:dyDescent="0.2">
      <c r="A8198"/>
      <c r="B8198"/>
      <c r="C8198"/>
      <c r="D8198"/>
      <c r="E8198"/>
      <c r="F8198"/>
      <c r="G8198"/>
      <c r="H8198"/>
      <c r="I8198"/>
      <c r="J8198"/>
      <c r="K8198" s="1"/>
      <c r="L8198" s="2"/>
    </row>
    <row r="8199" spans="1:12" x14ac:dyDescent="0.2">
      <c r="A8199"/>
      <c r="B8199"/>
      <c r="C8199"/>
      <c r="D8199"/>
      <c r="E8199"/>
      <c r="F8199"/>
      <c r="G8199"/>
      <c r="H8199"/>
      <c r="I8199"/>
      <c r="J8199"/>
      <c r="K8199" s="1"/>
      <c r="L8199" s="2"/>
    </row>
    <row r="8200" spans="1:12" x14ac:dyDescent="0.2">
      <c r="A8200"/>
      <c r="B8200"/>
      <c r="C8200"/>
      <c r="D8200"/>
      <c r="E8200"/>
      <c r="F8200"/>
      <c r="G8200"/>
      <c r="H8200"/>
      <c r="I8200"/>
      <c r="J8200"/>
      <c r="K8200" s="1"/>
      <c r="L8200" s="2"/>
    </row>
    <row r="8201" spans="1:12" x14ac:dyDescent="0.2">
      <c r="A8201"/>
      <c r="B8201"/>
      <c r="C8201"/>
      <c r="D8201"/>
      <c r="E8201"/>
      <c r="F8201"/>
      <c r="G8201"/>
      <c r="H8201"/>
      <c r="I8201"/>
      <c r="J8201"/>
      <c r="K8201" s="1"/>
      <c r="L8201" s="2"/>
    </row>
    <row r="8202" spans="1:12" x14ac:dyDescent="0.2">
      <c r="A8202"/>
      <c r="B8202"/>
      <c r="C8202"/>
      <c r="D8202"/>
      <c r="E8202"/>
      <c r="F8202"/>
      <c r="G8202"/>
      <c r="H8202"/>
      <c r="I8202"/>
      <c r="J8202"/>
      <c r="K8202" s="1"/>
      <c r="L8202" s="2"/>
    </row>
    <row r="8203" spans="1:12" x14ac:dyDescent="0.2">
      <c r="A8203"/>
      <c r="B8203"/>
      <c r="C8203"/>
      <c r="D8203"/>
      <c r="E8203"/>
      <c r="F8203"/>
      <c r="G8203"/>
      <c r="H8203"/>
      <c r="I8203"/>
      <c r="J8203"/>
      <c r="K8203" s="1"/>
      <c r="L8203" s="2"/>
    </row>
    <row r="8204" spans="1:12" x14ac:dyDescent="0.2">
      <c r="A8204"/>
      <c r="B8204"/>
      <c r="C8204"/>
      <c r="D8204"/>
      <c r="E8204"/>
      <c r="F8204"/>
      <c r="G8204"/>
      <c r="H8204"/>
      <c r="I8204"/>
      <c r="J8204"/>
      <c r="K8204" s="1"/>
      <c r="L8204" s="2"/>
    </row>
    <row r="8205" spans="1:12" x14ac:dyDescent="0.2">
      <c r="A8205"/>
      <c r="B8205"/>
      <c r="C8205"/>
      <c r="D8205"/>
      <c r="E8205"/>
      <c r="F8205"/>
      <c r="G8205"/>
      <c r="H8205"/>
      <c r="I8205"/>
      <c r="J8205"/>
      <c r="K8205" s="1"/>
      <c r="L8205" s="2"/>
    </row>
    <row r="8206" spans="1:12" x14ac:dyDescent="0.2">
      <c r="A8206"/>
      <c r="B8206"/>
      <c r="C8206"/>
      <c r="D8206"/>
      <c r="E8206"/>
      <c r="F8206"/>
      <c r="G8206"/>
      <c r="H8206"/>
      <c r="I8206"/>
      <c r="J8206"/>
      <c r="K8206" s="1"/>
      <c r="L8206" s="2"/>
    </row>
    <row r="8207" spans="1:12" x14ac:dyDescent="0.2">
      <c r="A8207"/>
      <c r="B8207"/>
      <c r="C8207"/>
      <c r="D8207"/>
      <c r="E8207"/>
      <c r="F8207"/>
      <c r="G8207"/>
      <c r="H8207"/>
      <c r="I8207"/>
      <c r="J8207"/>
      <c r="K8207" s="1"/>
      <c r="L8207" s="2"/>
    </row>
    <row r="8208" spans="1:12" x14ac:dyDescent="0.2">
      <c r="A8208"/>
      <c r="B8208"/>
      <c r="C8208"/>
      <c r="D8208"/>
      <c r="E8208"/>
      <c r="F8208"/>
      <c r="G8208"/>
      <c r="H8208"/>
      <c r="I8208"/>
      <c r="J8208"/>
      <c r="K8208" s="1"/>
      <c r="L8208" s="2"/>
    </row>
    <row r="8209" spans="1:12" x14ac:dyDescent="0.2">
      <c r="A8209"/>
      <c r="B8209"/>
      <c r="C8209"/>
      <c r="D8209"/>
      <c r="E8209"/>
      <c r="F8209"/>
      <c r="G8209"/>
      <c r="H8209"/>
      <c r="I8209"/>
      <c r="J8209"/>
      <c r="K8209" s="1"/>
      <c r="L8209" s="2"/>
    </row>
    <row r="8210" spans="1:12" x14ac:dyDescent="0.2">
      <c r="A8210"/>
      <c r="B8210"/>
      <c r="C8210"/>
      <c r="D8210"/>
      <c r="E8210"/>
      <c r="F8210"/>
      <c r="G8210"/>
      <c r="H8210"/>
      <c r="I8210"/>
      <c r="J8210"/>
      <c r="K8210" s="1"/>
      <c r="L8210" s="2"/>
    </row>
    <row r="8211" spans="1:12" x14ac:dyDescent="0.2">
      <c r="A8211"/>
      <c r="B8211"/>
      <c r="C8211"/>
      <c r="D8211"/>
      <c r="E8211"/>
      <c r="F8211"/>
      <c r="G8211"/>
      <c r="H8211"/>
      <c r="I8211"/>
      <c r="J8211"/>
      <c r="K8211" s="1"/>
      <c r="L8211" s="2"/>
    </row>
    <row r="8212" spans="1:12" x14ac:dyDescent="0.2">
      <c r="A8212"/>
      <c r="B8212"/>
      <c r="C8212"/>
      <c r="D8212"/>
      <c r="E8212"/>
      <c r="F8212"/>
      <c r="G8212"/>
      <c r="H8212"/>
      <c r="I8212"/>
      <c r="J8212"/>
      <c r="K8212" s="1"/>
      <c r="L8212" s="2"/>
    </row>
    <row r="8213" spans="1:12" x14ac:dyDescent="0.2">
      <c r="A8213"/>
      <c r="B8213"/>
      <c r="C8213"/>
      <c r="D8213"/>
      <c r="E8213"/>
      <c r="F8213"/>
      <c r="G8213"/>
      <c r="H8213"/>
      <c r="I8213"/>
      <c r="J8213"/>
      <c r="K8213" s="1"/>
      <c r="L8213" s="2"/>
    </row>
    <row r="8214" spans="1:12" x14ac:dyDescent="0.2">
      <c r="A8214"/>
      <c r="B8214"/>
      <c r="C8214"/>
      <c r="D8214"/>
      <c r="E8214"/>
      <c r="F8214"/>
      <c r="G8214"/>
      <c r="H8214"/>
      <c r="I8214"/>
      <c r="J8214"/>
      <c r="K8214" s="1"/>
      <c r="L8214" s="2"/>
    </row>
    <row r="8215" spans="1:12" x14ac:dyDescent="0.2">
      <c r="A8215"/>
      <c r="B8215"/>
      <c r="C8215"/>
      <c r="D8215"/>
      <c r="E8215"/>
      <c r="F8215"/>
      <c r="G8215"/>
      <c r="H8215"/>
      <c r="I8215"/>
      <c r="J8215"/>
      <c r="K8215" s="1"/>
      <c r="L8215" s="2"/>
    </row>
    <row r="8216" spans="1:12" x14ac:dyDescent="0.2">
      <c r="A8216"/>
      <c r="B8216"/>
      <c r="C8216"/>
      <c r="D8216"/>
      <c r="E8216"/>
      <c r="F8216"/>
      <c r="G8216"/>
      <c r="H8216"/>
      <c r="I8216"/>
      <c r="J8216"/>
      <c r="K8216" s="1"/>
      <c r="L8216" s="2"/>
    </row>
    <row r="8217" spans="1:12" x14ac:dyDescent="0.2">
      <c r="A8217"/>
      <c r="B8217"/>
      <c r="C8217"/>
      <c r="D8217"/>
      <c r="E8217"/>
      <c r="F8217"/>
      <c r="G8217"/>
      <c r="H8217"/>
      <c r="I8217"/>
      <c r="J8217"/>
      <c r="K8217" s="1"/>
      <c r="L8217" s="2"/>
    </row>
    <row r="8218" spans="1:12" x14ac:dyDescent="0.2">
      <c r="A8218"/>
      <c r="B8218"/>
      <c r="C8218"/>
      <c r="D8218"/>
      <c r="E8218"/>
      <c r="F8218"/>
      <c r="G8218"/>
      <c r="H8218"/>
      <c r="I8218"/>
      <c r="J8218"/>
      <c r="K8218" s="1"/>
      <c r="L8218" s="2"/>
    </row>
    <row r="8219" spans="1:12" x14ac:dyDescent="0.2">
      <c r="A8219"/>
      <c r="B8219"/>
      <c r="C8219"/>
      <c r="D8219"/>
      <c r="E8219"/>
      <c r="F8219"/>
      <c r="G8219"/>
      <c r="H8219"/>
      <c r="I8219"/>
      <c r="J8219"/>
      <c r="K8219" s="1"/>
      <c r="L8219" s="2"/>
    </row>
    <row r="8220" spans="1:12" x14ac:dyDescent="0.2">
      <c r="A8220"/>
      <c r="B8220"/>
      <c r="C8220"/>
      <c r="D8220"/>
      <c r="E8220"/>
      <c r="F8220"/>
      <c r="G8220"/>
      <c r="H8220"/>
      <c r="I8220"/>
      <c r="J8220"/>
      <c r="K8220" s="1"/>
      <c r="L8220" s="2"/>
    </row>
    <row r="8221" spans="1:12" x14ac:dyDescent="0.2">
      <c r="A8221"/>
      <c r="B8221"/>
      <c r="C8221"/>
      <c r="D8221"/>
      <c r="E8221"/>
      <c r="F8221"/>
      <c r="G8221"/>
      <c r="H8221"/>
      <c r="I8221"/>
      <c r="J8221"/>
      <c r="K8221" s="1"/>
      <c r="L8221" s="2"/>
    </row>
    <row r="8222" spans="1:12" x14ac:dyDescent="0.2">
      <c r="A8222"/>
      <c r="B8222"/>
      <c r="C8222"/>
      <c r="D8222"/>
      <c r="E8222"/>
      <c r="F8222"/>
      <c r="G8222"/>
      <c r="H8222"/>
      <c r="I8222"/>
      <c r="J8222"/>
      <c r="K8222" s="1"/>
      <c r="L8222" s="2"/>
    </row>
    <row r="8223" spans="1:12" x14ac:dyDescent="0.2">
      <c r="A8223"/>
      <c r="B8223"/>
      <c r="C8223"/>
      <c r="D8223"/>
      <c r="E8223"/>
      <c r="F8223"/>
      <c r="G8223"/>
      <c r="H8223"/>
      <c r="I8223"/>
      <c r="J8223"/>
      <c r="K8223" s="1"/>
      <c r="L8223" s="2"/>
    </row>
    <row r="8224" spans="1:12" x14ac:dyDescent="0.2">
      <c r="A8224"/>
      <c r="B8224"/>
      <c r="C8224"/>
      <c r="D8224"/>
      <c r="E8224"/>
      <c r="F8224"/>
      <c r="G8224"/>
      <c r="H8224"/>
      <c r="I8224"/>
      <c r="J8224"/>
      <c r="K8224" s="1"/>
      <c r="L8224" s="2"/>
    </row>
    <row r="8225" spans="1:12" x14ac:dyDescent="0.2">
      <c r="A8225"/>
      <c r="B8225"/>
      <c r="C8225"/>
      <c r="D8225"/>
      <c r="E8225"/>
      <c r="F8225"/>
      <c r="G8225"/>
      <c r="H8225"/>
      <c r="I8225"/>
      <c r="J8225"/>
      <c r="K8225" s="1"/>
      <c r="L8225" s="2"/>
    </row>
    <row r="8226" spans="1:12" x14ac:dyDescent="0.2">
      <c r="A8226"/>
      <c r="B8226"/>
      <c r="C8226"/>
      <c r="D8226"/>
      <c r="E8226"/>
      <c r="F8226"/>
      <c r="G8226"/>
      <c r="H8226"/>
      <c r="I8226"/>
      <c r="J8226"/>
      <c r="K8226" s="1"/>
      <c r="L8226" s="2"/>
    </row>
    <row r="8227" spans="1:12" x14ac:dyDescent="0.2">
      <c r="A8227"/>
      <c r="B8227"/>
      <c r="C8227"/>
      <c r="D8227"/>
      <c r="E8227"/>
      <c r="F8227"/>
      <c r="G8227"/>
      <c r="H8227"/>
      <c r="I8227"/>
      <c r="J8227"/>
      <c r="K8227" s="1"/>
      <c r="L8227" s="2"/>
    </row>
    <row r="8228" spans="1:12" x14ac:dyDescent="0.2">
      <c r="A8228"/>
      <c r="B8228"/>
      <c r="C8228"/>
      <c r="D8228"/>
      <c r="E8228"/>
      <c r="F8228"/>
      <c r="G8228"/>
      <c r="H8228"/>
      <c r="I8228"/>
      <c r="J8228"/>
      <c r="K8228" s="1"/>
      <c r="L8228" s="2"/>
    </row>
    <row r="8229" spans="1:12" x14ac:dyDescent="0.2">
      <c r="A8229"/>
      <c r="B8229"/>
      <c r="C8229"/>
      <c r="D8229"/>
      <c r="E8229"/>
      <c r="F8229"/>
      <c r="G8229"/>
      <c r="H8229"/>
      <c r="I8229"/>
      <c r="J8229"/>
      <c r="K8229" s="1"/>
      <c r="L8229" s="2"/>
    </row>
    <row r="8230" spans="1:12" x14ac:dyDescent="0.2">
      <c r="A8230"/>
      <c r="B8230"/>
      <c r="C8230"/>
      <c r="D8230"/>
      <c r="E8230"/>
      <c r="F8230"/>
      <c r="G8230"/>
      <c r="H8230"/>
      <c r="I8230"/>
      <c r="J8230"/>
      <c r="K8230" s="1"/>
      <c r="L8230" s="2"/>
    </row>
    <row r="8231" spans="1:12" x14ac:dyDescent="0.2">
      <c r="A8231"/>
      <c r="B8231"/>
      <c r="C8231"/>
      <c r="D8231"/>
      <c r="E8231"/>
      <c r="F8231"/>
      <c r="G8231"/>
      <c r="H8231"/>
      <c r="I8231"/>
      <c r="J8231"/>
      <c r="K8231" s="1"/>
      <c r="L8231" s="2"/>
    </row>
    <row r="8232" spans="1:12" x14ac:dyDescent="0.2">
      <c r="A8232"/>
      <c r="B8232"/>
      <c r="C8232"/>
      <c r="D8232"/>
      <c r="E8232"/>
      <c r="F8232"/>
      <c r="G8232"/>
      <c r="H8232"/>
      <c r="I8232"/>
      <c r="J8232"/>
      <c r="K8232" s="1"/>
      <c r="L8232" s="2"/>
    </row>
    <row r="8233" spans="1:12" x14ac:dyDescent="0.2">
      <c r="A8233"/>
      <c r="B8233"/>
      <c r="C8233"/>
      <c r="D8233"/>
      <c r="E8233"/>
      <c r="F8233"/>
      <c r="G8233"/>
      <c r="H8233"/>
      <c r="I8233"/>
      <c r="J8233"/>
      <c r="K8233" s="1"/>
      <c r="L8233" s="2"/>
    </row>
    <row r="8234" spans="1:12" x14ac:dyDescent="0.2">
      <c r="A8234"/>
      <c r="B8234"/>
      <c r="C8234"/>
      <c r="D8234"/>
      <c r="E8234"/>
      <c r="F8234"/>
      <c r="G8234"/>
      <c r="H8234"/>
      <c r="I8234"/>
      <c r="J8234"/>
      <c r="K8234" s="1"/>
      <c r="L8234" s="2"/>
    </row>
    <row r="8235" spans="1:12" x14ac:dyDescent="0.2">
      <c r="A8235"/>
      <c r="B8235"/>
      <c r="C8235"/>
      <c r="D8235"/>
      <c r="E8235"/>
      <c r="F8235"/>
      <c r="G8235"/>
      <c r="H8235"/>
      <c r="I8235"/>
      <c r="J8235"/>
      <c r="K8235" s="1"/>
      <c r="L8235" s="2"/>
    </row>
    <row r="8236" spans="1:12" x14ac:dyDescent="0.2">
      <c r="A8236"/>
      <c r="B8236"/>
      <c r="C8236"/>
      <c r="D8236"/>
      <c r="E8236"/>
      <c r="F8236"/>
      <c r="G8236"/>
      <c r="H8236"/>
      <c r="I8236"/>
      <c r="J8236"/>
      <c r="K8236" s="1"/>
      <c r="L8236" s="2"/>
    </row>
    <row r="8237" spans="1:12" x14ac:dyDescent="0.2">
      <c r="A8237"/>
      <c r="B8237"/>
      <c r="C8237"/>
      <c r="D8237"/>
      <c r="E8237"/>
      <c r="F8237"/>
      <c r="G8237"/>
      <c r="H8237"/>
      <c r="I8237"/>
      <c r="J8237"/>
      <c r="K8237" s="1"/>
      <c r="L8237" s="2"/>
    </row>
    <row r="8238" spans="1:12" x14ac:dyDescent="0.2">
      <c r="A8238"/>
      <c r="B8238"/>
      <c r="C8238"/>
      <c r="D8238"/>
      <c r="E8238"/>
      <c r="F8238"/>
      <c r="G8238"/>
      <c r="H8238"/>
      <c r="I8238"/>
      <c r="J8238"/>
      <c r="K8238" s="1"/>
      <c r="L8238" s="2"/>
    </row>
    <row r="8239" spans="1:12" x14ac:dyDescent="0.2">
      <c r="A8239"/>
      <c r="B8239"/>
      <c r="C8239"/>
      <c r="D8239"/>
      <c r="E8239"/>
      <c r="F8239"/>
      <c r="G8239"/>
      <c r="H8239"/>
      <c r="I8239"/>
      <c r="J8239"/>
      <c r="K8239" s="1"/>
      <c r="L8239" s="2"/>
    </row>
    <row r="8240" spans="1:12" x14ac:dyDescent="0.2">
      <c r="A8240"/>
      <c r="B8240"/>
      <c r="C8240"/>
      <c r="D8240"/>
      <c r="E8240"/>
      <c r="F8240"/>
      <c r="G8240"/>
      <c r="H8240"/>
      <c r="I8240"/>
      <c r="J8240"/>
      <c r="K8240" s="1"/>
      <c r="L8240" s="2"/>
    </row>
    <row r="8241" spans="1:12" x14ac:dyDescent="0.2">
      <c r="A8241"/>
      <c r="B8241"/>
      <c r="C8241"/>
      <c r="D8241"/>
      <c r="E8241"/>
      <c r="F8241"/>
      <c r="G8241"/>
      <c r="H8241"/>
      <c r="I8241"/>
      <c r="J8241"/>
      <c r="K8241" s="1"/>
      <c r="L8241" s="2"/>
    </row>
    <row r="8242" spans="1:12" x14ac:dyDescent="0.2">
      <c r="A8242"/>
      <c r="B8242"/>
      <c r="C8242"/>
      <c r="D8242"/>
      <c r="E8242"/>
      <c r="F8242"/>
      <c r="G8242"/>
      <c r="H8242"/>
      <c r="I8242"/>
      <c r="J8242"/>
      <c r="K8242" s="1"/>
      <c r="L8242" s="2"/>
    </row>
    <row r="8243" spans="1:12" x14ac:dyDescent="0.2">
      <c r="A8243"/>
      <c r="B8243"/>
      <c r="C8243"/>
      <c r="D8243"/>
      <c r="E8243"/>
      <c r="F8243"/>
      <c r="G8243"/>
      <c r="H8243"/>
      <c r="I8243"/>
      <c r="J8243"/>
      <c r="K8243" s="1"/>
      <c r="L8243" s="2"/>
    </row>
    <row r="8244" spans="1:12" x14ac:dyDescent="0.2">
      <c r="A8244"/>
      <c r="B8244"/>
      <c r="C8244"/>
      <c r="D8244"/>
      <c r="E8244"/>
      <c r="F8244"/>
      <c r="G8244"/>
      <c r="H8244"/>
      <c r="I8244"/>
      <c r="J8244"/>
      <c r="K8244" s="1"/>
      <c r="L8244" s="2"/>
    </row>
    <row r="8245" spans="1:12" x14ac:dyDescent="0.2">
      <c r="A8245"/>
      <c r="B8245"/>
      <c r="C8245"/>
      <c r="D8245"/>
      <c r="E8245"/>
      <c r="F8245"/>
      <c r="G8245"/>
      <c r="H8245"/>
      <c r="I8245"/>
      <c r="J8245"/>
      <c r="K8245" s="1"/>
      <c r="L8245" s="2"/>
    </row>
    <row r="8246" spans="1:12" x14ac:dyDescent="0.2">
      <c r="A8246"/>
      <c r="B8246"/>
      <c r="C8246"/>
      <c r="D8246"/>
      <c r="E8246"/>
      <c r="F8246"/>
      <c r="G8246"/>
      <c r="H8246"/>
      <c r="I8246"/>
      <c r="J8246"/>
      <c r="K8246" s="1"/>
      <c r="L8246" s="2"/>
    </row>
    <row r="8247" spans="1:12" x14ac:dyDescent="0.2">
      <c r="A8247"/>
      <c r="B8247"/>
      <c r="C8247"/>
      <c r="D8247"/>
      <c r="E8247"/>
      <c r="F8247"/>
      <c r="G8247"/>
      <c r="H8247"/>
      <c r="I8247"/>
      <c r="J8247"/>
      <c r="K8247" s="1"/>
      <c r="L8247" s="2"/>
    </row>
    <row r="8248" spans="1:12" x14ac:dyDescent="0.2">
      <c r="A8248"/>
      <c r="B8248"/>
      <c r="C8248"/>
      <c r="D8248"/>
      <c r="E8248"/>
      <c r="F8248"/>
      <c r="G8248"/>
      <c r="H8248"/>
      <c r="I8248"/>
      <c r="J8248"/>
      <c r="K8248" s="1"/>
      <c r="L8248" s="2"/>
    </row>
    <row r="8249" spans="1:12" x14ac:dyDescent="0.2">
      <c r="A8249"/>
      <c r="B8249"/>
      <c r="C8249"/>
      <c r="D8249"/>
      <c r="E8249"/>
      <c r="F8249"/>
      <c r="G8249"/>
      <c r="H8249"/>
      <c r="I8249"/>
      <c r="J8249"/>
      <c r="K8249" s="1"/>
      <c r="L8249" s="2"/>
    </row>
    <row r="8250" spans="1:12" x14ac:dyDescent="0.2">
      <c r="A8250"/>
      <c r="B8250"/>
      <c r="C8250"/>
      <c r="D8250"/>
      <c r="E8250"/>
      <c r="F8250"/>
      <c r="G8250"/>
      <c r="H8250"/>
      <c r="I8250"/>
      <c r="J8250"/>
      <c r="K8250" s="1"/>
      <c r="L8250" s="2"/>
    </row>
    <row r="8251" spans="1:12" x14ac:dyDescent="0.2">
      <c r="A8251"/>
      <c r="B8251"/>
      <c r="C8251"/>
      <c r="D8251"/>
      <c r="E8251"/>
      <c r="F8251"/>
      <c r="G8251"/>
      <c r="H8251"/>
      <c r="I8251"/>
      <c r="J8251"/>
      <c r="K8251" s="1"/>
      <c r="L8251" s="2"/>
    </row>
    <row r="8252" spans="1:12" x14ac:dyDescent="0.2">
      <c r="A8252"/>
      <c r="B8252"/>
      <c r="C8252"/>
      <c r="D8252"/>
      <c r="E8252"/>
      <c r="F8252"/>
      <c r="G8252"/>
      <c r="H8252"/>
      <c r="I8252"/>
      <c r="J8252"/>
      <c r="K8252" s="1"/>
      <c r="L8252" s="2"/>
    </row>
    <row r="8253" spans="1:12" x14ac:dyDescent="0.2">
      <c r="A8253"/>
      <c r="B8253"/>
      <c r="C8253"/>
      <c r="D8253"/>
      <c r="E8253"/>
      <c r="F8253"/>
      <c r="G8253"/>
      <c r="H8253"/>
      <c r="I8253"/>
      <c r="J8253"/>
      <c r="K8253" s="1"/>
      <c r="L8253" s="2"/>
    </row>
    <row r="8254" spans="1:12" x14ac:dyDescent="0.2">
      <c r="A8254"/>
      <c r="B8254"/>
      <c r="C8254"/>
      <c r="D8254"/>
      <c r="E8254"/>
      <c r="F8254"/>
      <c r="G8254"/>
      <c r="H8254"/>
      <c r="I8254"/>
      <c r="J8254"/>
      <c r="K8254" s="1"/>
      <c r="L8254" s="2"/>
    </row>
    <row r="8255" spans="1:12" x14ac:dyDescent="0.2">
      <c r="A8255"/>
      <c r="B8255"/>
      <c r="C8255"/>
      <c r="D8255"/>
      <c r="E8255"/>
      <c r="F8255"/>
      <c r="G8255"/>
      <c r="H8255"/>
      <c r="I8255"/>
      <c r="J8255"/>
      <c r="K8255" s="1"/>
      <c r="L8255" s="2"/>
    </row>
    <row r="8256" spans="1:12" x14ac:dyDescent="0.2">
      <c r="A8256"/>
      <c r="B8256"/>
      <c r="C8256"/>
      <c r="D8256"/>
      <c r="E8256"/>
      <c r="F8256"/>
      <c r="G8256"/>
      <c r="H8256"/>
      <c r="I8256"/>
      <c r="J8256"/>
      <c r="K8256" s="1"/>
      <c r="L8256" s="2"/>
    </row>
    <row r="8257" spans="1:12" x14ac:dyDescent="0.2">
      <c r="A8257"/>
      <c r="B8257"/>
      <c r="C8257"/>
      <c r="D8257"/>
      <c r="E8257"/>
      <c r="F8257"/>
      <c r="G8257"/>
      <c r="H8257"/>
      <c r="I8257"/>
      <c r="J8257"/>
      <c r="K8257" s="1"/>
      <c r="L8257" s="2"/>
    </row>
    <row r="8258" spans="1:12" x14ac:dyDescent="0.2">
      <c r="A8258"/>
      <c r="B8258"/>
      <c r="C8258"/>
      <c r="D8258"/>
      <c r="E8258"/>
      <c r="F8258"/>
      <c r="G8258"/>
      <c r="H8258"/>
      <c r="I8258"/>
      <c r="J8258"/>
      <c r="K8258" s="1"/>
      <c r="L8258" s="2"/>
    </row>
    <row r="8259" spans="1:12" x14ac:dyDescent="0.2">
      <c r="A8259"/>
      <c r="B8259"/>
      <c r="C8259"/>
      <c r="D8259"/>
      <c r="E8259"/>
      <c r="F8259"/>
      <c r="G8259"/>
      <c r="H8259"/>
      <c r="I8259"/>
      <c r="J8259"/>
      <c r="K8259" s="1"/>
      <c r="L8259" s="2"/>
    </row>
    <row r="8260" spans="1:12" x14ac:dyDescent="0.2">
      <c r="A8260"/>
      <c r="B8260"/>
      <c r="C8260"/>
      <c r="D8260"/>
      <c r="E8260"/>
      <c r="F8260"/>
      <c r="G8260"/>
      <c r="H8260"/>
      <c r="I8260"/>
      <c r="J8260"/>
      <c r="K8260" s="1"/>
      <c r="L8260" s="2"/>
    </row>
    <row r="8261" spans="1:12" x14ac:dyDescent="0.2">
      <c r="A8261"/>
      <c r="B8261"/>
      <c r="C8261"/>
      <c r="D8261"/>
      <c r="E8261"/>
      <c r="F8261"/>
      <c r="G8261"/>
      <c r="H8261"/>
      <c r="I8261"/>
      <c r="J8261"/>
      <c r="K8261" s="1"/>
      <c r="L8261" s="2"/>
    </row>
    <row r="8262" spans="1:12" x14ac:dyDescent="0.2">
      <c r="A8262"/>
      <c r="B8262"/>
      <c r="C8262"/>
      <c r="D8262"/>
      <c r="E8262"/>
      <c r="F8262"/>
      <c r="G8262"/>
      <c r="H8262"/>
      <c r="I8262"/>
      <c r="J8262"/>
      <c r="K8262" s="1"/>
      <c r="L8262" s="2"/>
    </row>
    <row r="8263" spans="1:12" x14ac:dyDescent="0.2">
      <c r="A8263"/>
      <c r="B8263"/>
      <c r="C8263"/>
      <c r="D8263"/>
      <c r="E8263"/>
      <c r="F8263"/>
      <c r="G8263"/>
      <c r="H8263"/>
      <c r="I8263"/>
      <c r="J8263"/>
      <c r="K8263" s="1"/>
      <c r="L8263" s="2"/>
    </row>
    <row r="8264" spans="1:12" x14ac:dyDescent="0.2">
      <c r="A8264"/>
      <c r="B8264"/>
      <c r="C8264"/>
      <c r="D8264"/>
      <c r="E8264"/>
      <c r="F8264"/>
      <c r="G8264"/>
      <c r="H8264"/>
      <c r="I8264"/>
      <c r="J8264"/>
      <c r="K8264" s="1"/>
      <c r="L8264" s="2"/>
    </row>
    <row r="8265" spans="1:12" x14ac:dyDescent="0.2">
      <c r="A8265"/>
      <c r="B8265"/>
      <c r="C8265"/>
      <c r="D8265"/>
      <c r="E8265"/>
      <c r="F8265"/>
      <c r="G8265"/>
      <c r="H8265"/>
      <c r="I8265"/>
      <c r="J8265"/>
      <c r="K8265" s="1"/>
      <c r="L8265" s="2"/>
    </row>
    <row r="8266" spans="1:12" x14ac:dyDescent="0.2">
      <c r="A8266"/>
      <c r="B8266"/>
      <c r="C8266"/>
      <c r="D8266"/>
      <c r="E8266"/>
      <c r="F8266"/>
      <c r="G8266"/>
      <c r="H8266"/>
      <c r="I8266"/>
      <c r="J8266"/>
      <c r="K8266" s="1"/>
      <c r="L8266" s="2"/>
    </row>
    <row r="8267" spans="1:12" x14ac:dyDescent="0.2">
      <c r="A8267"/>
      <c r="B8267"/>
      <c r="C8267"/>
      <c r="D8267"/>
      <c r="E8267"/>
      <c r="F8267"/>
      <c r="G8267"/>
      <c r="H8267"/>
      <c r="I8267"/>
      <c r="J8267"/>
      <c r="K8267" s="1"/>
      <c r="L8267" s="2"/>
    </row>
    <row r="8268" spans="1:12" x14ac:dyDescent="0.2">
      <c r="A8268"/>
      <c r="B8268"/>
      <c r="C8268"/>
      <c r="D8268"/>
      <c r="E8268"/>
      <c r="F8268"/>
      <c r="G8268"/>
      <c r="H8268"/>
      <c r="I8268"/>
      <c r="J8268"/>
      <c r="K8268" s="1"/>
      <c r="L8268" s="2"/>
    </row>
    <row r="8269" spans="1:12" x14ac:dyDescent="0.2">
      <c r="A8269"/>
      <c r="B8269"/>
      <c r="C8269"/>
      <c r="D8269"/>
      <c r="E8269"/>
      <c r="F8269"/>
      <c r="G8269"/>
      <c r="H8269"/>
      <c r="I8269"/>
      <c r="J8269"/>
      <c r="K8269" s="1"/>
      <c r="L8269" s="2"/>
    </row>
    <row r="8270" spans="1:12" x14ac:dyDescent="0.2">
      <c r="A8270"/>
      <c r="B8270"/>
      <c r="C8270"/>
      <c r="D8270"/>
      <c r="E8270"/>
      <c r="F8270"/>
      <c r="G8270"/>
      <c r="H8270"/>
      <c r="I8270"/>
      <c r="J8270"/>
      <c r="K8270" s="1"/>
      <c r="L8270" s="2"/>
    </row>
    <row r="8271" spans="1:12" x14ac:dyDescent="0.2">
      <c r="A8271"/>
      <c r="B8271"/>
      <c r="C8271"/>
      <c r="D8271"/>
      <c r="E8271"/>
      <c r="F8271"/>
      <c r="G8271"/>
      <c r="H8271"/>
      <c r="I8271"/>
      <c r="J8271"/>
      <c r="K8271" s="1"/>
      <c r="L8271" s="2"/>
    </row>
    <row r="8272" spans="1:12" x14ac:dyDescent="0.2">
      <c r="A8272"/>
      <c r="B8272"/>
      <c r="C8272"/>
      <c r="D8272"/>
      <c r="E8272"/>
      <c r="F8272"/>
      <c r="G8272"/>
      <c r="H8272"/>
      <c r="I8272"/>
      <c r="J8272"/>
      <c r="K8272" s="1"/>
      <c r="L8272" s="2"/>
    </row>
    <row r="8273" spans="1:12" x14ac:dyDescent="0.2">
      <c r="A8273"/>
      <c r="B8273"/>
      <c r="C8273"/>
      <c r="D8273"/>
      <c r="E8273"/>
      <c r="F8273"/>
      <c r="G8273"/>
      <c r="H8273"/>
      <c r="I8273"/>
      <c r="J8273"/>
      <c r="K8273" s="1"/>
      <c r="L8273" s="2"/>
    </row>
    <row r="8274" spans="1:12" x14ac:dyDescent="0.2">
      <c r="A8274"/>
      <c r="B8274"/>
      <c r="C8274"/>
      <c r="D8274"/>
      <c r="E8274"/>
      <c r="F8274"/>
      <c r="G8274"/>
      <c r="H8274"/>
      <c r="I8274"/>
      <c r="J8274"/>
      <c r="K8274" s="1"/>
      <c r="L8274" s="2"/>
    </row>
    <row r="8275" spans="1:12" x14ac:dyDescent="0.2">
      <c r="A8275"/>
      <c r="B8275"/>
      <c r="C8275"/>
      <c r="D8275"/>
      <c r="E8275"/>
      <c r="F8275"/>
      <c r="G8275"/>
      <c r="H8275"/>
      <c r="I8275"/>
      <c r="J8275"/>
      <c r="K8275" s="1"/>
      <c r="L8275" s="2"/>
    </row>
    <row r="8276" spans="1:12" x14ac:dyDescent="0.2">
      <c r="A8276"/>
      <c r="B8276"/>
      <c r="C8276"/>
      <c r="D8276"/>
      <c r="E8276"/>
      <c r="F8276"/>
      <c r="G8276"/>
      <c r="H8276"/>
      <c r="I8276"/>
      <c r="J8276"/>
      <c r="K8276" s="1"/>
      <c r="L8276" s="2"/>
    </row>
    <row r="8277" spans="1:12" x14ac:dyDescent="0.2">
      <c r="A8277"/>
      <c r="B8277"/>
      <c r="C8277"/>
      <c r="D8277"/>
      <c r="E8277"/>
      <c r="F8277"/>
      <c r="G8277"/>
      <c r="H8277"/>
      <c r="I8277"/>
      <c r="J8277"/>
      <c r="K8277" s="1"/>
      <c r="L8277" s="2"/>
    </row>
    <row r="8278" spans="1:12" x14ac:dyDescent="0.2">
      <c r="A8278"/>
      <c r="B8278"/>
      <c r="C8278"/>
      <c r="D8278"/>
      <c r="E8278"/>
      <c r="F8278"/>
      <c r="G8278"/>
      <c r="H8278"/>
      <c r="I8278"/>
      <c r="J8278"/>
      <c r="K8278" s="1"/>
      <c r="L8278" s="2"/>
    </row>
    <row r="8279" spans="1:12" x14ac:dyDescent="0.2">
      <c r="A8279"/>
      <c r="B8279"/>
      <c r="C8279"/>
      <c r="D8279"/>
      <c r="E8279"/>
      <c r="F8279"/>
      <c r="G8279"/>
      <c r="H8279"/>
      <c r="I8279"/>
      <c r="J8279"/>
      <c r="K8279" s="1"/>
      <c r="L8279" s="2"/>
    </row>
    <row r="8280" spans="1:12" x14ac:dyDescent="0.2">
      <c r="A8280"/>
      <c r="B8280"/>
      <c r="C8280"/>
      <c r="D8280"/>
      <c r="E8280"/>
      <c r="F8280"/>
      <c r="G8280"/>
      <c r="H8280"/>
      <c r="I8280"/>
      <c r="J8280"/>
      <c r="K8280" s="1"/>
      <c r="L8280" s="2"/>
    </row>
    <row r="8281" spans="1:12" x14ac:dyDescent="0.2">
      <c r="A8281"/>
      <c r="B8281"/>
      <c r="C8281"/>
      <c r="D8281"/>
      <c r="E8281"/>
      <c r="F8281"/>
      <c r="G8281"/>
      <c r="H8281"/>
      <c r="I8281"/>
      <c r="J8281"/>
      <c r="K8281" s="1"/>
      <c r="L8281" s="2"/>
    </row>
    <row r="8282" spans="1:12" x14ac:dyDescent="0.2">
      <c r="A8282"/>
      <c r="B8282"/>
      <c r="C8282"/>
      <c r="D8282"/>
      <c r="E8282"/>
      <c r="F8282"/>
      <c r="G8282"/>
      <c r="H8282"/>
      <c r="I8282"/>
      <c r="J8282"/>
      <c r="K8282" s="1"/>
      <c r="L8282" s="2"/>
    </row>
    <row r="8283" spans="1:12" x14ac:dyDescent="0.2">
      <c r="A8283"/>
      <c r="B8283"/>
      <c r="C8283"/>
      <c r="D8283"/>
      <c r="E8283"/>
      <c r="F8283"/>
      <c r="G8283"/>
      <c r="H8283"/>
      <c r="I8283"/>
      <c r="J8283"/>
      <c r="K8283" s="1"/>
      <c r="L8283" s="2"/>
    </row>
    <row r="8284" spans="1:12" x14ac:dyDescent="0.2">
      <c r="A8284"/>
      <c r="B8284"/>
      <c r="C8284"/>
      <c r="D8284"/>
      <c r="E8284"/>
      <c r="F8284"/>
      <c r="G8284"/>
      <c r="H8284"/>
      <c r="I8284"/>
      <c r="J8284"/>
      <c r="K8284" s="1"/>
      <c r="L8284" s="2"/>
    </row>
    <row r="8285" spans="1:12" x14ac:dyDescent="0.2">
      <c r="A8285"/>
      <c r="B8285"/>
      <c r="C8285"/>
      <c r="D8285"/>
      <c r="E8285"/>
      <c r="F8285"/>
      <c r="G8285"/>
      <c r="H8285"/>
      <c r="I8285"/>
      <c r="J8285"/>
      <c r="K8285" s="1"/>
      <c r="L8285" s="2"/>
    </row>
    <row r="8286" spans="1:12" x14ac:dyDescent="0.2">
      <c r="A8286"/>
      <c r="B8286"/>
      <c r="C8286"/>
      <c r="D8286"/>
      <c r="E8286"/>
      <c r="F8286"/>
      <c r="G8286"/>
      <c r="H8286"/>
      <c r="I8286"/>
      <c r="J8286"/>
      <c r="K8286" s="1"/>
      <c r="L8286" s="2"/>
    </row>
    <row r="8287" spans="1:12" x14ac:dyDescent="0.2">
      <c r="A8287"/>
      <c r="B8287"/>
      <c r="C8287"/>
      <c r="D8287"/>
      <c r="E8287"/>
      <c r="F8287"/>
      <c r="G8287"/>
      <c r="H8287"/>
      <c r="I8287"/>
      <c r="J8287"/>
      <c r="K8287" s="1"/>
      <c r="L8287" s="2"/>
    </row>
    <row r="8288" spans="1:12" x14ac:dyDescent="0.2">
      <c r="A8288"/>
      <c r="B8288"/>
      <c r="C8288"/>
      <c r="D8288"/>
      <c r="E8288"/>
      <c r="F8288"/>
      <c r="G8288"/>
      <c r="H8288"/>
      <c r="I8288"/>
      <c r="J8288"/>
      <c r="K8288" s="1"/>
      <c r="L8288" s="2"/>
    </row>
    <row r="8289" spans="1:12" x14ac:dyDescent="0.2">
      <c r="A8289"/>
      <c r="B8289"/>
      <c r="C8289"/>
      <c r="D8289"/>
      <c r="E8289"/>
      <c r="F8289"/>
      <c r="G8289"/>
      <c r="H8289"/>
      <c r="I8289"/>
      <c r="J8289"/>
      <c r="K8289" s="1"/>
      <c r="L8289" s="2"/>
    </row>
    <row r="8290" spans="1:12" x14ac:dyDescent="0.2">
      <c r="A8290"/>
      <c r="B8290"/>
      <c r="C8290"/>
      <c r="D8290"/>
      <c r="E8290"/>
      <c r="F8290"/>
      <c r="G8290"/>
      <c r="H8290"/>
      <c r="I8290"/>
      <c r="J8290"/>
      <c r="K8290" s="1"/>
      <c r="L8290" s="2"/>
    </row>
    <row r="8291" spans="1:12" x14ac:dyDescent="0.2">
      <c r="A8291"/>
      <c r="B8291"/>
      <c r="C8291"/>
      <c r="D8291"/>
      <c r="E8291"/>
      <c r="F8291"/>
      <c r="G8291"/>
      <c r="H8291"/>
      <c r="I8291"/>
      <c r="J8291"/>
      <c r="K8291" s="1"/>
      <c r="L8291" s="2"/>
    </row>
    <row r="8292" spans="1:12" x14ac:dyDescent="0.2">
      <c r="A8292"/>
      <c r="B8292"/>
      <c r="C8292"/>
      <c r="D8292"/>
      <c r="E8292"/>
      <c r="F8292"/>
      <c r="G8292"/>
      <c r="H8292"/>
      <c r="I8292"/>
      <c r="J8292"/>
      <c r="K8292" s="1"/>
      <c r="L8292" s="2"/>
    </row>
    <row r="8293" spans="1:12" x14ac:dyDescent="0.2">
      <c r="A8293"/>
      <c r="B8293"/>
      <c r="C8293"/>
      <c r="D8293"/>
      <c r="E8293"/>
      <c r="F8293"/>
      <c r="G8293"/>
      <c r="H8293"/>
      <c r="I8293"/>
      <c r="J8293"/>
      <c r="K8293" s="1"/>
      <c r="L8293" s="2"/>
    </row>
    <row r="8294" spans="1:12" x14ac:dyDescent="0.2">
      <c r="A8294"/>
      <c r="B8294"/>
      <c r="C8294"/>
      <c r="D8294"/>
      <c r="E8294"/>
      <c r="F8294"/>
      <c r="G8294"/>
      <c r="H8294"/>
      <c r="I8294"/>
      <c r="J8294"/>
      <c r="K8294" s="1"/>
      <c r="L8294" s="2"/>
    </row>
    <row r="8295" spans="1:12" x14ac:dyDescent="0.2">
      <c r="A8295"/>
      <c r="B8295"/>
      <c r="C8295"/>
      <c r="D8295"/>
      <c r="E8295"/>
      <c r="F8295"/>
      <c r="G8295"/>
      <c r="H8295"/>
      <c r="I8295"/>
      <c r="J8295"/>
      <c r="K8295" s="1"/>
      <c r="L8295" s="2"/>
    </row>
    <row r="8296" spans="1:12" x14ac:dyDescent="0.2">
      <c r="A8296"/>
      <c r="B8296"/>
      <c r="C8296"/>
      <c r="D8296"/>
      <c r="E8296"/>
      <c r="F8296"/>
      <c r="G8296"/>
      <c r="H8296"/>
      <c r="I8296"/>
      <c r="J8296"/>
      <c r="K8296" s="1"/>
      <c r="L8296" s="2"/>
    </row>
    <row r="8297" spans="1:12" x14ac:dyDescent="0.2">
      <c r="A8297"/>
      <c r="B8297"/>
      <c r="C8297"/>
      <c r="D8297"/>
      <c r="E8297"/>
      <c r="F8297"/>
      <c r="G8297"/>
      <c r="H8297"/>
      <c r="I8297"/>
      <c r="J8297"/>
      <c r="K8297" s="1"/>
      <c r="L8297" s="2"/>
    </row>
    <row r="8298" spans="1:12" x14ac:dyDescent="0.2">
      <c r="A8298"/>
      <c r="B8298"/>
      <c r="C8298"/>
      <c r="D8298"/>
      <c r="E8298"/>
      <c r="F8298"/>
      <c r="G8298"/>
      <c r="H8298"/>
      <c r="I8298"/>
      <c r="J8298"/>
      <c r="K8298" s="1"/>
      <c r="L8298" s="2"/>
    </row>
    <row r="8299" spans="1:12" x14ac:dyDescent="0.2">
      <c r="A8299"/>
      <c r="B8299"/>
      <c r="C8299"/>
      <c r="D8299"/>
      <c r="E8299"/>
      <c r="F8299"/>
      <c r="G8299"/>
      <c r="H8299"/>
      <c r="I8299"/>
      <c r="J8299"/>
      <c r="K8299" s="1"/>
      <c r="L8299" s="2"/>
    </row>
    <row r="8300" spans="1:12" x14ac:dyDescent="0.2">
      <c r="A8300"/>
      <c r="B8300"/>
      <c r="C8300"/>
      <c r="D8300"/>
      <c r="E8300"/>
      <c r="F8300"/>
      <c r="G8300"/>
      <c r="H8300"/>
      <c r="I8300"/>
      <c r="J8300"/>
      <c r="K8300" s="1"/>
      <c r="L8300" s="2"/>
    </row>
    <row r="8301" spans="1:12" x14ac:dyDescent="0.2">
      <c r="A8301"/>
      <c r="B8301"/>
      <c r="C8301"/>
      <c r="D8301"/>
      <c r="E8301"/>
      <c r="F8301"/>
      <c r="G8301"/>
      <c r="H8301"/>
      <c r="I8301"/>
      <c r="J8301"/>
      <c r="K8301" s="1"/>
      <c r="L8301" s="2"/>
    </row>
    <row r="8302" spans="1:12" x14ac:dyDescent="0.2">
      <c r="A8302"/>
      <c r="B8302"/>
      <c r="C8302"/>
      <c r="D8302"/>
      <c r="E8302"/>
      <c r="F8302"/>
      <c r="G8302"/>
      <c r="H8302"/>
      <c r="I8302"/>
      <c r="J8302"/>
      <c r="K8302" s="1"/>
      <c r="L8302" s="2"/>
    </row>
    <row r="8303" spans="1:12" x14ac:dyDescent="0.2">
      <c r="A8303"/>
      <c r="B8303"/>
      <c r="C8303"/>
      <c r="D8303"/>
      <c r="E8303"/>
      <c r="F8303"/>
      <c r="G8303"/>
      <c r="H8303"/>
      <c r="I8303"/>
      <c r="J8303"/>
      <c r="K8303" s="1"/>
      <c r="L8303" s="2"/>
    </row>
    <row r="8304" spans="1:12" x14ac:dyDescent="0.2">
      <c r="A8304"/>
      <c r="B8304"/>
      <c r="C8304"/>
      <c r="D8304"/>
      <c r="E8304"/>
      <c r="F8304"/>
      <c r="G8304"/>
      <c r="H8304"/>
      <c r="I8304"/>
      <c r="J8304"/>
      <c r="K8304" s="1"/>
      <c r="L8304" s="2"/>
    </row>
    <row r="8305" spans="1:12" x14ac:dyDescent="0.2">
      <c r="A8305"/>
      <c r="B8305"/>
      <c r="C8305"/>
      <c r="D8305"/>
      <c r="E8305"/>
      <c r="F8305"/>
      <c r="G8305"/>
      <c r="H8305"/>
      <c r="I8305"/>
      <c r="J8305"/>
      <c r="K8305" s="1"/>
      <c r="L8305" s="2"/>
    </row>
    <row r="8306" spans="1:12" x14ac:dyDescent="0.2">
      <c r="A8306"/>
      <c r="B8306"/>
      <c r="C8306"/>
      <c r="D8306"/>
      <c r="E8306"/>
      <c r="F8306"/>
      <c r="G8306"/>
      <c r="H8306"/>
      <c r="I8306"/>
      <c r="J8306"/>
      <c r="K8306" s="1"/>
      <c r="L8306" s="2"/>
    </row>
    <row r="8307" spans="1:12" x14ac:dyDescent="0.2">
      <c r="A8307"/>
      <c r="B8307"/>
      <c r="C8307"/>
      <c r="D8307"/>
      <c r="E8307"/>
      <c r="F8307"/>
      <c r="G8307"/>
      <c r="H8307"/>
      <c r="I8307"/>
      <c r="J8307"/>
      <c r="K8307" s="1"/>
      <c r="L8307" s="2"/>
    </row>
    <row r="8308" spans="1:12" x14ac:dyDescent="0.2">
      <c r="A8308"/>
      <c r="B8308"/>
      <c r="C8308"/>
      <c r="D8308"/>
      <c r="E8308"/>
      <c r="F8308"/>
      <c r="G8308"/>
      <c r="H8308"/>
      <c r="I8308"/>
      <c r="J8308"/>
      <c r="K8308" s="1"/>
      <c r="L8308" s="2"/>
    </row>
    <row r="8309" spans="1:12" x14ac:dyDescent="0.2">
      <c r="A8309"/>
      <c r="B8309"/>
      <c r="C8309"/>
      <c r="D8309"/>
      <c r="E8309"/>
      <c r="F8309"/>
      <c r="G8309"/>
      <c r="H8309"/>
      <c r="I8309"/>
      <c r="J8309"/>
      <c r="K8309" s="1"/>
      <c r="L8309" s="2"/>
    </row>
    <row r="8310" spans="1:12" x14ac:dyDescent="0.2">
      <c r="A8310"/>
      <c r="B8310"/>
      <c r="C8310"/>
      <c r="D8310"/>
      <c r="E8310"/>
      <c r="F8310"/>
      <c r="G8310"/>
      <c r="H8310"/>
      <c r="I8310"/>
      <c r="J8310"/>
      <c r="K8310" s="1"/>
      <c r="L8310" s="2"/>
    </row>
    <row r="8311" spans="1:12" x14ac:dyDescent="0.2">
      <c r="A8311"/>
      <c r="B8311"/>
      <c r="C8311"/>
      <c r="D8311"/>
      <c r="E8311"/>
      <c r="F8311"/>
      <c r="G8311"/>
      <c r="H8311"/>
      <c r="I8311"/>
      <c r="J8311"/>
      <c r="K8311" s="1"/>
      <c r="L8311" s="2"/>
    </row>
    <row r="8312" spans="1:12" x14ac:dyDescent="0.2">
      <c r="A8312"/>
      <c r="B8312"/>
      <c r="C8312"/>
      <c r="D8312"/>
      <c r="E8312"/>
      <c r="F8312"/>
      <c r="G8312"/>
      <c r="H8312"/>
      <c r="I8312"/>
      <c r="J8312"/>
      <c r="K8312" s="1"/>
      <c r="L8312" s="2"/>
    </row>
    <row r="8313" spans="1:12" x14ac:dyDescent="0.2">
      <c r="A8313"/>
      <c r="B8313"/>
      <c r="C8313"/>
      <c r="D8313"/>
      <c r="E8313"/>
      <c r="F8313"/>
      <c r="G8313"/>
      <c r="H8313"/>
      <c r="I8313"/>
      <c r="J8313"/>
      <c r="K8313" s="1"/>
      <c r="L8313" s="2"/>
    </row>
    <row r="8314" spans="1:12" x14ac:dyDescent="0.2">
      <c r="A8314"/>
      <c r="B8314"/>
      <c r="C8314"/>
      <c r="D8314"/>
      <c r="E8314"/>
      <c r="F8314"/>
      <c r="G8314"/>
      <c r="H8314"/>
      <c r="I8314"/>
      <c r="J8314"/>
      <c r="K8314" s="1"/>
      <c r="L8314" s="2"/>
    </row>
    <row r="8315" spans="1:12" x14ac:dyDescent="0.2">
      <c r="A8315"/>
      <c r="B8315"/>
      <c r="C8315"/>
      <c r="D8315"/>
      <c r="E8315"/>
      <c r="F8315"/>
      <c r="G8315"/>
      <c r="H8315"/>
      <c r="I8315"/>
      <c r="J8315"/>
      <c r="K8315" s="1"/>
      <c r="L8315" s="2"/>
    </row>
    <row r="8316" spans="1:12" x14ac:dyDescent="0.2">
      <c r="A8316"/>
      <c r="B8316"/>
      <c r="C8316"/>
      <c r="D8316"/>
      <c r="E8316"/>
      <c r="F8316"/>
      <c r="G8316"/>
      <c r="H8316"/>
      <c r="I8316"/>
      <c r="J8316"/>
      <c r="K8316" s="1"/>
      <c r="L8316" s="2"/>
    </row>
    <row r="8317" spans="1:12" x14ac:dyDescent="0.2">
      <c r="A8317"/>
      <c r="B8317"/>
      <c r="C8317"/>
      <c r="D8317"/>
      <c r="E8317"/>
      <c r="F8317"/>
      <c r="G8317"/>
      <c r="H8317"/>
      <c r="I8317"/>
      <c r="J8317"/>
      <c r="K8317" s="1"/>
      <c r="L8317" s="2"/>
    </row>
    <row r="8318" spans="1:12" x14ac:dyDescent="0.2">
      <c r="A8318"/>
      <c r="B8318"/>
      <c r="C8318"/>
      <c r="D8318"/>
      <c r="E8318"/>
      <c r="F8318"/>
      <c r="G8318"/>
      <c r="H8318"/>
      <c r="I8318"/>
      <c r="J8318"/>
      <c r="K8318" s="1"/>
      <c r="L8318" s="2"/>
    </row>
    <row r="8319" spans="1:12" x14ac:dyDescent="0.2">
      <c r="A8319"/>
      <c r="B8319"/>
      <c r="C8319"/>
      <c r="D8319"/>
      <c r="E8319"/>
      <c r="F8319"/>
      <c r="G8319"/>
      <c r="H8319"/>
      <c r="I8319"/>
      <c r="J8319"/>
      <c r="K8319" s="1"/>
      <c r="L8319" s="2"/>
    </row>
    <row r="8320" spans="1:12" x14ac:dyDescent="0.2">
      <c r="A8320"/>
      <c r="B8320"/>
      <c r="C8320"/>
      <c r="D8320"/>
      <c r="E8320"/>
      <c r="F8320"/>
      <c r="G8320"/>
      <c r="H8320"/>
      <c r="I8320"/>
      <c r="J8320"/>
      <c r="K8320" s="1"/>
      <c r="L8320" s="2"/>
    </row>
    <row r="8321" spans="1:12" x14ac:dyDescent="0.2">
      <c r="A8321"/>
      <c r="B8321"/>
      <c r="C8321"/>
      <c r="D8321"/>
      <c r="E8321"/>
      <c r="F8321"/>
      <c r="G8321"/>
      <c r="H8321"/>
      <c r="I8321"/>
      <c r="J8321"/>
      <c r="K8321" s="1"/>
      <c r="L8321" s="2"/>
    </row>
    <row r="8322" spans="1:12" x14ac:dyDescent="0.2">
      <c r="A8322"/>
      <c r="B8322"/>
      <c r="C8322"/>
      <c r="D8322"/>
      <c r="E8322"/>
      <c r="F8322"/>
      <c r="G8322"/>
      <c r="H8322"/>
      <c r="I8322"/>
      <c r="J8322"/>
      <c r="K8322" s="1"/>
      <c r="L8322" s="2"/>
    </row>
    <row r="8323" spans="1:12" x14ac:dyDescent="0.2">
      <c r="A8323"/>
      <c r="B8323"/>
      <c r="C8323"/>
      <c r="D8323"/>
      <c r="E8323"/>
      <c r="F8323"/>
      <c r="G8323"/>
      <c r="H8323"/>
      <c r="I8323"/>
      <c r="J8323"/>
      <c r="K8323" s="1"/>
      <c r="L8323" s="2"/>
    </row>
    <row r="8324" spans="1:12" x14ac:dyDescent="0.2">
      <c r="A8324"/>
      <c r="B8324"/>
      <c r="C8324"/>
      <c r="D8324"/>
      <c r="E8324"/>
      <c r="F8324"/>
      <c r="G8324"/>
      <c r="H8324"/>
      <c r="I8324"/>
      <c r="J8324"/>
      <c r="K8324" s="1"/>
      <c r="L8324" s="2"/>
    </row>
    <row r="8325" spans="1:12" x14ac:dyDescent="0.2">
      <c r="A8325"/>
      <c r="B8325"/>
      <c r="C8325"/>
      <c r="D8325"/>
      <c r="E8325"/>
      <c r="F8325"/>
      <c r="G8325"/>
      <c r="H8325"/>
      <c r="I8325"/>
      <c r="J8325"/>
      <c r="K8325" s="1"/>
      <c r="L8325" s="2"/>
    </row>
    <row r="8326" spans="1:12" x14ac:dyDescent="0.2">
      <c r="A8326"/>
      <c r="B8326"/>
      <c r="C8326"/>
      <c r="D8326"/>
      <c r="E8326"/>
      <c r="F8326"/>
      <c r="G8326"/>
      <c r="H8326"/>
      <c r="I8326"/>
      <c r="J8326"/>
      <c r="K8326" s="1"/>
      <c r="L8326" s="2"/>
    </row>
    <row r="8327" spans="1:12" x14ac:dyDescent="0.2">
      <c r="A8327"/>
      <c r="B8327"/>
      <c r="C8327"/>
      <c r="D8327"/>
      <c r="E8327"/>
      <c r="F8327"/>
      <c r="G8327"/>
      <c r="H8327"/>
      <c r="I8327"/>
      <c r="J8327"/>
      <c r="K8327" s="1"/>
      <c r="L8327" s="2"/>
    </row>
    <row r="8328" spans="1:12" x14ac:dyDescent="0.2">
      <c r="A8328"/>
      <c r="B8328"/>
      <c r="C8328"/>
      <c r="D8328"/>
      <c r="E8328"/>
      <c r="F8328"/>
      <c r="G8328"/>
      <c r="H8328"/>
      <c r="I8328"/>
      <c r="J8328"/>
      <c r="K8328" s="1"/>
      <c r="L8328" s="2"/>
    </row>
    <row r="8329" spans="1:12" x14ac:dyDescent="0.2">
      <c r="A8329"/>
      <c r="B8329"/>
      <c r="C8329"/>
      <c r="D8329"/>
      <c r="E8329"/>
      <c r="F8329"/>
      <c r="G8329"/>
      <c r="H8329"/>
      <c r="I8329"/>
      <c r="J8329"/>
      <c r="K8329" s="1"/>
      <c r="L8329" s="2"/>
    </row>
    <row r="8330" spans="1:12" x14ac:dyDescent="0.2">
      <c r="A8330"/>
      <c r="B8330"/>
      <c r="C8330"/>
      <c r="D8330"/>
      <c r="E8330"/>
      <c r="F8330"/>
      <c r="G8330"/>
      <c r="H8330"/>
      <c r="I8330"/>
      <c r="J8330"/>
      <c r="K8330" s="1"/>
      <c r="L8330" s="2"/>
    </row>
    <row r="8331" spans="1:12" x14ac:dyDescent="0.2">
      <c r="A8331"/>
      <c r="B8331"/>
      <c r="C8331"/>
      <c r="D8331"/>
      <c r="E8331"/>
      <c r="F8331"/>
      <c r="G8331"/>
      <c r="H8331"/>
      <c r="I8331"/>
      <c r="J8331"/>
      <c r="K8331" s="1"/>
      <c r="L8331" s="2"/>
    </row>
    <row r="8332" spans="1:12" x14ac:dyDescent="0.2">
      <c r="A8332"/>
      <c r="B8332"/>
      <c r="C8332"/>
      <c r="D8332"/>
      <c r="E8332"/>
      <c r="F8332"/>
      <c r="G8332"/>
      <c r="H8332"/>
      <c r="I8332"/>
      <c r="J8332"/>
      <c r="K8332" s="1"/>
      <c r="L8332" s="2"/>
    </row>
    <row r="8333" spans="1:12" x14ac:dyDescent="0.2">
      <c r="A8333"/>
      <c r="B8333"/>
      <c r="C8333"/>
      <c r="D8333"/>
      <c r="E8333"/>
      <c r="F8333"/>
      <c r="G8333"/>
      <c r="H8333"/>
      <c r="I8333"/>
      <c r="J8333"/>
      <c r="K8333" s="1"/>
      <c r="L8333" s="2"/>
    </row>
    <row r="8334" spans="1:12" x14ac:dyDescent="0.2">
      <c r="A8334"/>
      <c r="B8334"/>
      <c r="C8334"/>
      <c r="D8334"/>
      <c r="E8334"/>
      <c r="F8334"/>
      <c r="G8334"/>
      <c r="H8334"/>
      <c r="I8334"/>
      <c r="J8334"/>
      <c r="K8334" s="1"/>
      <c r="L8334" s="2"/>
    </row>
    <row r="8335" spans="1:12" x14ac:dyDescent="0.2">
      <c r="A8335"/>
      <c r="B8335"/>
      <c r="C8335"/>
      <c r="D8335"/>
      <c r="E8335"/>
      <c r="F8335"/>
      <c r="G8335"/>
      <c r="H8335"/>
      <c r="I8335"/>
      <c r="J8335"/>
      <c r="K8335" s="1"/>
      <c r="L8335" s="2"/>
    </row>
    <row r="8336" spans="1:12" x14ac:dyDescent="0.2">
      <c r="A8336"/>
      <c r="B8336"/>
      <c r="C8336"/>
      <c r="D8336"/>
      <c r="E8336"/>
      <c r="F8336"/>
      <c r="G8336"/>
      <c r="H8336"/>
      <c r="I8336"/>
      <c r="J8336"/>
      <c r="K8336" s="1"/>
      <c r="L8336" s="2"/>
    </row>
    <row r="8337" spans="1:12" x14ac:dyDescent="0.2">
      <c r="A8337"/>
      <c r="B8337"/>
      <c r="C8337"/>
      <c r="D8337"/>
      <c r="E8337"/>
      <c r="F8337"/>
      <c r="G8337"/>
      <c r="H8337"/>
      <c r="I8337"/>
      <c r="J8337"/>
      <c r="K8337" s="1"/>
      <c r="L8337" s="2"/>
    </row>
    <row r="8338" spans="1:12" x14ac:dyDescent="0.2">
      <c r="A8338"/>
      <c r="B8338"/>
      <c r="C8338"/>
      <c r="D8338"/>
      <c r="E8338"/>
      <c r="F8338"/>
      <c r="G8338"/>
      <c r="H8338"/>
      <c r="I8338"/>
      <c r="J8338"/>
      <c r="K8338" s="1"/>
      <c r="L8338" s="2"/>
    </row>
    <row r="8339" spans="1:12" x14ac:dyDescent="0.2">
      <c r="A8339"/>
      <c r="B8339"/>
      <c r="C8339"/>
      <c r="D8339"/>
      <c r="E8339"/>
      <c r="F8339"/>
      <c r="G8339"/>
      <c r="H8339"/>
      <c r="I8339"/>
      <c r="J8339"/>
      <c r="K8339" s="1"/>
      <c r="L8339" s="2"/>
    </row>
    <row r="8340" spans="1:12" x14ac:dyDescent="0.2">
      <c r="A8340"/>
      <c r="B8340"/>
      <c r="C8340"/>
      <c r="D8340"/>
      <c r="E8340"/>
      <c r="F8340"/>
      <c r="G8340"/>
      <c r="H8340"/>
      <c r="I8340"/>
      <c r="J8340"/>
      <c r="K8340" s="1"/>
      <c r="L8340" s="2"/>
    </row>
    <row r="8341" spans="1:12" x14ac:dyDescent="0.2">
      <c r="A8341"/>
      <c r="B8341"/>
      <c r="C8341"/>
      <c r="D8341"/>
      <c r="E8341"/>
      <c r="F8341"/>
      <c r="G8341"/>
      <c r="H8341"/>
      <c r="I8341"/>
      <c r="J8341"/>
      <c r="K8341" s="1"/>
      <c r="L8341" s="2"/>
    </row>
    <row r="8342" spans="1:12" x14ac:dyDescent="0.2">
      <c r="A8342"/>
      <c r="B8342"/>
      <c r="C8342"/>
      <c r="D8342"/>
      <c r="E8342"/>
      <c r="F8342"/>
      <c r="G8342"/>
      <c r="H8342"/>
      <c r="I8342"/>
      <c r="J8342"/>
      <c r="K8342" s="1"/>
      <c r="L8342" s="2"/>
    </row>
    <row r="8343" spans="1:12" x14ac:dyDescent="0.2">
      <c r="A8343"/>
      <c r="B8343"/>
      <c r="C8343"/>
      <c r="D8343"/>
      <c r="E8343"/>
      <c r="F8343"/>
      <c r="G8343"/>
      <c r="H8343"/>
      <c r="I8343"/>
      <c r="J8343"/>
      <c r="K8343" s="1"/>
      <c r="L8343" s="2"/>
    </row>
    <row r="8344" spans="1:12" x14ac:dyDescent="0.2">
      <c r="A8344"/>
      <c r="B8344"/>
      <c r="C8344"/>
      <c r="D8344"/>
      <c r="E8344"/>
      <c r="F8344"/>
      <c r="G8344"/>
      <c r="H8344"/>
      <c r="I8344"/>
      <c r="J8344"/>
      <c r="K8344" s="1"/>
      <c r="L8344" s="2"/>
    </row>
    <row r="8345" spans="1:12" x14ac:dyDescent="0.2">
      <c r="A8345"/>
      <c r="B8345"/>
      <c r="C8345"/>
      <c r="D8345"/>
      <c r="E8345"/>
      <c r="F8345"/>
      <c r="G8345"/>
      <c r="H8345"/>
      <c r="I8345"/>
      <c r="J8345"/>
      <c r="K8345" s="1"/>
      <c r="L8345" s="2"/>
    </row>
    <row r="8346" spans="1:12" x14ac:dyDescent="0.2">
      <c r="A8346"/>
      <c r="B8346"/>
      <c r="C8346"/>
      <c r="D8346"/>
      <c r="E8346"/>
      <c r="F8346"/>
      <c r="G8346"/>
      <c r="H8346"/>
      <c r="I8346"/>
      <c r="J8346"/>
      <c r="K8346" s="1"/>
      <c r="L8346" s="2"/>
    </row>
    <row r="8347" spans="1:12" x14ac:dyDescent="0.2">
      <c r="A8347"/>
      <c r="B8347"/>
      <c r="C8347"/>
      <c r="D8347"/>
      <c r="E8347"/>
      <c r="F8347"/>
      <c r="G8347"/>
      <c r="H8347"/>
      <c r="I8347"/>
      <c r="J8347"/>
      <c r="K8347" s="1"/>
      <c r="L8347" s="2"/>
    </row>
    <row r="8348" spans="1:12" x14ac:dyDescent="0.2">
      <c r="A8348"/>
      <c r="B8348"/>
      <c r="C8348"/>
      <c r="D8348"/>
      <c r="E8348"/>
      <c r="F8348"/>
      <c r="G8348"/>
      <c r="H8348"/>
      <c r="I8348"/>
      <c r="J8348"/>
      <c r="K8348" s="1"/>
      <c r="L8348" s="2"/>
    </row>
    <row r="8349" spans="1:12" x14ac:dyDescent="0.2">
      <c r="A8349"/>
      <c r="B8349"/>
      <c r="C8349"/>
      <c r="D8349"/>
      <c r="E8349"/>
      <c r="F8349"/>
      <c r="G8349"/>
      <c r="H8349"/>
      <c r="I8349"/>
      <c r="J8349"/>
      <c r="K8349" s="1"/>
      <c r="L8349" s="2"/>
    </row>
    <row r="8350" spans="1:12" x14ac:dyDescent="0.2">
      <c r="A8350"/>
      <c r="B8350"/>
      <c r="C8350"/>
      <c r="D8350"/>
      <c r="E8350"/>
      <c r="F8350"/>
      <c r="G8350"/>
      <c r="H8350"/>
      <c r="I8350"/>
      <c r="J8350"/>
      <c r="K8350" s="1"/>
      <c r="L8350" s="2"/>
    </row>
    <row r="8351" spans="1:12" x14ac:dyDescent="0.2">
      <c r="A8351"/>
      <c r="B8351"/>
      <c r="C8351"/>
      <c r="D8351"/>
      <c r="E8351"/>
      <c r="F8351"/>
      <c r="G8351"/>
      <c r="H8351"/>
      <c r="I8351"/>
      <c r="J8351"/>
      <c r="K8351" s="1"/>
      <c r="L8351" s="2"/>
    </row>
    <row r="8352" spans="1:12" x14ac:dyDescent="0.2">
      <c r="A8352"/>
      <c r="B8352"/>
      <c r="C8352"/>
      <c r="D8352"/>
      <c r="E8352"/>
      <c r="F8352"/>
      <c r="G8352"/>
      <c r="H8352"/>
      <c r="I8352"/>
      <c r="J8352"/>
      <c r="K8352" s="1"/>
      <c r="L8352" s="2"/>
    </row>
    <row r="8353" spans="1:12" x14ac:dyDescent="0.2">
      <c r="A8353"/>
      <c r="B8353"/>
      <c r="C8353"/>
      <c r="D8353"/>
      <c r="E8353"/>
      <c r="F8353"/>
      <c r="G8353"/>
      <c r="H8353"/>
      <c r="I8353"/>
      <c r="J8353"/>
      <c r="K8353" s="1"/>
      <c r="L8353" s="2"/>
    </row>
    <row r="8354" spans="1:12" x14ac:dyDescent="0.2">
      <c r="A8354"/>
      <c r="B8354"/>
      <c r="C8354"/>
      <c r="D8354"/>
      <c r="E8354"/>
      <c r="F8354"/>
      <c r="G8354"/>
      <c r="H8354"/>
      <c r="I8354"/>
      <c r="J8354"/>
      <c r="K8354" s="1"/>
      <c r="L8354" s="2"/>
    </row>
    <row r="8355" spans="1:12" x14ac:dyDescent="0.2">
      <c r="A8355"/>
      <c r="B8355"/>
      <c r="C8355"/>
      <c r="D8355"/>
      <c r="E8355"/>
      <c r="F8355"/>
      <c r="G8355"/>
      <c r="H8355"/>
      <c r="I8355"/>
      <c r="J8355"/>
      <c r="K8355" s="1"/>
      <c r="L8355" s="2"/>
    </row>
    <row r="8356" spans="1:12" x14ac:dyDescent="0.2">
      <c r="A8356"/>
      <c r="B8356"/>
      <c r="C8356"/>
      <c r="D8356"/>
      <c r="E8356"/>
      <c r="F8356"/>
      <c r="G8356"/>
      <c r="H8356"/>
      <c r="I8356"/>
      <c r="J8356"/>
      <c r="K8356" s="1"/>
      <c r="L8356" s="2"/>
    </row>
    <row r="8357" spans="1:12" x14ac:dyDescent="0.2">
      <c r="A8357"/>
      <c r="B8357"/>
      <c r="C8357"/>
      <c r="D8357"/>
      <c r="E8357"/>
      <c r="F8357"/>
      <c r="G8357"/>
      <c r="H8357"/>
      <c r="I8357"/>
      <c r="J8357"/>
      <c r="K8357" s="1"/>
      <c r="L8357" s="2"/>
    </row>
    <row r="8358" spans="1:12" x14ac:dyDescent="0.2">
      <c r="A8358"/>
      <c r="B8358"/>
      <c r="C8358"/>
      <c r="D8358"/>
      <c r="E8358"/>
      <c r="F8358"/>
      <c r="G8358"/>
      <c r="H8358"/>
      <c r="I8358"/>
      <c r="J8358"/>
      <c r="K8358" s="1"/>
      <c r="L8358" s="2"/>
    </row>
    <row r="8359" spans="1:12" x14ac:dyDescent="0.2">
      <c r="A8359"/>
      <c r="B8359"/>
      <c r="C8359"/>
      <c r="D8359"/>
      <c r="E8359"/>
      <c r="F8359"/>
      <c r="G8359"/>
      <c r="H8359"/>
      <c r="I8359"/>
      <c r="J8359"/>
      <c r="K8359" s="1"/>
      <c r="L8359" s="2"/>
    </row>
    <row r="8360" spans="1:12" x14ac:dyDescent="0.2">
      <c r="A8360"/>
      <c r="B8360"/>
      <c r="C8360"/>
      <c r="D8360"/>
      <c r="E8360"/>
      <c r="F8360"/>
      <c r="G8360"/>
      <c r="H8360"/>
      <c r="I8360"/>
      <c r="J8360"/>
      <c r="K8360" s="1"/>
      <c r="L8360" s="2"/>
    </row>
    <row r="8361" spans="1:12" x14ac:dyDescent="0.2">
      <c r="A8361"/>
      <c r="B8361"/>
      <c r="C8361"/>
      <c r="D8361"/>
      <c r="E8361"/>
      <c r="F8361"/>
      <c r="G8361"/>
      <c r="H8361"/>
      <c r="I8361"/>
      <c r="J8361"/>
      <c r="K8361" s="1"/>
      <c r="L8361" s="2"/>
    </row>
    <row r="8362" spans="1:12" x14ac:dyDescent="0.2">
      <c r="A8362"/>
      <c r="B8362"/>
      <c r="C8362"/>
      <c r="D8362"/>
      <c r="E8362"/>
      <c r="F8362"/>
      <c r="G8362"/>
      <c r="H8362"/>
      <c r="I8362"/>
      <c r="J8362"/>
      <c r="K8362" s="1"/>
      <c r="L8362" s="2"/>
    </row>
    <row r="8363" spans="1:12" x14ac:dyDescent="0.2">
      <c r="A8363"/>
      <c r="B8363"/>
      <c r="C8363"/>
      <c r="D8363"/>
      <c r="E8363"/>
      <c r="F8363"/>
      <c r="G8363"/>
      <c r="H8363"/>
      <c r="I8363"/>
      <c r="J8363"/>
      <c r="K8363" s="1"/>
      <c r="L8363" s="2"/>
    </row>
    <row r="8364" spans="1:12" x14ac:dyDescent="0.2">
      <c r="A8364"/>
      <c r="B8364"/>
      <c r="C8364"/>
      <c r="D8364"/>
      <c r="E8364"/>
      <c r="F8364"/>
      <c r="G8364"/>
      <c r="H8364"/>
      <c r="I8364"/>
      <c r="J8364"/>
      <c r="K8364" s="1"/>
      <c r="L8364" s="2"/>
    </row>
    <row r="8365" spans="1:12" x14ac:dyDescent="0.2">
      <c r="A8365"/>
      <c r="B8365"/>
      <c r="C8365"/>
      <c r="D8365"/>
      <c r="E8365"/>
      <c r="F8365"/>
      <c r="G8365"/>
      <c r="H8365"/>
      <c r="I8365"/>
      <c r="J8365"/>
      <c r="K8365" s="1"/>
      <c r="L8365" s="2"/>
    </row>
    <row r="8366" spans="1:12" x14ac:dyDescent="0.2">
      <c r="A8366"/>
      <c r="B8366"/>
      <c r="C8366"/>
      <c r="D8366"/>
      <c r="E8366"/>
      <c r="F8366"/>
      <c r="G8366"/>
      <c r="H8366"/>
      <c r="I8366"/>
      <c r="J8366"/>
      <c r="K8366" s="1"/>
      <c r="L8366" s="2"/>
    </row>
    <row r="8367" spans="1:12" x14ac:dyDescent="0.2">
      <c r="A8367"/>
      <c r="B8367"/>
      <c r="C8367"/>
      <c r="D8367"/>
      <c r="E8367"/>
      <c r="F8367"/>
      <c r="G8367"/>
      <c r="H8367"/>
      <c r="I8367"/>
      <c r="J8367"/>
      <c r="K8367" s="1"/>
      <c r="L8367" s="2"/>
    </row>
    <row r="8368" spans="1:12" x14ac:dyDescent="0.2">
      <c r="A8368"/>
      <c r="B8368"/>
      <c r="C8368"/>
      <c r="D8368"/>
      <c r="E8368"/>
      <c r="F8368"/>
      <c r="G8368"/>
      <c r="H8368"/>
      <c r="I8368"/>
      <c r="J8368"/>
      <c r="K8368" s="1"/>
      <c r="L8368" s="2"/>
    </row>
    <row r="8369" spans="1:12" x14ac:dyDescent="0.2">
      <c r="A8369"/>
      <c r="B8369"/>
      <c r="C8369"/>
      <c r="D8369"/>
      <c r="E8369"/>
      <c r="F8369"/>
      <c r="G8369"/>
      <c r="H8369"/>
      <c r="I8369"/>
      <c r="J8369"/>
      <c r="K8369" s="1"/>
      <c r="L8369" s="2"/>
    </row>
    <row r="8370" spans="1:12" x14ac:dyDescent="0.2">
      <c r="A8370"/>
      <c r="B8370"/>
      <c r="C8370"/>
      <c r="D8370"/>
      <c r="E8370"/>
      <c r="F8370"/>
      <c r="G8370"/>
      <c r="H8370"/>
      <c r="I8370"/>
      <c r="J8370"/>
      <c r="K8370" s="1"/>
      <c r="L8370" s="2"/>
    </row>
    <row r="8371" spans="1:12" x14ac:dyDescent="0.2">
      <c r="A8371"/>
      <c r="B8371"/>
      <c r="C8371"/>
      <c r="D8371"/>
      <c r="E8371"/>
      <c r="F8371"/>
      <c r="G8371"/>
      <c r="H8371"/>
      <c r="I8371"/>
      <c r="J8371"/>
      <c r="K8371" s="1"/>
      <c r="L8371" s="2"/>
    </row>
    <row r="8372" spans="1:12" x14ac:dyDescent="0.2">
      <c r="A8372"/>
      <c r="B8372"/>
      <c r="C8372"/>
      <c r="D8372"/>
      <c r="E8372"/>
      <c r="F8372"/>
      <c r="G8372"/>
      <c r="H8372"/>
      <c r="I8372"/>
      <c r="J8372"/>
      <c r="K8372" s="1"/>
      <c r="L8372" s="2"/>
    </row>
    <row r="8373" spans="1:12" x14ac:dyDescent="0.2">
      <c r="A8373"/>
      <c r="B8373"/>
      <c r="C8373"/>
      <c r="D8373"/>
      <c r="E8373"/>
      <c r="F8373"/>
      <c r="G8373"/>
      <c r="H8373"/>
      <c r="I8373"/>
      <c r="J8373"/>
      <c r="K8373" s="1"/>
      <c r="L8373" s="2"/>
    </row>
    <row r="8374" spans="1:12" x14ac:dyDescent="0.2">
      <c r="A8374"/>
      <c r="B8374"/>
      <c r="C8374"/>
      <c r="D8374"/>
      <c r="E8374"/>
      <c r="F8374"/>
      <c r="G8374"/>
      <c r="H8374"/>
      <c r="I8374"/>
      <c r="J8374"/>
      <c r="K8374" s="1"/>
      <c r="L8374" s="2"/>
    </row>
    <row r="8375" spans="1:12" x14ac:dyDescent="0.2">
      <c r="A8375"/>
      <c r="B8375"/>
      <c r="C8375"/>
      <c r="D8375"/>
      <c r="E8375"/>
      <c r="F8375"/>
      <c r="G8375"/>
      <c r="H8375"/>
      <c r="I8375"/>
      <c r="J8375"/>
      <c r="K8375" s="1"/>
      <c r="L8375" s="2"/>
    </row>
    <row r="8376" spans="1:12" x14ac:dyDescent="0.2">
      <c r="A8376"/>
      <c r="B8376"/>
      <c r="C8376"/>
      <c r="D8376"/>
      <c r="E8376"/>
      <c r="F8376"/>
      <c r="G8376"/>
      <c r="H8376"/>
      <c r="I8376"/>
      <c r="J8376"/>
      <c r="K8376" s="1"/>
      <c r="L8376" s="2"/>
    </row>
    <row r="8377" spans="1:12" x14ac:dyDescent="0.2">
      <c r="A8377"/>
      <c r="B8377"/>
      <c r="C8377"/>
      <c r="D8377"/>
      <c r="E8377"/>
      <c r="F8377"/>
      <c r="G8377"/>
      <c r="H8377"/>
      <c r="I8377"/>
      <c r="J8377"/>
      <c r="K8377" s="1"/>
      <c r="L8377" s="2"/>
    </row>
    <row r="8378" spans="1:12" x14ac:dyDescent="0.2">
      <c r="A8378"/>
      <c r="B8378"/>
      <c r="C8378"/>
      <c r="D8378"/>
      <c r="E8378"/>
      <c r="F8378"/>
      <c r="G8378"/>
      <c r="H8378"/>
      <c r="I8378"/>
      <c r="J8378"/>
      <c r="K8378" s="1"/>
      <c r="L8378" s="2"/>
    </row>
    <row r="8379" spans="1:12" x14ac:dyDescent="0.2">
      <c r="A8379"/>
      <c r="B8379"/>
      <c r="C8379"/>
      <c r="D8379"/>
      <c r="E8379"/>
      <c r="F8379"/>
      <c r="G8379"/>
      <c r="H8379"/>
      <c r="I8379"/>
      <c r="J8379"/>
      <c r="K8379" s="1"/>
      <c r="L8379" s="2"/>
    </row>
    <row r="8380" spans="1:12" x14ac:dyDescent="0.2">
      <c r="A8380"/>
      <c r="B8380"/>
      <c r="C8380"/>
      <c r="D8380"/>
      <c r="E8380"/>
      <c r="F8380"/>
      <c r="G8380"/>
      <c r="H8380"/>
      <c r="I8380"/>
      <c r="J8380"/>
      <c r="K8380" s="1"/>
      <c r="L8380" s="2"/>
    </row>
    <row r="8381" spans="1:12" x14ac:dyDescent="0.2">
      <c r="A8381"/>
      <c r="B8381"/>
      <c r="C8381"/>
      <c r="D8381"/>
      <c r="E8381"/>
      <c r="F8381"/>
      <c r="G8381"/>
      <c r="H8381"/>
      <c r="I8381"/>
      <c r="J8381"/>
      <c r="K8381" s="1"/>
      <c r="L8381" s="2"/>
    </row>
    <row r="8382" spans="1:12" x14ac:dyDescent="0.2">
      <c r="A8382"/>
      <c r="B8382"/>
      <c r="C8382"/>
      <c r="D8382"/>
      <c r="E8382"/>
      <c r="F8382"/>
      <c r="G8382"/>
      <c r="H8382"/>
      <c r="I8382"/>
      <c r="J8382"/>
      <c r="K8382" s="1"/>
      <c r="L8382" s="2"/>
    </row>
    <row r="8383" spans="1:12" x14ac:dyDescent="0.2">
      <c r="A8383"/>
      <c r="B8383"/>
      <c r="C8383"/>
      <c r="D8383"/>
      <c r="E8383"/>
      <c r="F8383"/>
      <c r="G8383"/>
      <c r="H8383"/>
      <c r="I8383"/>
      <c r="J8383"/>
      <c r="K8383" s="1"/>
      <c r="L8383" s="2"/>
    </row>
    <row r="8384" spans="1:12" x14ac:dyDescent="0.2">
      <c r="A8384"/>
      <c r="B8384"/>
      <c r="C8384"/>
      <c r="D8384"/>
      <c r="E8384"/>
      <c r="F8384"/>
      <c r="G8384"/>
      <c r="H8384"/>
      <c r="I8384"/>
      <c r="J8384"/>
      <c r="K8384" s="1"/>
      <c r="L8384" s="2"/>
    </row>
    <row r="8385" spans="1:12" x14ac:dyDescent="0.2">
      <c r="A8385"/>
      <c r="B8385"/>
      <c r="C8385"/>
      <c r="D8385"/>
      <c r="E8385"/>
      <c r="F8385"/>
      <c r="G8385"/>
      <c r="H8385"/>
      <c r="I8385"/>
      <c r="J8385"/>
      <c r="K8385" s="1"/>
      <c r="L8385" s="2"/>
    </row>
    <row r="8386" spans="1:12" x14ac:dyDescent="0.2">
      <c r="A8386"/>
      <c r="B8386"/>
      <c r="C8386"/>
      <c r="D8386"/>
      <c r="E8386"/>
      <c r="F8386"/>
      <c r="G8386"/>
      <c r="H8386"/>
      <c r="I8386"/>
      <c r="J8386"/>
      <c r="K8386" s="1"/>
      <c r="L8386" s="2"/>
    </row>
    <row r="8387" spans="1:12" x14ac:dyDescent="0.2">
      <c r="A8387"/>
      <c r="B8387"/>
      <c r="C8387"/>
      <c r="D8387"/>
      <c r="E8387"/>
      <c r="F8387"/>
      <c r="G8387"/>
      <c r="H8387"/>
      <c r="I8387"/>
      <c r="J8387"/>
      <c r="K8387" s="1"/>
      <c r="L8387" s="2"/>
    </row>
    <row r="8388" spans="1:12" x14ac:dyDescent="0.2">
      <c r="A8388"/>
      <c r="B8388"/>
      <c r="C8388"/>
      <c r="D8388"/>
      <c r="E8388"/>
      <c r="F8388"/>
      <c r="G8388"/>
      <c r="H8388"/>
      <c r="I8388"/>
      <c r="J8388"/>
      <c r="K8388" s="1"/>
      <c r="L8388" s="2"/>
    </row>
    <row r="8389" spans="1:12" x14ac:dyDescent="0.2">
      <c r="A8389"/>
      <c r="B8389"/>
      <c r="C8389"/>
      <c r="D8389"/>
      <c r="E8389"/>
      <c r="F8389"/>
      <c r="G8389"/>
      <c r="H8389"/>
      <c r="I8389"/>
      <c r="J8389"/>
      <c r="K8389" s="1"/>
      <c r="L8389" s="2"/>
    </row>
    <row r="8390" spans="1:12" x14ac:dyDescent="0.2">
      <c r="A8390"/>
      <c r="B8390"/>
      <c r="C8390"/>
      <c r="D8390"/>
      <c r="E8390"/>
      <c r="F8390"/>
      <c r="G8390"/>
      <c r="H8390"/>
      <c r="I8390"/>
      <c r="J8390"/>
      <c r="K8390" s="1"/>
      <c r="L8390" s="2"/>
    </row>
    <row r="8391" spans="1:12" x14ac:dyDescent="0.2">
      <c r="A8391"/>
      <c r="B8391"/>
      <c r="C8391"/>
      <c r="D8391"/>
      <c r="E8391"/>
      <c r="F8391"/>
      <c r="G8391"/>
      <c r="H8391"/>
      <c r="I8391"/>
      <c r="J8391"/>
      <c r="K8391" s="1"/>
      <c r="L8391" s="2"/>
    </row>
    <row r="8392" spans="1:12" x14ac:dyDescent="0.2">
      <c r="A8392"/>
      <c r="B8392"/>
      <c r="C8392"/>
      <c r="D8392"/>
      <c r="E8392"/>
      <c r="F8392"/>
      <c r="G8392"/>
      <c r="H8392"/>
      <c r="I8392"/>
      <c r="J8392"/>
      <c r="K8392" s="1"/>
      <c r="L8392" s="2"/>
    </row>
    <row r="8393" spans="1:12" x14ac:dyDescent="0.2">
      <c r="A8393"/>
      <c r="B8393"/>
      <c r="C8393"/>
      <c r="D8393"/>
      <c r="E8393"/>
      <c r="F8393"/>
      <c r="G8393"/>
      <c r="H8393"/>
      <c r="I8393"/>
      <c r="J8393"/>
      <c r="K8393" s="1"/>
      <c r="L8393" s="2"/>
    </row>
    <row r="8394" spans="1:12" x14ac:dyDescent="0.2">
      <c r="A8394"/>
      <c r="B8394"/>
      <c r="C8394"/>
      <c r="D8394"/>
      <c r="E8394"/>
      <c r="F8394"/>
      <c r="G8394"/>
      <c r="H8394"/>
      <c r="I8394"/>
      <c r="J8394"/>
      <c r="K8394" s="1"/>
      <c r="L8394" s="2"/>
    </row>
    <row r="8395" spans="1:12" x14ac:dyDescent="0.2">
      <c r="A8395"/>
      <c r="B8395"/>
      <c r="C8395"/>
      <c r="D8395"/>
      <c r="E8395"/>
      <c r="F8395"/>
      <c r="G8395"/>
      <c r="H8395"/>
      <c r="I8395"/>
      <c r="J8395"/>
      <c r="K8395" s="1"/>
      <c r="L8395" s="2"/>
    </row>
    <row r="8396" spans="1:12" x14ac:dyDescent="0.2">
      <c r="A8396"/>
      <c r="B8396"/>
      <c r="C8396"/>
      <c r="D8396"/>
      <c r="E8396"/>
      <c r="F8396"/>
      <c r="G8396"/>
      <c r="H8396"/>
      <c r="I8396"/>
      <c r="J8396"/>
      <c r="K8396" s="1"/>
      <c r="L8396" s="2"/>
    </row>
    <row r="8397" spans="1:12" x14ac:dyDescent="0.2">
      <c r="A8397"/>
      <c r="B8397"/>
      <c r="C8397"/>
      <c r="D8397"/>
      <c r="E8397"/>
      <c r="F8397"/>
      <c r="G8397"/>
      <c r="H8397"/>
      <c r="I8397"/>
      <c r="J8397"/>
      <c r="K8397" s="1"/>
      <c r="L8397" s="2"/>
    </row>
    <row r="8398" spans="1:12" x14ac:dyDescent="0.2">
      <c r="A8398"/>
      <c r="B8398"/>
      <c r="C8398"/>
      <c r="D8398"/>
      <c r="E8398"/>
      <c r="F8398"/>
      <c r="G8398"/>
      <c r="H8398"/>
      <c r="I8398"/>
      <c r="J8398"/>
      <c r="K8398" s="1"/>
      <c r="L8398" s="2"/>
    </row>
    <row r="8399" spans="1:12" x14ac:dyDescent="0.2">
      <c r="A8399"/>
      <c r="B8399"/>
      <c r="C8399"/>
      <c r="D8399"/>
      <c r="E8399"/>
      <c r="F8399"/>
      <c r="G8399"/>
      <c r="H8399"/>
      <c r="I8399"/>
      <c r="J8399"/>
      <c r="K8399" s="1"/>
      <c r="L8399" s="2"/>
    </row>
    <row r="8400" spans="1:12" x14ac:dyDescent="0.2">
      <c r="A8400"/>
      <c r="B8400"/>
      <c r="C8400"/>
      <c r="D8400"/>
      <c r="E8400"/>
      <c r="F8400"/>
      <c r="G8400"/>
      <c r="H8400"/>
      <c r="I8400"/>
      <c r="J8400"/>
      <c r="K8400" s="1"/>
      <c r="L8400" s="2"/>
    </row>
    <row r="8401" spans="1:12" x14ac:dyDescent="0.2">
      <c r="A8401"/>
      <c r="B8401"/>
      <c r="C8401"/>
      <c r="D8401"/>
      <c r="E8401"/>
      <c r="F8401"/>
      <c r="G8401"/>
      <c r="H8401"/>
      <c r="I8401"/>
      <c r="J8401"/>
      <c r="K8401" s="1"/>
      <c r="L8401" s="2"/>
    </row>
    <row r="8402" spans="1:12" x14ac:dyDescent="0.2">
      <c r="A8402"/>
      <c r="B8402"/>
      <c r="C8402"/>
      <c r="D8402"/>
      <c r="E8402"/>
      <c r="F8402"/>
      <c r="G8402"/>
      <c r="H8402"/>
      <c r="I8402"/>
      <c r="J8402"/>
      <c r="K8402" s="1"/>
      <c r="L8402" s="2"/>
    </row>
    <row r="8403" spans="1:12" x14ac:dyDescent="0.2">
      <c r="A8403"/>
      <c r="B8403"/>
      <c r="C8403"/>
      <c r="D8403"/>
      <c r="E8403"/>
      <c r="F8403"/>
      <c r="G8403"/>
      <c r="H8403"/>
      <c r="I8403"/>
      <c r="J8403"/>
      <c r="K8403" s="1"/>
      <c r="L8403" s="2"/>
    </row>
    <row r="8404" spans="1:12" x14ac:dyDescent="0.2">
      <c r="A8404"/>
      <c r="B8404"/>
      <c r="C8404"/>
      <c r="D8404"/>
      <c r="E8404"/>
      <c r="F8404"/>
      <c r="G8404"/>
      <c r="H8404"/>
      <c r="I8404"/>
      <c r="J8404"/>
      <c r="K8404" s="1"/>
      <c r="L8404" s="2"/>
    </row>
    <row r="8405" spans="1:12" x14ac:dyDescent="0.2">
      <c r="A8405"/>
      <c r="B8405"/>
      <c r="C8405"/>
      <c r="D8405"/>
      <c r="E8405"/>
      <c r="F8405"/>
      <c r="G8405"/>
      <c r="H8405"/>
      <c r="I8405"/>
      <c r="J8405"/>
      <c r="K8405" s="1"/>
      <c r="L8405" s="2"/>
    </row>
    <row r="8406" spans="1:12" x14ac:dyDescent="0.2">
      <c r="A8406"/>
      <c r="B8406"/>
      <c r="C8406"/>
      <c r="D8406"/>
      <c r="E8406"/>
      <c r="F8406"/>
      <c r="G8406"/>
      <c r="H8406"/>
      <c r="I8406"/>
      <c r="J8406"/>
      <c r="K8406" s="1"/>
      <c r="L8406" s="2"/>
    </row>
    <row r="8407" spans="1:12" x14ac:dyDescent="0.2">
      <c r="A8407"/>
      <c r="B8407"/>
      <c r="C8407"/>
      <c r="D8407"/>
      <c r="E8407"/>
      <c r="F8407"/>
      <c r="G8407"/>
      <c r="H8407"/>
      <c r="I8407"/>
      <c r="J8407"/>
      <c r="K8407" s="1"/>
      <c r="L8407" s="2"/>
    </row>
    <row r="8408" spans="1:12" x14ac:dyDescent="0.2">
      <c r="A8408"/>
      <c r="B8408"/>
      <c r="C8408"/>
      <c r="D8408"/>
      <c r="E8408"/>
      <c r="F8408"/>
      <c r="G8408"/>
      <c r="H8408"/>
      <c r="I8408"/>
      <c r="J8408"/>
      <c r="K8408" s="1"/>
      <c r="L8408" s="2"/>
    </row>
    <row r="8409" spans="1:12" x14ac:dyDescent="0.2">
      <c r="A8409"/>
      <c r="B8409"/>
      <c r="C8409"/>
      <c r="D8409"/>
      <c r="E8409"/>
      <c r="F8409"/>
      <c r="G8409"/>
      <c r="H8409"/>
      <c r="I8409"/>
      <c r="J8409"/>
      <c r="K8409" s="1"/>
      <c r="L8409" s="2"/>
    </row>
    <row r="8410" spans="1:12" x14ac:dyDescent="0.2">
      <c r="A8410"/>
      <c r="B8410"/>
      <c r="C8410"/>
      <c r="D8410"/>
      <c r="E8410"/>
      <c r="F8410"/>
      <c r="G8410"/>
      <c r="H8410"/>
      <c r="I8410"/>
      <c r="J8410"/>
      <c r="K8410" s="1"/>
      <c r="L8410" s="2"/>
    </row>
    <row r="8411" spans="1:12" x14ac:dyDescent="0.2">
      <c r="A8411"/>
      <c r="B8411"/>
      <c r="C8411"/>
      <c r="D8411"/>
      <c r="E8411"/>
      <c r="F8411"/>
      <c r="G8411"/>
      <c r="H8411"/>
      <c r="I8411"/>
      <c r="J8411"/>
      <c r="K8411" s="1"/>
      <c r="L8411" s="2"/>
    </row>
    <row r="8412" spans="1:12" x14ac:dyDescent="0.2">
      <c r="A8412"/>
      <c r="B8412"/>
      <c r="C8412"/>
      <c r="D8412"/>
      <c r="E8412"/>
      <c r="F8412"/>
      <c r="G8412"/>
      <c r="H8412"/>
      <c r="I8412"/>
      <c r="J8412"/>
      <c r="K8412" s="1"/>
      <c r="L8412" s="2"/>
    </row>
    <row r="8413" spans="1:12" x14ac:dyDescent="0.2">
      <c r="A8413"/>
      <c r="B8413"/>
      <c r="C8413"/>
      <c r="D8413"/>
      <c r="E8413"/>
      <c r="F8413"/>
      <c r="G8413"/>
      <c r="H8413"/>
      <c r="I8413"/>
      <c r="J8413"/>
      <c r="K8413" s="1"/>
      <c r="L8413" s="2"/>
    </row>
    <row r="8414" spans="1:12" x14ac:dyDescent="0.2">
      <c r="A8414"/>
      <c r="B8414"/>
      <c r="C8414"/>
      <c r="D8414"/>
      <c r="E8414"/>
      <c r="F8414"/>
      <c r="G8414"/>
      <c r="H8414"/>
      <c r="I8414"/>
      <c r="J8414"/>
      <c r="K8414" s="1"/>
      <c r="L8414" s="2"/>
    </row>
    <row r="8415" spans="1:12" x14ac:dyDescent="0.2">
      <c r="A8415"/>
      <c r="B8415"/>
      <c r="C8415"/>
      <c r="D8415"/>
      <c r="E8415"/>
      <c r="F8415"/>
      <c r="G8415"/>
      <c r="H8415"/>
      <c r="I8415"/>
      <c r="J8415"/>
      <c r="K8415" s="1"/>
      <c r="L8415" s="2"/>
    </row>
    <row r="8416" spans="1:12" x14ac:dyDescent="0.2">
      <c r="A8416"/>
      <c r="B8416"/>
      <c r="C8416"/>
      <c r="D8416"/>
      <c r="E8416"/>
      <c r="F8416"/>
      <c r="G8416"/>
      <c r="H8416"/>
      <c r="I8416"/>
      <c r="J8416"/>
      <c r="K8416" s="1"/>
      <c r="L8416" s="2"/>
    </row>
    <row r="8417" spans="1:12" x14ac:dyDescent="0.2">
      <c r="A8417"/>
      <c r="B8417"/>
      <c r="C8417"/>
      <c r="D8417"/>
      <c r="E8417"/>
      <c r="F8417"/>
      <c r="G8417"/>
      <c r="H8417"/>
      <c r="I8417"/>
      <c r="J8417"/>
      <c r="K8417" s="1"/>
      <c r="L8417" s="2"/>
    </row>
    <row r="8418" spans="1:12" x14ac:dyDescent="0.2">
      <c r="A8418"/>
      <c r="B8418"/>
      <c r="C8418"/>
      <c r="D8418"/>
      <c r="E8418"/>
      <c r="F8418"/>
      <c r="G8418"/>
      <c r="H8418"/>
      <c r="I8418"/>
      <c r="J8418"/>
      <c r="K8418" s="1"/>
      <c r="L8418" s="2"/>
    </row>
    <row r="8419" spans="1:12" x14ac:dyDescent="0.2">
      <c r="A8419"/>
      <c r="B8419"/>
      <c r="C8419"/>
      <c r="D8419"/>
      <c r="E8419"/>
      <c r="F8419"/>
      <c r="G8419"/>
      <c r="H8419"/>
      <c r="I8419"/>
      <c r="J8419"/>
      <c r="K8419" s="1"/>
      <c r="L8419" s="2"/>
    </row>
    <row r="8420" spans="1:12" x14ac:dyDescent="0.2">
      <c r="A8420"/>
      <c r="B8420"/>
      <c r="C8420"/>
      <c r="D8420"/>
      <c r="E8420"/>
      <c r="F8420"/>
      <c r="G8420"/>
      <c r="H8420"/>
      <c r="I8420"/>
      <c r="J8420"/>
      <c r="K8420" s="1"/>
      <c r="L8420" s="2"/>
    </row>
    <row r="8421" spans="1:12" x14ac:dyDescent="0.2">
      <c r="A8421"/>
      <c r="B8421"/>
      <c r="C8421"/>
      <c r="D8421"/>
      <c r="E8421"/>
      <c r="F8421"/>
      <c r="G8421"/>
      <c r="H8421"/>
      <c r="I8421"/>
      <c r="J8421"/>
      <c r="K8421" s="1"/>
      <c r="L8421" s="2"/>
    </row>
    <row r="8422" spans="1:12" x14ac:dyDescent="0.2">
      <c r="A8422"/>
      <c r="B8422"/>
      <c r="C8422"/>
      <c r="D8422"/>
      <c r="E8422"/>
      <c r="F8422"/>
      <c r="G8422"/>
      <c r="H8422"/>
      <c r="I8422"/>
      <c r="J8422"/>
      <c r="K8422" s="1"/>
      <c r="L8422" s="2"/>
    </row>
    <row r="8423" spans="1:12" x14ac:dyDescent="0.2">
      <c r="A8423"/>
      <c r="B8423"/>
      <c r="C8423"/>
      <c r="D8423"/>
      <c r="E8423"/>
      <c r="F8423"/>
      <c r="G8423"/>
      <c r="H8423"/>
      <c r="I8423"/>
      <c r="J8423"/>
      <c r="K8423" s="1"/>
      <c r="L8423" s="2"/>
    </row>
    <row r="8424" spans="1:12" x14ac:dyDescent="0.2">
      <c r="A8424"/>
      <c r="B8424"/>
      <c r="C8424"/>
      <c r="D8424"/>
      <c r="E8424"/>
      <c r="F8424"/>
      <c r="G8424"/>
      <c r="H8424"/>
      <c r="I8424"/>
      <c r="J8424"/>
      <c r="K8424" s="1"/>
      <c r="L8424" s="2"/>
    </row>
    <row r="8425" spans="1:12" x14ac:dyDescent="0.2">
      <c r="A8425"/>
      <c r="B8425"/>
      <c r="C8425"/>
      <c r="D8425"/>
      <c r="E8425"/>
      <c r="F8425"/>
      <c r="G8425"/>
      <c r="H8425"/>
      <c r="I8425"/>
      <c r="J8425"/>
      <c r="K8425" s="1"/>
      <c r="L8425" s="2"/>
    </row>
    <row r="8426" spans="1:12" x14ac:dyDescent="0.2">
      <c r="A8426"/>
      <c r="B8426"/>
      <c r="C8426"/>
      <c r="D8426"/>
      <c r="E8426"/>
      <c r="F8426"/>
      <c r="G8426"/>
      <c r="H8426"/>
      <c r="I8426"/>
      <c r="J8426"/>
      <c r="K8426" s="1"/>
      <c r="L8426" s="2"/>
    </row>
    <row r="8427" spans="1:12" x14ac:dyDescent="0.2">
      <c r="A8427"/>
      <c r="B8427"/>
      <c r="C8427"/>
      <c r="D8427"/>
      <c r="E8427"/>
      <c r="F8427"/>
      <c r="G8427"/>
      <c r="H8427"/>
      <c r="I8427"/>
      <c r="J8427"/>
      <c r="K8427" s="1"/>
      <c r="L8427" s="2"/>
    </row>
    <row r="8428" spans="1:12" x14ac:dyDescent="0.2">
      <c r="A8428"/>
      <c r="B8428"/>
      <c r="C8428"/>
      <c r="D8428"/>
      <c r="E8428"/>
      <c r="F8428"/>
      <c r="G8428"/>
      <c r="H8428"/>
      <c r="I8428"/>
      <c r="J8428"/>
      <c r="K8428" s="1"/>
      <c r="L8428" s="2"/>
    </row>
    <row r="8429" spans="1:12" x14ac:dyDescent="0.2">
      <c r="A8429"/>
      <c r="B8429"/>
      <c r="C8429"/>
      <c r="D8429"/>
      <c r="E8429"/>
      <c r="F8429"/>
      <c r="G8429"/>
      <c r="H8429"/>
      <c r="I8429"/>
      <c r="J8429"/>
      <c r="K8429" s="1"/>
      <c r="L8429" s="2"/>
    </row>
    <row r="8430" spans="1:12" x14ac:dyDescent="0.2">
      <c r="A8430"/>
      <c r="B8430"/>
      <c r="C8430"/>
      <c r="D8430"/>
      <c r="E8430"/>
      <c r="F8430"/>
      <c r="G8430"/>
      <c r="H8430"/>
      <c r="I8430"/>
      <c r="J8430"/>
      <c r="K8430" s="1"/>
      <c r="L8430" s="2"/>
    </row>
    <row r="8431" spans="1:12" x14ac:dyDescent="0.2">
      <c r="A8431"/>
      <c r="B8431"/>
      <c r="C8431"/>
      <c r="D8431"/>
      <c r="E8431"/>
      <c r="F8431"/>
      <c r="G8431"/>
      <c r="H8431"/>
      <c r="I8431"/>
      <c r="J8431"/>
      <c r="K8431" s="1"/>
      <c r="L8431" s="2"/>
    </row>
    <row r="8432" spans="1:12" x14ac:dyDescent="0.2">
      <c r="A8432"/>
      <c r="B8432"/>
      <c r="C8432"/>
      <c r="D8432"/>
      <c r="E8432"/>
      <c r="F8432"/>
      <c r="G8432"/>
      <c r="H8432"/>
      <c r="I8432"/>
      <c r="J8432"/>
      <c r="K8432" s="1"/>
      <c r="L8432" s="2"/>
    </row>
    <row r="8433" spans="1:12" x14ac:dyDescent="0.2">
      <c r="A8433"/>
      <c r="B8433"/>
      <c r="C8433"/>
      <c r="D8433"/>
      <c r="E8433"/>
      <c r="F8433"/>
      <c r="G8433"/>
      <c r="H8433"/>
      <c r="I8433"/>
      <c r="J8433"/>
      <c r="K8433" s="1"/>
      <c r="L8433" s="2"/>
    </row>
    <row r="8434" spans="1:12" x14ac:dyDescent="0.2">
      <c r="A8434"/>
      <c r="B8434"/>
      <c r="C8434"/>
      <c r="D8434"/>
      <c r="E8434"/>
      <c r="F8434"/>
      <c r="G8434"/>
      <c r="H8434"/>
      <c r="I8434"/>
      <c r="J8434"/>
      <c r="K8434" s="1"/>
      <c r="L8434" s="2"/>
    </row>
    <row r="8435" spans="1:12" x14ac:dyDescent="0.2">
      <c r="A8435"/>
      <c r="B8435"/>
      <c r="C8435"/>
      <c r="D8435"/>
      <c r="E8435"/>
      <c r="F8435"/>
      <c r="G8435"/>
      <c r="H8435"/>
      <c r="I8435"/>
      <c r="J8435"/>
      <c r="K8435" s="1"/>
      <c r="L8435" s="2"/>
    </row>
    <row r="8436" spans="1:12" x14ac:dyDescent="0.2">
      <c r="A8436"/>
      <c r="B8436"/>
      <c r="C8436"/>
      <c r="D8436"/>
      <c r="E8436"/>
      <c r="F8436"/>
      <c r="G8436"/>
      <c r="H8436"/>
      <c r="I8436"/>
      <c r="J8436"/>
      <c r="K8436" s="1"/>
      <c r="L8436" s="2"/>
    </row>
    <row r="8437" spans="1:12" x14ac:dyDescent="0.2">
      <c r="A8437"/>
      <c r="B8437"/>
      <c r="C8437"/>
      <c r="D8437"/>
      <c r="E8437"/>
      <c r="F8437"/>
      <c r="G8437"/>
      <c r="H8437"/>
      <c r="I8437"/>
      <c r="J8437"/>
      <c r="K8437" s="1"/>
      <c r="L8437" s="2"/>
    </row>
    <row r="8438" spans="1:12" x14ac:dyDescent="0.2">
      <c r="A8438"/>
      <c r="B8438"/>
      <c r="C8438"/>
      <c r="D8438"/>
      <c r="E8438"/>
      <c r="F8438"/>
      <c r="G8438"/>
      <c r="H8438"/>
      <c r="I8438"/>
      <c r="J8438"/>
      <c r="K8438" s="1"/>
      <c r="L8438" s="2"/>
    </row>
    <row r="8439" spans="1:12" x14ac:dyDescent="0.2">
      <c r="A8439"/>
      <c r="B8439"/>
      <c r="C8439"/>
      <c r="D8439"/>
      <c r="E8439"/>
      <c r="F8439"/>
      <c r="G8439"/>
      <c r="H8439"/>
      <c r="I8439"/>
      <c r="J8439"/>
      <c r="K8439" s="1"/>
      <c r="L8439" s="2"/>
    </row>
    <row r="8440" spans="1:12" x14ac:dyDescent="0.2">
      <c r="A8440"/>
      <c r="B8440"/>
      <c r="C8440"/>
      <c r="D8440"/>
      <c r="E8440"/>
      <c r="F8440"/>
      <c r="G8440"/>
      <c r="H8440"/>
      <c r="I8440"/>
      <c r="J8440"/>
      <c r="K8440" s="1"/>
      <c r="L8440" s="2"/>
    </row>
    <row r="8441" spans="1:12" x14ac:dyDescent="0.2">
      <c r="A8441"/>
      <c r="B8441"/>
      <c r="C8441"/>
      <c r="D8441"/>
      <c r="E8441"/>
      <c r="F8441"/>
      <c r="G8441"/>
      <c r="H8441"/>
      <c r="I8441"/>
      <c r="J8441"/>
      <c r="K8441" s="1"/>
      <c r="L8441" s="2"/>
    </row>
    <row r="8442" spans="1:12" x14ac:dyDescent="0.2">
      <c r="A8442"/>
      <c r="B8442"/>
      <c r="C8442"/>
      <c r="D8442"/>
      <c r="E8442"/>
      <c r="F8442"/>
      <c r="G8442"/>
      <c r="H8442"/>
      <c r="I8442"/>
      <c r="J8442"/>
      <c r="K8442" s="1"/>
      <c r="L8442" s="2"/>
    </row>
    <row r="8443" spans="1:12" x14ac:dyDescent="0.2">
      <c r="A8443"/>
      <c r="B8443"/>
      <c r="C8443"/>
      <c r="D8443"/>
      <c r="E8443"/>
      <c r="F8443"/>
      <c r="G8443"/>
      <c r="H8443"/>
      <c r="I8443"/>
      <c r="J8443"/>
      <c r="K8443" s="1"/>
      <c r="L8443" s="2"/>
    </row>
    <row r="8444" spans="1:12" x14ac:dyDescent="0.2">
      <c r="A8444"/>
      <c r="B8444"/>
      <c r="C8444"/>
      <c r="D8444"/>
      <c r="E8444"/>
      <c r="F8444"/>
      <c r="G8444"/>
      <c r="H8444"/>
      <c r="I8444"/>
      <c r="J8444"/>
      <c r="K8444" s="1"/>
      <c r="L8444" s="2"/>
    </row>
    <row r="8445" spans="1:12" x14ac:dyDescent="0.2">
      <c r="A8445"/>
      <c r="B8445"/>
      <c r="C8445"/>
      <c r="D8445"/>
      <c r="E8445"/>
      <c r="F8445"/>
      <c r="G8445"/>
      <c r="H8445"/>
      <c r="I8445"/>
      <c r="J8445"/>
      <c r="K8445" s="1"/>
      <c r="L8445" s="2"/>
    </row>
    <row r="8446" spans="1:12" x14ac:dyDescent="0.2">
      <c r="A8446"/>
      <c r="B8446"/>
      <c r="C8446"/>
      <c r="D8446"/>
      <c r="E8446"/>
      <c r="F8446"/>
      <c r="G8446"/>
      <c r="H8446"/>
      <c r="I8446"/>
      <c r="J8446"/>
      <c r="K8446" s="1"/>
      <c r="L8446" s="2"/>
    </row>
    <row r="8447" spans="1:12" x14ac:dyDescent="0.2">
      <c r="A8447"/>
      <c r="B8447"/>
      <c r="C8447"/>
      <c r="D8447"/>
      <c r="E8447"/>
      <c r="F8447"/>
      <c r="G8447"/>
      <c r="H8447"/>
      <c r="I8447"/>
      <c r="J8447"/>
      <c r="K8447" s="1"/>
      <c r="L8447" s="2"/>
    </row>
    <row r="8448" spans="1:12" x14ac:dyDescent="0.2">
      <c r="A8448"/>
      <c r="B8448"/>
      <c r="C8448"/>
      <c r="D8448"/>
      <c r="E8448"/>
      <c r="F8448"/>
      <c r="G8448"/>
      <c r="H8448"/>
      <c r="I8448"/>
      <c r="J8448"/>
      <c r="K8448" s="1"/>
      <c r="L8448" s="2"/>
    </row>
    <row r="8449" spans="1:12" x14ac:dyDescent="0.2">
      <c r="A8449"/>
      <c r="B8449"/>
      <c r="C8449"/>
      <c r="D8449"/>
      <c r="E8449"/>
      <c r="F8449"/>
      <c r="G8449"/>
      <c r="H8449"/>
      <c r="I8449"/>
      <c r="J8449"/>
      <c r="K8449" s="1"/>
      <c r="L8449" s="2"/>
    </row>
    <row r="8450" spans="1:12" x14ac:dyDescent="0.2">
      <c r="A8450"/>
      <c r="B8450"/>
      <c r="C8450"/>
      <c r="D8450"/>
      <c r="E8450"/>
      <c r="F8450"/>
      <c r="G8450"/>
      <c r="H8450"/>
      <c r="I8450"/>
      <c r="J8450"/>
      <c r="K8450" s="1"/>
      <c r="L8450" s="2"/>
    </row>
    <row r="8451" spans="1:12" x14ac:dyDescent="0.2">
      <c r="A8451"/>
      <c r="B8451"/>
      <c r="C8451"/>
      <c r="D8451"/>
      <c r="E8451"/>
      <c r="F8451"/>
      <c r="G8451"/>
      <c r="H8451"/>
      <c r="I8451"/>
      <c r="J8451"/>
      <c r="K8451" s="1"/>
      <c r="L8451" s="2"/>
    </row>
    <row r="8452" spans="1:12" x14ac:dyDescent="0.2">
      <c r="A8452"/>
      <c r="B8452"/>
      <c r="C8452"/>
      <c r="D8452"/>
      <c r="E8452"/>
      <c r="F8452"/>
      <c r="G8452"/>
      <c r="H8452"/>
      <c r="I8452"/>
      <c r="J8452"/>
      <c r="K8452" s="1"/>
      <c r="L8452" s="2"/>
    </row>
    <row r="8453" spans="1:12" x14ac:dyDescent="0.2">
      <c r="A8453"/>
      <c r="B8453"/>
      <c r="C8453"/>
      <c r="D8453"/>
      <c r="E8453"/>
      <c r="F8453"/>
      <c r="G8453"/>
      <c r="H8453"/>
      <c r="I8453"/>
      <c r="J8453"/>
      <c r="K8453" s="1"/>
      <c r="L8453" s="2"/>
    </row>
    <row r="8454" spans="1:12" x14ac:dyDescent="0.2">
      <c r="A8454"/>
      <c r="B8454"/>
      <c r="C8454"/>
      <c r="D8454"/>
      <c r="E8454"/>
      <c r="F8454"/>
      <c r="G8454"/>
      <c r="H8454"/>
      <c r="I8454"/>
      <c r="J8454"/>
      <c r="K8454" s="1"/>
      <c r="L8454" s="2"/>
    </row>
    <row r="8455" spans="1:12" x14ac:dyDescent="0.2">
      <c r="A8455"/>
      <c r="B8455"/>
      <c r="C8455"/>
      <c r="D8455"/>
      <c r="E8455"/>
      <c r="F8455"/>
      <c r="G8455"/>
      <c r="H8455"/>
      <c r="I8455"/>
      <c r="J8455"/>
      <c r="K8455" s="1"/>
      <c r="L8455" s="2"/>
    </row>
    <row r="8456" spans="1:12" x14ac:dyDescent="0.2">
      <c r="A8456"/>
      <c r="B8456"/>
      <c r="C8456"/>
      <c r="D8456"/>
      <c r="E8456"/>
      <c r="F8456"/>
      <c r="G8456"/>
      <c r="H8456"/>
      <c r="I8456"/>
      <c r="J8456"/>
      <c r="K8456" s="1"/>
      <c r="L8456" s="2"/>
    </row>
    <row r="8457" spans="1:12" x14ac:dyDescent="0.2">
      <c r="A8457"/>
      <c r="B8457"/>
      <c r="C8457"/>
      <c r="D8457"/>
      <c r="E8457"/>
      <c r="F8457"/>
      <c r="G8457"/>
      <c r="H8457"/>
      <c r="I8457"/>
      <c r="J8457"/>
      <c r="K8457" s="1"/>
      <c r="L8457" s="2"/>
    </row>
    <row r="8458" spans="1:12" x14ac:dyDescent="0.2">
      <c r="A8458"/>
      <c r="B8458"/>
      <c r="C8458"/>
      <c r="D8458"/>
      <c r="E8458"/>
      <c r="F8458"/>
      <c r="G8458"/>
      <c r="H8458"/>
      <c r="I8458"/>
      <c r="J8458"/>
      <c r="K8458" s="1"/>
      <c r="L8458" s="2"/>
    </row>
    <row r="8459" spans="1:12" x14ac:dyDescent="0.2">
      <c r="A8459"/>
      <c r="B8459"/>
      <c r="C8459"/>
      <c r="D8459"/>
      <c r="E8459"/>
      <c r="F8459"/>
      <c r="G8459"/>
      <c r="H8459"/>
      <c r="I8459"/>
      <c r="J8459"/>
      <c r="K8459" s="1"/>
      <c r="L8459" s="2"/>
    </row>
    <row r="8460" spans="1:12" x14ac:dyDescent="0.2">
      <c r="A8460"/>
      <c r="B8460"/>
      <c r="C8460"/>
      <c r="D8460"/>
      <c r="E8460"/>
      <c r="F8460"/>
      <c r="G8460"/>
      <c r="H8460"/>
      <c r="I8460"/>
      <c r="J8460"/>
      <c r="K8460" s="1"/>
      <c r="L8460" s="2"/>
    </row>
    <row r="8461" spans="1:12" x14ac:dyDescent="0.2">
      <c r="A8461"/>
      <c r="B8461"/>
      <c r="C8461"/>
      <c r="D8461"/>
      <c r="E8461"/>
      <c r="F8461"/>
      <c r="G8461"/>
      <c r="H8461"/>
      <c r="I8461"/>
      <c r="J8461"/>
      <c r="K8461" s="1"/>
      <c r="L8461" s="2"/>
    </row>
    <row r="8462" spans="1:12" x14ac:dyDescent="0.2">
      <c r="A8462"/>
      <c r="B8462"/>
      <c r="C8462"/>
      <c r="D8462"/>
      <c r="E8462"/>
      <c r="F8462"/>
      <c r="G8462"/>
      <c r="H8462"/>
      <c r="I8462"/>
      <c r="J8462"/>
      <c r="K8462" s="1"/>
      <c r="L8462" s="2"/>
    </row>
    <row r="8463" spans="1:12" x14ac:dyDescent="0.2">
      <c r="A8463"/>
      <c r="B8463"/>
      <c r="C8463"/>
      <c r="D8463"/>
      <c r="E8463"/>
      <c r="F8463"/>
      <c r="G8463"/>
      <c r="H8463"/>
      <c r="I8463"/>
      <c r="J8463"/>
      <c r="K8463" s="1"/>
      <c r="L8463" s="2"/>
    </row>
    <row r="8464" spans="1:12" x14ac:dyDescent="0.2">
      <c r="A8464"/>
      <c r="B8464"/>
      <c r="C8464"/>
      <c r="D8464"/>
      <c r="E8464"/>
      <c r="F8464"/>
      <c r="G8464"/>
      <c r="H8464"/>
      <c r="I8464"/>
      <c r="J8464"/>
      <c r="K8464" s="1"/>
      <c r="L8464" s="2"/>
    </row>
    <row r="8465" spans="1:12" x14ac:dyDescent="0.2">
      <c r="A8465"/>
      <c r="B8465"/>
      <c r="C8465"/>
      <c r="D8465"/>
      <c r="E8465"/>
      <c r="F8465"/>
      <c r="G8465"/>
      <c r="H8465"/>
      <c r="I8465"/>
      <c r="J8465"/>
      <c r="K8465" s="1"/>
      <c r="L8465" s="2"/>
    </row>
    <row r="8466" spans="1:12" x14ac:dyDescent="0.2">
      <c r="A8466"/>
      <c r="B8466"/>
      <c r="C8466"/>
      <c r="D8466"/>
      <c r="E8466"/>
      <c r="F8466"/>
      <c r="G8466"/>
      <c r="H8466"/>
      <c r="I8466"/>
      <c r="J8466"/>
      <c r="K8466" s="1"/>
      <c r="L8466" s="2"/>
    </row>
    <row r="8467" spans="1:12" x14ac:dyDescent="0.2">
      <c r="A8467"/>
      <c r="B8467"/>
      <c r="C8467"/>
      <c r="D8467"/>
      <c r="E8467"/>
      <c r="F8467"/>
      <c r="G8467"/>
      <c r="H8467"/>
      <c r="I8467"/>
      <c r="J8467"/>
      <c r="K8467" s="1"/>
      <c r="L8467" s="2"/>
    </row>
    <row r="8468" spans="1:12" x14ac:dyDescent="0.2">
      <c r="A8468"/>
      <c r="B8468"/>
      <c r="C8468"/>
      <c r="D8468"/>
      <c r="E8468"/>
      <c r="F8468"/>
      <c r="G8468"/>
      <c r="H8468"/>
      <c r="I8468"/>
      <c r="J8468"/>
      <c r="K8468" s="1"/>
      <c r="L8468" s="2"/>
    </row>
    <row r="8469" spans="1:12" x14ac:dyDescent="0.2">
      <c r="A8469"/>
      <c r="B8469"/>
      <c r="C8469"/>
      <c r="D8469"/>
      <c r="E8469"/>
      <c r="F8469"/>
      <c r="G8469"/>
      <c r="H8469"/>
      <c r="I8469"/>
      <c r="J8469"/>
      <c r="K8469" s="1"/>
      <c r="L8469" s="2"/>
    </row>
    <row r="8470" spans="1:12" x14ac:dyDescent="0.2">
      <c r="A8470"/>
      <c r="B8470"/>
      <c r="C8470"/>
      <c r="D8470"/>
      <c r="E8470"/>
      <c r="F8470"/>
      <c r="G8470"/>
      <c r="H8470"/>
      <c r="I8470"/>
      <c r="J8470"/>
      <c r="K8470" s="1"/>
      <c r="L8470" s="2"/>
    </row>
    <row r="8471" spans="1:12" x14ac:dyDescent="0.2">
      <c r="A8471"/>
      <c r="B8471"/>
      <c r="C8471"/>
      <c r="D8471"/>
      <c r="E8471"/>
      <c r="F8471"/>
      <c r="G8471"/>
      <c r="H8471"/>
      <c r="I8471"/>
      <c r="J8471"/>
      <c r="K8471" s="1"/>
      <c r="L8471" s="2"/>
    </row>
    <row r="8472" spans="1:12" x14ac:dyDescent="0.2">
      <c r="A8472"/>
      <c r="B8472"/>
      <c r="C8472"/>
      <c r="D8472"/>
      <c r="E8472"/>
      <c r="F8472"/>
      <c r="G8472"/>
      <c r="H8472"/>
      <c r="I8472"/>
      <c r="J8472"/>
      <c r="K8472" s="1"/>
      <c r="L8472" s="2"/>
    </row>
    <row r="8473" spans="1:12" x14ac:dyDescent="0.2">
      <c r="A8473"/>
      <c r="B8473"/>
      <c r="C8473"/>
      <c r="D8473"/>
      <c r="E8473"/>
      <c r="F8473"/>
      <c r="G8473"/>
      <c r="H8473"/>
      <c r="I8473"/>
      <c r="J8473"/>
      <c r="K8473" s="1"/>
      <c r="L8473" s="2"/>
    </row>
    <row r="8474" spans="1:12" x14ac:dyDescent="0.2">
      <c r="A8474"/>
      <c r="B8474"/>
      <c r="C8474"/>
      <c r="D8474"/>
      <c r="E8474"/>
      <c r="F8474"/>
      <c r="G8474"/>
      <c r="H8474"/>
      <c r="I8474"/>
      <c r="J8474"/>
      <c r="K8474" s="1"/>
      <c r="L8474" s="2"/>
    </row>
    <row r="8475" spans="1:12" x14ac:dyDescent="0.2">
      <c r="A8475"/>
      <c r="B8475"/>
      <c r="C8475"/>
      <c r="D8475"/>
      <c r="E8475"/>
      <c r="F8475"/>
      <c r="G8475"/>
      <c r="H8475"/>
      <c r="I8475"/>
      <c r="J8475"/>
      <c r="K8475" s="1"/>
      <c r="L8475" s="2"/>
    </row>
    <row r="8476" spans="1:12" x14ac:dyDescent="0.2">
      <c r="A8476"/>
      <c r="B8476"/>
      <c r="C8476"/>
      <c r="D8476"/>
      <c r="E8476"/>
      <c r="F8476"/>
      <c r="G8476"/>
      <c r="H8476"/>
      <c r="I8476"/>
      <c r="J8476"/>
      <c r="K8476" s="1"/>
      <c r="L8476" s="2"/>
    </row>
    <row r="8477" spans="1:12" x14ac:dyDescent="0.2">
      <c r="A8477"/>
      <c r="B8477"/>
      <c r="C8477"/>
      <c r="D8477"/>
      <c r="E8477"/>
      <c r="F8477"/>
      <c r="G8477"/>
      <c r="H8477"/>
      <c r="I8477"/>
      <c r="J8477"/>
      <c r="K8477" s="1"/>
      <c r="L8477" s="2"/>
    </row>
    <row r="8478" spans="1:12" x14ac:dyDescent="0.2">
      <c r="A8478"/>
      <c r="B8478"/>
      <c r="C8478"/>
      <c r="D8478"/>
      <c r="E8478"/>
      <c r="F8478"/>
      <c r="G8478"/>
      <c r="H8478"/>
      <c r="I8478"/>
      <c r="J8478"/>
      <c r="K8478" s="1"/>
      <c r="L8478" s="2"/>
    </row>
    <row r="8479" spans="1:12" x14ac:dyDescent="0.2">
      <c r="A8479"/>
      <c r="B8479"/>
      <c r="C8479"/>
      <c r="D8479"/>
      <c r="E8479"/>
      <c r="F8479"/>
      <c r="G8479"/>
      <c r="H8479"/>
      <c r="I8479"/>
      <c r="J8479"/>
      <c r="K8479" s="1"/>
      <c r="L8479" s="2"/>
    </row>
    <row r="8480" spans="1:12" x14ac:dyDescent="0.2">
      <c r="A8480"/>
      <c r="B8480"/>
      <c r="C8480"/>
      <c r="D8480"/>
      <c r="E8480"/>
      <c r="F8480"/>
      <c r="G8480"/>
      <c r="H8480"/>
      <c r="I8480"/>
      <c r="J8480"/>
      <c r="K8480" s="1"/>
      <c r="L8480" s="2"/>
    </row>
    <row r="8481" spans="1:12" x14ac:dyDescent="0.2">
      <c r="A8481"/>
      <c r="B8481"/>
      <c r="C8481"/>
      <c r="D8481"/>
      <c r="E8481"/>
      <c r="F8481"/>
      <c r="G8481"/>
      <c r="H8481"/>
      <c r="I8481"/>
      <c r="J8481"/>
      <c r="K8481" s="1"/>
      <c r="L8481" s="2"/>
    </row>
    <row r="8482" spans="1:12" x14ac:dyDescent="0.2">
      <c r="A8482"/>
      <c r="B8482"/>
      <c r="C8482"/>
      <c r="D8482"/>
      <c r="E8482"/>
      <c r="F8482"/>
      <c r="G8482"/>
      <c r="H8482"/>
      <c r="I8482"/>
      <c r="J8482"/>
      <c r="K8482" s="1"/>
      <c r="L8482" s="2"/>
    </row>
    <row r="8483" spans="1:12" x14ac:dyDescent="0.2">
      <c r="A8483"/>
      <c r="B8483"/>
      <c r="C8483"/>
      <c r="D8483"/>
      <c r="E8483"/>
      <c r="F8483"/>
      <c r="G8483"/>
      <c r="H8483"/>
      <c r="I8483"/>
      <c r="J8483"/>
      <c r="K8483" s="1"/>
      <c r="L8483" s="2"/>
    </row>
    <row r="8484" spans="1:12" x14ac:dyDescent="0.2">
      <c r="A8484"/>
      <c r="B8484"/>
      <c r="C8484"/>
      <c r="D8484"/>
      <c r="E8484"/>
      <c r="F8484"/>
      <c r="G8484"/>
      <c r="H8484"/>
      <c r="I8484"/>
      <c r="J8484"/>
      <c r="K8484" s="1"/>
      <c r="L8484" s="2"/>
    </row>
    <row r="8485" spans="1:12" x14ac:dyDescent="0.2">
      <c r="A8485"/>
      <c r="B8485"/>
      <c r="C8485"/>
      <c r="D8485"/>
      <c r="E8485"/>
      <c r="F8485"/>
      <c r="G8485"/>
      <c r="H8485"/>
      <c r="I8485"/>
      <c r="J8485"/>
      <c r="K8485" s="1"/>
      <c r="L8485" s="2"/>
    </row>
    <row r="8486" spans="1:12" x14ac:dyDescent="0.2">
      <c r="A8486"/>
      <c r="B8486"/>
      <c r="C8486"/>
      <c r="D8486"/>
      <c r="E8486"/>
      <c r="F8486"/>
      <c r="G8486"/>
      <c r="H8486"/>
      <c r="I8486"/>
      <c r="J8486"/>
      <c r="K8486" s="1"/>
      <c r="L8486" s="2"/>
    </row>
    <row r="8487" spans="1:12" x14ac:dyDescent="0.2">
      <c r="A8487"/>
      <c r="B8487"/>
      <c r="C8487"/>
      <c r="D8487"/>
      <c r="E8487"/>
      <c r="F8487"/>
      <c r="G8487"/>
      <c r="H8487"/>
      <c r="I8487"/>
      <c r="J8487"/>
      <c r="K8487" s="1"/>
      <c r="L8487" s="2"/>
    </row>
    <row r="8488" spans="1:12" x14ac:dyDescent="0.2">
      <c r="A8488"/>
      <c r="B8488"/>
      <c r="C8488"/>
      <c r="D8488"/>
      <c r="E8488"/>
      <c r="F8488"/>
      <c r="G8488"/>
      <c r="H8488"/>
      <c r="I8488"/>
      <c r="J8488"/>
      <c r="K8488" s="1"/>
      <c r="L8488" s="2"/>
    </row>
    <row r="8489" spans="1:12" x14ac:dyDescent="0.2">
      <c r="A8489"/>
      <c r="B8489"/>
      <c r="C8489"/>
      <c r="D8489"/>
      <c r="E8489"/>
      <c r="F8489"/>
      <c r="G8489"/>
      <c r="H8489"/>
      <c r="I8489"/>
      <c r="J8489"/>
      <c r="K8489" s="1"/>
      <c r="L8489" s="2"/>
    </row>
    <row r="8490" spans="1:12" x14ac:dyDescent="0.2">
      <c r="A8490"/>
      <c r="B8490"/>
      <c r="C8490"/>
      <c r="D8490"/>
      <c r="E8490"/>
      <c r="F8490"/>
      <c r="G8490"/>
      <c r="H8490"/>
      <c r="I8490"/>
      <c r="J8490"/>
      <c r="K8490" s="1"/>
      <c r="L8490" s="2"/>
    </row>
    <row r="8491" spans="1:12" x14ac:dyDescent="0.2">
      <c r="A8491"/>
      <c r="B8491"/>
      <c r="C8491"/>
      <c r="D8491"/>
      <c r="E8491"/>
      <c r="F8491"/>
      <c r="G8491"/>
      <c r="H8491"/>
      <c r="I8491"/>
      <c r="J8491"/>
      <c r="K8491" s="1"/>
      <c r="L8491" s="2"/>
    </row>
    <row r="8492" spans="1:12" x14ac:dyDescent="0.2">
      <c r="A8492"/>
      <c r="B8492"/>
      <c r="C8492"/>
      <c r="D8492"/>
      <c r="E8492"/>
      <c r="F8492"/>
      <c r="G8492"/>
      <c r="H8492"/>
      <c r="I8492"/>
      <c r="J8492"/>
      <c r="K8492" s="1"/>
      <c r="L8492" s="2"/>
    </row>
    <row r="8493" spans="1:12" x14ac:dyDescent="0.2">
      <c r="A8493"/>
      <c r="B8493"/>
      <c r="C8493"/>
      <c r="D8493"/>
      <c r="E8493"/>
      <c r="F8493"/>
      <c r="G8493"/>
      <c r="H8493"/>
      <c r="I8493"/>
      <c r="J8493"/>
      <c r="K8493" s="1"/>
      <c r="L8493" s="2"/>
    </row>
    <row r="8494" spans="1:12" x14ac:dyDescent="0.2">
      <c r="A8494"/>
      <c r="B8494"/>
      <c r="C8494"/>
      <c r="D8494"/>
      <c r="E8494"/>
      <c r="F8494"/>
      <c r="G8494"/>
      <c r="H8494"/>
      <c r="I8494"/>
      <c r="J8494"/>
      <c r="K8494" s="1"/>
      <c r="L8494" s="2"/>
    </row>
    <row r="8495" spans="1:12" x14ac:dyDescent="0.2">
      <c r="A8495"/>
      <c r="B8495"/>
      <c r="C8495"/>
      <c r="D8495"/>
      <c r="E8495"/>
      <c r="F8495"/>
      <c r="G8495"/>
      <c r="H8495"/>
      <c r="I8495"/>
      <c r="J8495"/>
      <c r="K8495" s="1"/>
      <c r="L8495" s="2"/>
    </row>
    <row r="8496" spans="1:12" x14ac:dyDescent="0.2">
      <c r="A8496"/>
      <c r="B8496"/>
      <c r="C8496"/>
      <c r="D8496"/>
      <c r="E8496"/>
      <c r="F8496"/>
      <c r="G8496"/>
      <c r="H8496"/>
      <c r="I8496"/>
      <c r="J8496"/>
      <c r="K8496" s="1"/>
      <c r="L8496" s="2"/>
    </row>
    <row r="8497" spans="1:12" x14ac:dyDescent="0.2">
      <c r="A8497"/>
      <c r="B8497"/>
      <c r="C8497"/>
      <c r="D8497"/>
      <c r="E8497"/>
      <c r="F8497"/>
      <c r="G8497"/>
      <c r="H8497"/>
      <c r="I8497"/>
      <c r="J8497"/>
      <c r="K8497" s="1"/>
      <c r="L8497" s="2"/>
    </row>
    <row r="8498" spans="1:12" x14ac:dyDescent="0.2">
      <c r="A8498"/>
      <c r="B8498"/>
      <c r="C8498"/>
      <c r="D8498"/>
      <c r="E8498"/>
      <c r="F8498"/>
      <c r="G8498"/>
      <c r="H8498"/>
      <c r="I8498"/>
      <c r="J8498"/>
      <c r="K8498" s="1"/>
      <c r="L8498" s="2"/>
    </row>
    <row r="8499" spans="1:12" x14ac:dyDescent="0.2">
      <c r="A8499"/>
      <c r="B8499"/>
      <c r="C8499"/>
      <c r="D8499"/>
      <c r="E8499"/>
      <c r="F8499"/>
      <c r="G8499"/>
      <c r="H8499"/>
      <c r="I8499"/>
      <c r="J8499"/>
      <c r="K8499" s="1"/>
      <c r="L8499" s="2"/>
    </row>
    <row r="8500" spans="1:12" x14ac:dyDescent="0.2">
      <c r="A8500"/>
      <c r="B8500"/>
      <c r="C8500"/>
      <c r="D8500"/>
      <c r="E8500"/>
      <c r="F8500"/>
      <c r="G8500"/>
      <c r="H8500"/>
      <c r="I8500"/>
      <c r="J8500"/>
      <c r="K8500" s="1"/>
      <c r="L8500" s="2"/>
    </row>
    <row r="8501" spans="1:12" x14ac:dyDescent="0.2">
      <c r="A8501"/>
      <c r="B8501"/>
      <c r="C8501"/>
      <c r="D8501"/>
      <c r="E8501"/>
      <c r="F8501"/>
      <c r="G8501"/>
      <c r="H8501"/>
      <c r="I8501"/>
      <c r="J8501"/>
      <c r="K8501" s="1"/>
      <c r="L8501" s="2"/>
    </row>
    <row r="8502" spans="1:12" x14ac:dyDescent="0.2">
      <c r="A8502"/>
      <c r="B8502"/>
      <c r="C8502"/>
      <c r="D8502"/>
      <c r="E8502"/>
      <c r="F8502"/>
      <c r="G8502"/>
      <c r="H8502"/>
      <c r="I8502"/>
      <c r="J8502"/>
      <c r="K8502" s="1"/>
      <c r="L8502" s="2"/>
    </row>
    <row r="8503" spans="1:12" x14ac:dyDescent="0.2">
      <c r="A8503"/>
      <c r="B8503"/>
      <c r="C8503"/>
      <c r="D8503"/>
      <c r="E8503"/>
      <c r="F8503"/>
      <c r="G8503"/>
      <c r="H8503"/>
      <c r="I8503"/>
      <c r="J8503"/>
      <c r="K8503" s="1"/>
      <c r="L8503" s="2"/>
    </row>
    <row r="8504" spans="1:12" x14ac:dyDescent="0.2">
      <c r="A8504"/>
      <c r="B8504"/>
      <c r="C8504"/>
      <c r="D8504"/>
      <c r="E8504"/>
      <c r="F8504"/>
      <c r="G8504"/>
      <c r="H8504"/>
      <c r="I8504"/>
      <c r="J8504"/>
      <c r="K8504" s="1"/>
      <c r="L8504" s="2"/>
    </row>
    <row r="8505" spans="1:12" x14ac:dyDescent="0.2">
      <c r="A8505"/>
      <c r="B8505"/>
      <c r="C8505"/>
      <c r="D8505"/>
      <c r="E8505"/>
      <c r="F8505"/>
      <c r="G8505"/>
      <c r="H8505"/>
      <c r="I8505"/>
      <c r="J8505"/>
      <c r="K8505" s="1"/>
      <c r="L8505" s="2"/>
    </row>
    <row r="8506" spans="1:12" x14ac:dyDescent="0.2">
      <c r="A8506"/>
      <c r="B8506"/>
      <c r="C8506"/>
      <c r="D8506"/>
      <c r="E8506"/>
      <c r="F8506"/>
      <c r="G8506"/>
      <c r="H8506"/>
      <c r="I8506"/>
      <c r="J8506"/>
      <c r="K8506" s="1"/>
      <c r="L8506" s="2"/>
    </row>
    <row r="8507" spans="1:12" x14ac:dyDescent="0.2">
      <c r="A8507"/>
      <c r="B8507"/>
      <c r="C8507"/>
      <c r="D8507"/>
      <c r="E8507"/>
      <c r="F8507"/>
      <c r="G8507"/>
      <c r="H8507"/>
      <c r="I8507"/>
      <c r="J8507"/>
      <c r="K8507" s="1"/>
      <c r="L8507" s="2"/>
    </row>
    <row r="8508" spans="1:12" x14ac:dyDescent="0.2">
      <c r="A8508"/>
      <c r="B8508"/>
      <c r="C8508"/>
      <c r="D8508"/>
      <c r="E8508"/>
      <c r="F8508"/>
      <c r="G8508"/>
      <c r="H8508"/>
      <c r="I8508"/>
      <c r="J8508"/>
      <c r="K8508" s="1"/>
      <c r="L8508" s="2"/>
    </row>
    <row r="8509" spans="1:12" x14ac:dyDescent="0.2">
      <c r="A8509"/>
      <c r="B8509"/>
      <c r="C8509"/>
      <c r="D8509"/>
      <c r="E8509"/>
      <c r="F8509"/>
      <c r="G8509"/>
      <c r="H8509"/>
      <c r="I8509"/>
      <c r="J8509"/>
      <c r="K8509" s="1"/>
      <c r="L8509" s="2"/>
    </row>
    <row r="8510" spans="1:12" x14ac:dyDescent="0.2">
      <c r="A8510"/>
      <c r="B8510"/>
      <c r="C8510"/>
      <c r="D8510"/>
      <c r="E8510"/>
      <c r="F8510"/>
      <c r="G8510"/>
      <c r="H8510"/>
      <c r="I8510"/>
      <c r="J8510"/>
      <c r="K8510" s="1"/>
      <c r="L8510" s="2"/>
    </row>
    <row r="8511" spans="1:12" x14ac:dyDescent="0.2">
      <c r="A8511"/>
      <c r="B8511"/>
      <c r="C8511"/>
      <c r="D8511"/>
      <c r="E8511"/>
      <c r="F8511"/>
      <c r="G8511"/>
      <c r="H8511"/>
      <c r="I8511"/>
      <c r="J8511"/>
      <c r="K8511" s="1"/>
      <c r="L8511" s="2"/>
    </row>
    <row r="8512" spans="1:12" x14ac:dyDescent="0.2">
      <c r="A8512"/>
      <c r="B8512"/>
      <c r="C8512"/>
      <c r="D8512"/>
      <c r="E8512"/>
      <c r="F8512"/>
      <c r="G8512"/>
      <c r="H8512"/>
      <c r="I8512"/>
      <c r="J8512"/>
      <c r="K8512" s="1"/>
      <c r="L8512" s="2"/>
    </row>
    <row r="8513" spans="1:12" x14ac:dyDescent="0.2">
      <c r="A8513"/>
      <c r="B8513"/>
      <c r="C8513"/>
      <c r="D8513"/>
      <c r="E8513"/>
      <c r="F8513"/>
      <c r="G8513"/>
      <c r="H8513"/>
      <c r="I8513"/>
      <c r="J8513"/>
      <c r="K8513" s="1"/>
      <c r="L8513" s="2"/>
    </row>
    <row r="8514" spans="1:12" x14ac:dyDescent="0.2">
      <c r="A8514"/>
      <c r="B8514"/>
      <c r="C8514"/>
      <c r="D8514"/>
      <c r="E8514"/>
      <c r="F8514"/>
      <c r="G8514"/>
      <c r="H8514"/>
      <c r="I8514"/>
      <c r="J8514"/>
      <c r="K8514" s="1"/>
      <c r="L8514" s="2"/>
    </row>
    <row r="8515" spans="1:12" x14ac:dyDescent="0.2">
      <c r="A8515"/>
      <c r="B8515"/>
      <c r="C8515"/>
      <c r="D8515"/>
      <c r="E8515"/>
      <c r="F8515"/>
      <c r="G8515"/>
      <c r="H8515"/>
      <c r="I8515"/>
      <c r="J8515"/>
      <c r="K8515" s="1"/>
      <c r="L8515" s="2"/>
    </row>
    <row r="8516" spans="1:12" x14ac:dyDescent="0.2">
      <c r="A8516"/>
      <c r="B8516"/>
      <c r="C8516"/>
      <c r="D8516"/>
      <c r="E8516"/>
      <c r="F8516"/>
      <c r="G8516"/>
      <c r="H8516"/>
      <c r="I8516"/>
      <c r="J8516"/>
      <c r="K8516" s="1"/>
      <c r="L8516" s="2"/>
    </row>
    <row r="8517" spans="1:12" x14ac:dyDescent="0.2">
      <c r="A8517"/>
      <c r="B8517"/>
      <c r="C8517"/>
      <c r="D8517"/>
      <c r="E8517"/>
      <c r="F8517"/>
      <c r="G8517"/>
      <c r="H8517"/>
      <c r="I8517"/>
      <c r="J8517"/>
      <c r="K8517" s="1"/>
      <c r="L8517" s="2"/>
    </row>
    <row r="8518" spans="1:12" x14ac:dyDescent="0.2">
      <c r="A8518"/>
      <c r="B8518"/>
      <c r="C8518"/>
      <c r="D8518"/>
      <c r="E8518"/>
      <c r="F8518"/>
      <c r="G8518"/>
      <c r="H8518"/>
      <c r="I8518"/>
      <c r="J8518"/>
      <c r="K8518" s="1"/>
      <c r="L8518" s="2"/>
    </row>
    <row r="8519" spans="1:12" x14ac:dyDescent="0.2">
      <c r="A8519"/>
      <c r="B8519"/>
      <c r="C8519"/>
      <c r="D8519"/>
      <c r="E8519"/>
      <c r="F8519"/>
      <c r="G8519"/>
      <c r="H8519"/>
      <c r="I8519"/>
      <c r="J8519"/>
      <c r="K8519" s="1"/>
      <c r="L8519" s="2"/>
    </row>
    <row r="8520" spans="1:12" x14ac:dyDescent="0.2">
      <c r="A8520"/>
      <c r="B8520"/>
      <c r="C8520"/>
      <c r="D8520"/>
      <c r="E8520"/>
      <c r="F8520"/>
      <c r="G8520"/>
      <c r="H8520"/>
      <c r="I8520"/>
      <c r="J8520"/>
      <c r="K8520" s="1"/>
      <c r="L8520" s="2"/>
    </row>
    <row r="8521" spans="1:12" x14ac:dyDescent="0.2">
      <c r="A8521"/>
      <c r="B8521"/>
      <c r="C8521"/>
      <c r="D8521"/>
      <c r="E8521"/>
      <c r="F8521"/>
      <c r="G8521"/>
      <c r="H8521"/>
      <c r="I8521"/>
      <c r="J8521"/>
      <c r="K8521" s="1"/>
      <c r="L8521" s="2"/>
    </row>
    <row r="8522" spans="1:12" x14ac:dyDescent="0.2">
      <c r="A8522"/>
      <c r="B8522"/>
      <c r="C8522"/>
      <c r="D8522"/>
      <c r="E8522"/>
      <c r="F8522"/>
      <c r="G8522"/>
      <c r="H8522"/>
      <c r="I8522"/>
      <c r="J8522"/>
      <c r="K8522" s="1"/>
      <c r="L8522" s="2"/>
    </row>
    <row r="8523" spans="1:12" x14ac:dyDescent="0.2">
      <c r="A8523"/>
      <c r="B8523"/>
      <c r="C8523"/>
      <c r="D8523"/>
      <c r="E8523"/>
      <c r="F8523"/>
      <c r="G8523"/>
      <c r="H8523"/>
      <c r="I8523"/>
      <c r="J8523"/>
      <c r="K8523" s="1"/>
      <c r="L8523" s="2"/>
    </row>
    <row r="8524" spans="1:12" x14ac:dyDescent="0.2">
      <c r="A8524"/>
      <c r="B8524"/>
      <c r="C8524"/>
      <c r="D8524"/>
      <c r="E8524"/>
      <c r="F8524"/>
      <c r="G8524"/>
      <c r="H8524"/>
      <c r="I8524"/>
      <c r="J8524"/>
      <c r="K8524" s="1"/>
      <c r="L8524" s="2"/>
    </row>
    <row r="8525" spans="1:12" x14ac:dyDescent="0.2">
      <c r="A8525"/>
      <c r="B8525"/>
      <c r="C8525"/>
      <c r="D8525"/>
      <c r="E8525"/>
      <c r="F8525"/>
      <c r="G8525"/>
      <c r="H8525"/>
      <c r="I8525"/>
      <c r="J8525"/>
      <c r="K8525" s="1"/>
      <c r="L8525" s="2"/>
    </row>
    <row r="8526" spans="1:12" x14ac:dyDescent="0.2">
      <c r="A8526"/>
      <c r="B8526"/>
      <c r="C8526"/>
      <c r="D8526"/>
      <c r="E8526"/>
      <c r="F8526"/>
      <c r="G8526"/>
      <c r="H8526"/>
      <c r="I8526"/>
      <c r="J8526"/>
      <c r="K8526" s="1"/>
      <c r="L8526" s="2"/>
    </row>
    <row r="8527" spans="1:12" x14ac:dyDescent="0.2">
      <c r="A8527"/>
      <c r="B8527"/>
      <c r="C8527"/>
      <c r="D8527"/>
      <c r="E8527"/>
      <c r="F8527"/>
      <c r="G8527"/>
      <c r="H8527"/>
      <c r="I8527"/>
      <c r="J8527"/>
      <c r="K8527" s="1"/>
      <c r="L8527" s="2"/>
    </row>
    <row r="8528" spans="1:12" x14ac:dyDescent="0.2">
      <c r="A8528"/>
      <c r="B8528"/>
      <c r="C8528"/>
      <c r="D8528"/>
      <c r="E8528"/>
      <c r="F8528"/>
      <c r="G8528"/>
      <c r="H8528"/>
      <c r="I8528"/>
      <c r="J8528"/>
      <c r="K8528" s="1"/>
      <c r="L8528" s="2"/>
    </row>
    <row r="8529" spans="1:12" x14ac:dyDescent="0.2">
      <c r="A8529"/>
      <c r="B8529"/>
      <c r="C8529"/>
      <c r="D8529"/>
      <c r="E8529"/>
      <c r="F8529"/>
      <c r="G8529"/>
      <c r="H8529"/>
      <c r="I8529"/>
      <c r="J8529"/>
      <c r="K8529" s="1"/>
      <c r="L8529" s="2"/>
    </row>
    <row r="8530" spans="1:12" x14ac:dyDescent="0.2">
      <c r="A8530"/>
      <c r="B8530"/>
      <c r="C8530"/>
      <c r="D8530"/>
      <c r="E8530"/>
      <c r="F8530"/>
      <c r="G8530"/>
      <c r="H8530"/>
      <c r="I8530"/>
      <c r="J8530"/>
      <c r="K8530" s="1"/>
      <c r="L8530" s="2"/>
    </row>
    <row r="8531" spans="1:12" x14ac:dyDescent="0.2">
      <c r="A8531"/>
      <c r="B8531"/>
      <c r="C8531"/>
      <c r="D8531"/>
      <c r="E8531"/>
      <c r="F8531"/>
      <c r="G8531"/>
      <c r="H8531"/>
      <c r="I8531"/>
      <c r="J8531"/>
      <c r="K8531" s="1"/>
      <c r="L8531" s="2"/>
    </row>
    <row r="8532" spans="1:12" x14ac:dyDescent="0.2">
      <c r="A8532"/>
      <c r="B8532"/>
      <c r="C8532"/>
      <c r="D8532"/>
      <c r="E8532"/>
      <c r="F8532"/>
      <c r="G8532"/>
      <c r="H8532"/>
      <c r="I8532"/>
      <c r="J8532"/>
      <c r="K8532" s="1"/>
      <c r="L8532" s="2"/>
    </row>
    <row r="8533" spans="1:12" x14ac:dyDescent="0.2">
      <c r="A8533"/>
      <c r="B8533"/>
      <c r="C8533"/>
      <c r="D8533"/>
      <c r="E8533"/>
      <c r="F8533"/>
      <c r="G8533"/>
      <c r="H8533"/>
      <c r="I8533"/>
      <c r="J8533"/>
      <c r="K8533" s="1"/>
      <c r="L8533" s="2"/>
    </row>
    <row r="8534" spans="1:12" x14ac:dyDescent="0.2">
      <c r="A8534"/>
      <c r="B8534"/>
      <c r="C8534"/>
      <c r="D8534"/>
      <c r="E8534"/>
      <c r="F8534"/>
      <c r="G8534"/>
      <c r="H8534"/>
      <c r="I8534"/>
      <c r="J8534"/>
      <c r="K8534" s="1"/>
      <c r="L8534" s="2"/>
    </row>
    <row r="8535" spans="1:12" x14ac:dyDescent="0.2">
      <c r="A8535"/>
      <c r="B8535"/>
      <c r="C8535"/>
      <c r="D8535"/>
      <c r="E8535"/>
      <c r="F8535"/>
      <c r="G8535"/>
      <c r="H8535"/>
      <c r="I8535"/>
      <c r="J8535"/>
      <c r="K8535" s="1"/>
      <c r="L8535" s="2"/>
    </row>
    <row r="8536" spans="1:12" x14ac:dyDescent="0.2">
      <c r="A8536"/>
      <c r="B8536"/>
      <c r="C8536"/>
      <c r="D8536"/>
      <c r="E8536"/>
      <c r="F8536"/>
      <c r="G8536"/>
      <c r="H8536"/>
      <c r="I8536"/>
      <c r="J8536"/>
      <c r="K8536" s="1"/>
      <c r="L8536" s="2"/>
    </row>
    <row r="8537" spans="1:12" x14ac:dyDescent="0.2">
      <c r="A8537"/>
      <c r="B8537"/>
      <c r="C8537"/>
      <c r="D8537"/>
      <c r="E8537"/>
      <c r="F8537"/>
      <c r="G8537"/>
      <c r="H8537"/>
      <c r="I8537"/>
      <c r="J8537"/>
      <c r="K8537" s="1"/>
      <c r="L8537" s="2"/>
    </row>
    <row r="8538" spans="1:12" x14ac:dyDescent="0.2">
      <c r="A8538"/>
      <c r="B8538"/>
      <c r="C8538"/>
      <c r="D8538"/>
      <c r="E8538"/>
      <c r="F8538"/>
      <c r="G8538"/>
      <c r="H8538"/>
      <c r="I8538"/>
      <c r="J8538"/>
      <c r="K8538" s="1"/>
      <c r="L8538" s="2"/>
    </row>
    <row r="8539" spans="1:12" x14ac:dyDescent="0.2">
      <c r="A8539"/>
      <c r="B8539"/>
      <c r="C8539"/>
      <c r="D8539"/>
      <c r="E8539"/>
      <c r="F8539"/>
      <c r="G8539"/>
      <c r="H8539"/>
      <c r="I8539"/>
      <c r="J8539"/>
      <c r="K8539" s="1"/>
      <c r="L8539" s="2"/>
    </row>
    <row r="8540" spans="1:12" x14ac:dyDescent="0.2">
      <c r="A8540"/>
      <c r="B8540"/>
      <c r="C8540"/>
      <c r="D8540"/>
      <c r="E8540"/>
      <c r="F8540"/>
      <c r="G8540"/>
      <c r="H8540"/>
      <c r="I8540"/>
      <c r="J8540"/>
      <c r="K8540" s="1"/>
      <c r="L8540" s="2"/>
    </row>
    <row r="8541" spans="1:12" x14ac:dyDescent="0.2">
      <c r="A8541"/>
      <c r="B8541"/>
      <c r="C8541"/>
      <c r="D8541"/>
      <c r="E8541"/>
      <c r="F8541"/>
      <c r="G8541"/>
      <c r="H8541"/>
      <c r="I8541"/>
      <c r="J8541"/>
      <c r="K8541" s="1"/>
      <c r="L8541" s="2"/>
    </row>
    <row r="8542" spans="1:12" x14ac:dyDescent="0.2">
      <c r="A8542"/>
      <c r="B8542"/>
      <c r="C8542"/>
      <c r="D8542"/>
      <c r="E8542"/>
      <c r="F8542"/>
      <c r="G8542"/>
      <c r="H8542"/>
      <c r="I8542"/>
      <c r="J8542"/>
      <c r="K8542" s="1"/>
      <c r="L8542" s="2"/>
    </row>
    <row r="8543" spans="1:12" x14ac:dyDescent="0.2">
      <c r="A8543"/>
      <c r="B8543"/>
      <c r="C8543"/>
      <c r="D8543"/>
      <c r="E8543"/>
      <c r="F8543"/>
      <c r="G8543"/>
      <c r="H8543"/>
      <c r="I8543"/>
      <c r="J8543"/>
      <c r="K8543" s="1"/>
      <c r="L8543" s="2"/>
    </row>
    <row r="8544" spans="1:12" x14ac:dyDescent="0.2">
      <c r="A8544"/>
      <c r="B8544"/>
      <c r="C8544"/>
      <c r="D8544"/>
      <c r="E8544"/>
      <c r="F8544"/>
      <c r="G8544"/>
      <c r="H8544"/>
      <c r="I8544"/>
      <c r="J8544"/>
      <c r="K8544" s="1"/>
      <c r="L8544" s="2"/>
    </row>
    <row r="8545" spans="1:12" x14ac:dyDescent="0.2">
      <c r="A8545"/>
      <c r="B8545"/>
      <c r="C8545"/>
      <c r="D8545"/>
      <c r="E8545"/>
      <c r="F8545"/>
      <c r="G8545"/>
      <c r="H8545"/>
      <c r="I8545"/>
      <c r="J8545"/>
      <c r="K8545" s="1"/>
      <c r="L8545" s="2"/>
    </row>
    <row r="8546" spans="1:12" x14ac:dyDescent="0.2">
      <c r="A8546"/>
      <c r="B8546"/>
      <c r="C8546"/>
      <c r="D8546"/>
      <c r="E8546"/>
      <c r="F8546"/>
      <c r="G8546"/>
      <c r="H8546"/>
      <c r="I8546"/>
      <c r="J8546"/>
      <c r="K8546" s="1"/>
      <c r="L8546" s="2"/>
    </row>
    <row r="8547" spans="1:12" x14ac:dyDescent="0.2">
      <c r="A8547"/>
      <c r="B8547"/>
      <c r="C8547"/>
      <c r="D8547"/>
      <c r="E8547"/>
      <c r="F8547"/>
      <c r="G8547"/>
      <c r="H8547"/>
      <c r="I8547"/>
      <c r="J8547"/>
      <c r="K8547" s="1"/>
      <c r="L8547" s="2"/>
    </row>
    <row r="8548" spans="1:12" x14ac:dyDescent="0.2">
      <c r="A8548"/>
      <c r="B8548"/>
      <c r="C8548"/>
      <c r="D8548"/>
      <c r="E8548"/>
      <c r="F8548"/>
      <c r="G8548"/>
      <c r="H8548"/>
      <c r="I8548"/>
      <c r="J8548"/>
      <c r="K8548" s="1"/>
      <c r="L8548" s="2"/>
    </row>
    <row r="8549" spans="1:12" x14ac:dyDescent="0.2">
      <c r="A8549"/>
      <c r="B8549"/>
      <c r="C8549"/>
      <c r="D8549"/>
      <c r="E8549"/>
      <c r="F8549"/>
      <c r="G8549"/>
      <c r="H8549"/>
      <c r="I8549"/>
      <c r="J8549"/>
      <c r="K8549" s="1"/>
      <c r="L8549" s="2"/>
    </row>
    <row r="8550" spans="1:12" x14ac:dyDescent="0.2">
      <c r="A8550"/>
      <c r="B8550"/>
      <c r="C8550"/>
      <c r="D8550"/>
      <c r="E8550"/>
      <c r="F8550"/>
      <c r="G8550"/>
      <c r="H8550"/>
      <c r="I8550"/>
      <c r="J8550"/>
      <c r="K8550" s="1"/>
      <c r="L8550" s="2"/>
    </row>
    <row r="8551" spans="1:12" x14ac:dyDescent="0.2">
      <c r="A8551"/>
      <c r="B8551"/>
      <c r="C8551"/>
      <c r="D8551"/>
      <c r="E8551"/>
      <c r="F8551"/>
      <c r="G8551"/>
      <c r="H8551"/>
      <c r="I8551"/>
      <c r="J8551"/>
      <c r="K8551" s="1"/>
      <c r="L8551" s="2"/>
    </row>
    <row r="8552" spans="1:12" x14ac:dyDescent="0.2">
      <c r="A8552"/>
      <c r="B8552"/>
      <c r="C8552"/>
      <c r="D8552"/>
      <c r="E8552"/>
      <c r="F8552"/>
      <c r="G8552"/>
      <c r="H8552"/>
      <c r="I8552"/>
      <c r="J8552"/>
      <c r="K8552" s="1"/>
      <c r="L8552" s="2"/>
    </row>
    <row r="8553" spans="1:12" x14ac:dyDescent="0.2">
      <c r="A8553"/>
      <c r="B8553"/>
      <c r="C8553"/>
      <c r="D8553"/>
      <c r="E8553"/>
      <c r="F8553"/>
      <c r="G8553"/>
      <c r="H8553"/>
      <c r="I8553"/>
      <c r="J8553"/>
      <c r="K8553" s="1"/>
      <c r="L8553" s="2"/>
    </row>
    <row r="8554" spans="1:12" x14ac:dyDescent="0.2">
      <c r="A8554"/>
      <c r="B8554"/>
      <c r="C8554"/>
      <c r="D8554"/>
      <c r="E8554"/>
      <c r="F8554"/>
      <c r="G8554"/>
      <c r="H8554"/>
      <c r="I8554"/>
      <c r="J8554"/>
      <c r="K8554" s="1"/>
      <c r="L8554" s="2"/>
    </row>
    <row r="8555" spans="1:12" x14ac:dyDescent="0.2">
      <c r="A8555"/>
      <c r="B8555"/>
      <c r="C8555"/>
      <c r="D8555"/>
      <c r="E8555"/>
      <c r="F8555"/>
      <c r="G8555"/>
      <c r="H8555"/>
      <c r="I8555"/>
      <c r="J8555"/>
      <c r="K8555" s="1"/>
      <c r="L8555" s="2"/>
    </row>
    <row r="8556" spans="1:12" x14ac:dyDescent="0.2">
      <c r="A8556"/>
      <c r="B8556"/>
      <c r="C8556"/>
      <c r="D8556"/>
      <c r="E8556"/>
      <c r="F8556"/>
      <c r="G8556"/>
      <c r="H8556"/>
      <c r="I8556"/>
      <c r="J8556"/>
      <c r="K8556" s="1"/>
      <c r="L8556" s="2"/>
    </row>
    <row r="8557" spans="1:12" x14ac:dyDescent="0.2">
      <c r="A8557"/>
      <c r="B8557"/>
      <c r="C8557"/>
      <c r="D8557"/>
      <c r="E8557"/>
      <c r="F8557"/>
      <c r="G8557"/>
      <c r="H8557"/>
      <c r="I8557"/>
      <c r="J8557"/>
      <c r="K8557" s="1"/>
      <c r="L8557" s="2"/>
    </row>
    <row r="8558" spans="1:12" x14ac:dyDescent="0.2">
      <c r="A8558"/>
      <c r="B8558"/>
      <c r="C8558"/>
      <c r="D8558"/>
      <c r="E8558"/>
      <c r="F8558"/>
      <c r="G8558"/>
      <c r="H8558"/>
      <c r="I8558"/>
      <c r="J8558"/>
      <c r="K8558" s="1"/>
      <c r="L8558" s="2"/>
    </row>
    <row r="8559" spans="1:12" x14ac:dyDescent="0.2">
      <c r="A8559"/>
      <c r="B8559"/>
      <c r="C8559"/>
      <c r="D8559"/>
      <c r="E8559"/>
      <c r="F8559"/>
      <c r="G8559"/>
      <c r="H8559"/>
      <c r="I8559"/>
      <c r="J8559"/>
      <c r="K8559" s="1"/>
      <c r="L8559" s="2"/>
    </row>
    <row r="8560" spans="1:12" x14ac:dyDescent="0.2">
      <c r="A8560"/>
      <c r="B8560"/>
      <c r="C8560"/>
      <c r="D8560"/>
      <c r="E8560"/>
      <c r="F8560"/>
      <c r="G8560"/>
      <c r="H8560"/>
      <c r="I8560"/>
      <c r="J8560"/>
      <c r="K8560" s="1"/>
      <c r="L8560" s="2"/>
    </row>
    <row r="8561" spans="1:12" x14ac:dyDescent="0.2">
      <c r="A8561"/>
      <c r="B8561"/>
      <c r="C8561"/>
      <c r="D8561"/>
      <c r="E8561"/>
      <c r="F8561"/>
      <c r="G8561"/>
      <c r="H8561"/>
      <c r="I8561"/>
      <c r="J8561"/>
      <c r="K8561" s="1"/>
      <c r="L8561" s="2"/>
    </row>
    <row r="8562" spans="1:12" x14ac:dyDescent="0.2">
      <c r="A8562"/>
      <c r="B8562"/>
      <c r="C8562"/>
      <c r="D8562"/>
      <c r="E8562"/>
      <c r="F8562"/>
      <c r="G8562"/>
      <c r="H8562"/>
      <c r="I8562"/>
      <c r="J8562"/>
      <c r="K8562" s="1"/>
      <c r="L8562" s="2"/>
    </row>
    <row r="8563" spans="1:12" x14ac:dyDescent="0.2">
      <c r="A8563"/>
      <c r="B8563"/>
      <c r="C8563"/>
      <c r="D8563"/>
      <c r="E8563"/>
      <c r="F8563"/>
      <c r="G8563"/>
      <c r="H8563"/>
      <c r="I8563"/>
      <c r="J8563"/>
      <c r="K8563" s="1"/>
      <c r="L8563" s="2"/>
    </row>
    <row r="8564" spans="1:12" x14ac:dyDescent="0.2">
      <c r="A8564"/>
      <c r="B8564"/>
      <c r="C8564"/>
      <c r="D8564"/>
      <c r="E8564"/>
      <c r="F8564"/>
      <c r="G8564"/>
      <c r="H8564"/>
      <c r="I8564"/>
      <c r="J8564"/>
      <c r="K8564" s="1"/>
      <c r="L8564" s="2"/>
    </row>
    <row r="8565" spans="1:12" x14ac:dyDescent="0.2">
      <c r="A8565"/>
      <c r="B8565"/>
      <c r="C8565"/>
      <c r="D8565"/>
      <c r="E8565"/>
      <c r="F8565"/>
      <c r="G8565"/>
      <c r="H8565"/>
      <c r="I8565"/>
      <c r="J8565"/>
      <c r="K8565" s="1"/>
      <c r="L8565" s="2"/>
    </row>
    <row r="8566" spans="1:12" x14ac:dyDescent="0.2">
      <c r="A8566"/>
      <c r="B8566"/>
      <c r="C8566"/>
      <c r="D8566"/>
      <c r="E8566"/>
      <c r="F8566"/>
      <c r="G8566"/>
      <c r="H8566"/>
      <c r="I8566"/>
      <c r="J8566"/>
      <c r="K8566" s="1"/>
      <c r="L8566" s="2"/>
    </row>
    <row r="8567" spans="1:12" x14ac:dyDescent="0.2">
      <c r="A8567"/>
      <c r="B8567"/>
      <c r="C8567"/>
      <c r="D8567"/>
      <c r="E8567"/>
      <c r="F8567"/>
      <c r="G8567"/>
      <c r="H8567"/>
      <c r="I8567"/>
      <c r="J8567"/>
      <c r="K8567" s="1"/>
      <c r="L8567" s="2"/>
    </row>
    <row r="8568" spans="1:12" x14ac:dyDescent="0.2">
      <c r="A8568"/>
      <c r="B8568"/>
      <c r="C8568"/>
      <c r="D8568"/>
      <c r="E8568"/>
      <c r="F8568"/>
      <c r="G8568"/>
      <c r="H8568"/>
      <c r="I8568"/>
      <c r="J8568"/>
      <c r="K8568" s="1"/>
      <c r="L8568" s="2"/>
    </row>
    <row r="8569" spans="1:12" x14ac:dyDescent="0.2">
      <c r="A8569"/>
      <c r="B8569"/>
      <c r="C8569"/>
      <c r="D8569"/>
      <c r="E8569"/>
      <c r="F8569"/>
      <c r="G8569"/>
      <c r="H8569"/>
      <c r="I8569"/>
      <c r="J8569"/>
      <c r="K8569" s="1"/>
      <c r="L8569" s="2"/>
    </row>
    <row r="8570" spans="1:12" x14ac:dyDescent="0.2">
      <c r="A8570"/>
      <c r="B8570"/>
      <c r="C8570"/>
      <c r="D8570"/>
      <c r="E8570"/>
      <c r="F8570"/>
      <c r="G8570"/>
      <c r="H8570"/>
      <c r="I8570"/>
      <c r="J8570"/>
      <c r="K8570" s="1"/>
      <c r="L8570" s="2"/>
    </row>
    <row r="8571" spans="1:12" x14ac:dyDescent="0.2">
      <c r="A8571"/>
      <c r="B8571"/>
      <c r="C8571"/>
      <c r="D8571"/>
      <c r="E8571"/>
      <c r="F8571"/>
      <c r="G8571"/>
      <c r="H8571"/>
      <c r="I8571"/>
      <c r="J8571"/>
      <c r="K8571" s="1"/>
      <c r="L8571" s="2"/>
    </row>
    <row r="8572" spans="1:12" x14ac:dyDescent="0.2">
      <c r="A8572"/>
      <c r="B8572"/>
      <c r="C8572"/>
      <c r="D8572"/>
      <c r="E8572"/>
      <c r="F8572"/>
      <c r="G8572"/>
      <c r="H8572"/>
      <c r="I8572"/>
      <c r="J8572"/>
      <c r="K8572" s="1"/>
      <c r="L8572" s="2"/>
    </row>
    <row r="8573" spans="1:12" x14ac:dyDescent="0.2">
      <c r="A8573"/>
      <c r="B8573"/>
      <c r="C8573"/>
      <c r="D8573"/>
      <c r="E8573"/>
      <c r="F8573"/>
      <c r="G8573"/>
      <c r="H8573"/>
      <c r="I8573"/>
      <c r="J8573"/>
      <c r="K8573" s="1"/>
      <c r="L8573" s="2"/>
    </row>
    <row r="8574" spans="1:12" x14ac:dyDescent="0.2">
      <c r="A8574"/>
      <c r="B8574"/>
      <c r="C8574"/>
      <c r="D8574"/>
      <c r="E8574"/>
      <c r="F8574"/>
      <c r="G8574"/>
      <c r="H8574"/>
      <c r="I8574"/>
      <c r="J8574"/>
      <c r="K8574" s="1"/>
      <c r="L8574" s="2"/>
    </row>
    <row r="8575" spans="1:12" x14ac:dyDescent="0.2">
      <c r="A8575"/>
      <c r="B8575"/>
      <c r="C8575"/>
      <c r="D8575"/>
      <c r="E8575"/>
      <c r="F8575"/>
      <c r="G8575"/>
      <c r="H8575"/>
      <c r="I8575"/>
      <c r="J8575"/>
      <c r="K8575" s="1"/>
      <c r="L8575" s="2"/>
    </row>
    <row r="8576" spans="1:12" x14ac:dyDescent="0.2">
      <c r="A8576"/>
      <c r="B8576"/>
      <c r="C8576"/>
      <c r="D8576"/>
      <c r="E8576"/>
      <c r="F8576"/>
      <c r="G8576"/>
      <c r="H8576"/>
      <c r="I8576"/>
      <c r="J8576"/>
      <c r="K8576" s="1"/>
      <c r="L8576" s="2"/>
    </row>
    <row r="8577" spans="1:12" x14ac:dyDescent="0.2">
      <c r="A8577"/>
      <c r="B8577"/>
      <c r="C8577"/>
      <c r="D8577"/>
      <c r="E8577"/>
      <c r="F8577"/>
      <c r="G8577"/>
      <c r="H8577"/>
      <c r="I8577"/>
      <c r="J8577"/>
      <c r="K8577" s="1"/>
      <c r="L8577" s="2"/>
    </row>
    <row r="8578" spans="1:12" x14ac:dyDescent="0.2">
      <c r="A8578"/>
      <c r="B8578"/>
      <c r="C8578"/>
      <c r="D8578"/>
      <c r="E8578"/>
      <c r="F8578"/>
      <c r="G8578"/>
      <c r="H8578"/>
      <c r="I8578"/>
      <c r="J8578"/>
      <c r="K8578" s="1"/>
      <c r="L8578" s="2"/>
    </row>
    <row r="8579" spans="1:12" x14ac:dyDescent="0.2">
      <c r="A8579"/>
      <c r="B8579"/>
      <c r="C8579"/>
      <c r="D8579"/>
      <c r="E8579"/>
      <c r="F8579"/>
      <c r="G8579"/>
      <c r="H8579"/>
      <c r="I8579"/>
      <c r="J8579"/>
      <c r="K8579" s="1"/>
      <c r="L8579" s="2"/>
    </row>
    <row r="8580" spans="1:12" x14ac:dyDescent="0.2">
      <c r="A8580"/>
      <c r="B8580"/>
      <c r="C8580"/>
      <c r="D8580"/>
      <c r="E8580"/>
      <c r="F8580"/>
      <c r="G8580"/>
      <c r="H8580"/>
      <c r="I8580"/>
      <c r="J8580"/>
      <c r="K8580" s="1"/>
      <c r="L8580" s="2"/>
    </row>
    <row r="8581" spans="1:12" x14ac:dyDescent="0.2">
      <c r="A8581"/>
      <c r="B8581"/>
      <c r="C8581"/>
      <c r="D8581"/>
      <c r="E8581"/>
      <c r="F8581"/>
      <c r="G8581"/>
      <c r="H8581"/>
      <c r="I8581"/>
      <c r="J8581"/>
      <c r="K8581" s="1"/>
      <c r="L8581" s="2"/>
    </row>
    <row r="8582" spans="1:12" x14ac:dyDescent="0.2">
      <c r="A8582"/>
      <c r="B8582"/>
      <c r="C8582"/>
      <c r="D8582"/>
      <c r="E8582"/>
      <c r="F8582"/>
      <c r="G8582"/>
      <c r="H8582"/>
      <c r="I8582"/>
      <c r="J8582"/>
      <c r="K8582" s="1"/>
      <c r="L8582" s="2"/>
    </row>
    <row r="8583" spans="1:12" x14ac:dyDescent="0.2">
      <c r="A8583"/>
      <c r="B8583"/>
      <c r="C8583"/>
      <c r="D8583"/>
      <c r="E8583"/>
      <c r="F8583"/>
      <c r="G8583"/>
      <c r="H8583"/>
      <c r="I8583"/>
      <c r="J8583"/>
      <c r="K8583" s="1"/>
      <c r="L8583" s="2"/>
    </row>
    <row r="8584" spans="1:12" x14ac:dyDescent="0.2">
      <c r="A8584"/>
      <c r="B8584"/>
      <c r="C8584"/>
      <c r="D8584"/>
      <c r="E8584"/>
      <c r="F8584"/>
      <c r="G8584"/>
      <c r="H8584"/>
      <c r="I8584"/>
      <c r="J8584"/>
      <c r="K8584" s="1"/>
      <c r="L8584" s="2"/>
    </row>
    <row r="8585" spans="1:12" x14ac:dyDescent="0.2">
      <c r="A8585"/>
      <c r="B8585"/>
      <c r="C8585"/>
      <c r="D8585"/>
      <c r="E8585"/>
      <c r="F8585"/>
      <c r="G8585"/>
      <c r="H8585"/>
      <c r="I8585"/>
      <c r="J8585"/>
      <c r="K8585" s="1"/>
      <c r="L8585" s="2"/>
    </row>
    <row r="8586" spans="1:12" x14ac:dyDescent="0.2">
      <c r="A8586"/>
      <c r="B8586"/>
      <c r="C8586"/>
      <c r="D8586"/>
      <c r="E8586"/>
      <c r="F8586"/>
      <c r="G8586"/>
      <c r="H8586"/>
      <c r="I8586"/>
      <c r="J8586"/>
      <c r="K8586" s="1"/>
      <c r="L8586" s="2"/>
    </row>
    <row r="8587" spans="1:12" x14ac:dyDescent="0.2">
      <c r="A8587"/>
      <c r="B8587"/>
      <c r="C8587"/>
      <c r="D8587"/>
      <c r="E8587"/>
      <c r="F8587"/>
      <c r="G8587"/>
      <c r="H8587"/>
      <c r="I8587"/>
      <c r="J8587"/>
      <c r="K8587" s="1"/>
      <c r="L8587" s="2"/>
    </row>
    <row r="8588" spans="1:12" x14ac:dyDescent="0.2">
      <c r="A8588"/>
      <c r="B8588"/>
      <c r="C8588"/>
      <c r="D8588"/>
      <c r="E8588"/>
      <c r="F8588"/>
      <c r="G8588"/>
      <c r="H8588"/>
      <c r="I8588"/>
      <c r="J8588"/>
      <c r="K8588" s="1"/>
      <c r="L8588" s="2"/>
    </row>
    <row r="8589" spans="1:12" x14ac:dyDescent="0.2">
      <c r="A8589"/>
      <c r="B8589"/>
      <c r="C8589"/>
      <c r="D8589"/>
      <c r="E8589"/>
      <c r="F8589"/>
      <c r="G8589"/>
      <c r="H8589"/>
      <c r="I8589"/>
      <c r="J8589"/>
      <c r="K8589" s="1"/>
      <c r="L8589" s="2"/>
    </row>
    <row r="8590" spans="1:12" x14ac:dyDescent="0.2">
      <c r="A8590"/>
      <c r="B8590"/>
      <c r="C8590"/>
      <c r="D8590"/>
      <c r="E8590"/>
      <c r="F8590"/>
      <c r="G8590"/>
      <c r="H8590"/>
      <c r="I8590"/>
      <c r="J8590"/>
      <c r="K8590" s="1"/>
      <c r="L8590" s="2"/>
    </row>
    <row r="8591" spans="1:12" x14ac:dyDescent="0.2">
      <c r="A8591"/>
      <c r="B8591"/>
      <c r="C8591"/>
      <c r="D8591"/>
      <c r="E8591"/>
      <c r="F8591"/>
      <c r="G8591"/>
      <c r="H8591"/>
      <c r="I8591"/>
      <c r="J8591"/>
      <c r="K8591" s="1"/>
      <c r="L8591" s="2"/>
    </row>
    <row r="8592" spans="1:12" x14ac:dyDescent="0.2">
      <c r="A8592"/>
      <c r="B8592"/>
      <c r="C8592"/>
      <c r="D8592"/>
      <c r="E8592"/>
      <c r="F8592"/>
      <c r="G8592"/>
      <c r="H8592"/>
      <c r="I8592"/>
      <c r="J8592"/>
      <c r="K8592" s="1"/>
      <c r="L8592" s="2"/>
    </row>
    <row r="8593" spans="1:12" x14ac:dyDescent="0.2">
      <c r="A8593"/>
      <c r="B8593"/>
      <c r="C8593"/>
      <c r="D8593"/>
      <c r="E8593"/>
      <c r="F8593"/>
      <c r="G8593"/>
      <c r="H8593"/>
      <c r="I8593"/>
      <c r="J8593"/>
      <c r="K8593" s="1"/>
      <c r="L8593" s="2"/>
    </row>
    <row r="8594" spans="1:12" x14ac:dyDescent="0.2">
      <c r="A8594"/>
      <c r="B8594"/>
      <c r="C8594"/>
      <c r="D8594"/>
      <c r="E8594"/>
      <c r="F8594"/>
      <c r="G8594"/>
      <c r="H8594"/>
      <c r="I8594"/>
      <c r="J8594"/>
      <c r="K8594" s="1"/>
      <c r="L8594" s="2"/>
    </row>
    <row r="8595" spans="1:12" x14ac:dyDescent="0.2">
      <c r="A8595"/>
      <c r="B8595"/>
      <c r="C8595"/>
      <c r="D8595"/>
      <c r="E8595"/>
      <c r="F8595"/>
      <c r="G8595"/>
      <c r="H8595"/>
      <c r="I8595"/>
      <c r="J8595"/>
      <c r="K8595" s="1"/>
      <c r="L8595" s="2"/>
    </row>
    <row r="8596" spans="1:12" x14ac:dyDescent="0.2">
      <c r="A8596"/>
      <c r="B8596"/>
      <c r="C8596"/>
      <c r="D8596"/>
      <c r="E8596"/>
      <c r="F8596"/>
      <c r="G8596"/>
      <c r="H8596"/>
      <c r="I8596"/>
      <c r="J8596"/>
      <c r="K8596" s="1"/>
      <c r="L8596" s="2"/>
    </row>
    <row r="8597" spans="1:12" x14ac:dyDescent="0.2">
      <c r="A8597"/>
      <c r="B8597"/>
      <c r="C8597"/>
      <c r="D8597"/>
      <c r="E8597"/>
      <c r="F8597"/>
      <c r="G8597"/>
      <c r="H8597"/>
      <c r="I8597"/>
      <c r="J8597"/>
      <c r="K8597" s="1"/>
      <c r="L8597" s="2"/>
    </row>
    <row r="8598" spans="1:12" x14ac:dyDescent="0.2">
      <c r="A8598"/>
      <c r="B8598"/>
      <c r="C8598"/>
      <c r="D8598"/>
      <c r="E8598"/>
      <c r="F8598"/>
      <c r="G8598"/>
      <c r="H8598"/>
      <c r="I8598"/>
      <c r="J8598"/>
      <c r="K8598" s="1"/>
      <c r="L8598" s="2"/>
    </row>
    <row r="8599" spans="1:12" x14ac:dyDescent="0.2">
      <c r="A8599"/>
      <c r="B8599"/>
      <c r="C8599"/>
      <c r="D8599"/>
      <c r="E8599"/>
      <c r="F8599"/>
      <c r="G8599"/>
      <c r="H8599"/>
      <c r="I8599"/>
      <c r="J8599"/>
      <c r="K8599" s="1"/>
      <c r="L8599" s="2"/>
    </row>
    <row r="8600" spans="1:12" x14ac:dyDescent="0.2">
      <c r="A8600"/>
      <c r="B8600"/>
      <c r="C8600"/>
      <c r="D8600"/>
      <c r="E8600"/>
      <c r="F8600"/>
      <c r="G8600"/>
      <c r="H8600"/>
      <c r="I8600"/>
      <c r="J8600"/>
      <c r="K8600" s="1"/>
      <c r="L8600" s="2"/>
    </row>
    <row r="8601" spans="1:12" x14ac:dyDescent="0.2">
      <c r="A8601"/>
      <c r="B8601"/>
      <c r="C8601"/>
      <c r="D8601"/>
      <c r="E8601"/>
      <c r="F8601"/>
      <c r="G8601"/>
      <c r="H8601"/>
      <c r="I8601"/>
      <c r="J8601"/>
      <c r="K8601" s="1"/>
      <c r="L8601" s="2"/>
    </row>
    <row r="8602" spans="1:12" x14ac:dyDescent="0.2">
      <c r="A8602"/>
      <c r="B8602"/>
      <c r="C8602"/>
      <c r="D8602"/>
      <c r="E8602"/>
      <c r="F8602"/>
      <c r="G8602"/>
      <c r="H8602"/>
      <c r="I8602"/>
      <c r="J8602"/>
      <c r="K8602" s="1"/>
      <c r="L8602" s="2"/>
    </row>
    <row r="8603" spans="1:12" x14ac:dyDescent="0.2">
      <c r="A8603"/>
      <c r="B8603"/>
      <c r="C8603"/>
      <c r="D8603"/>
      <c r="E8603"/>
      <c r="F8603"/>
      <c r="G8603"/>
      <c r="H8603"/>
      <c r="I8603"/>
      <c r="J8603"/>
      <c r="K8603" s="1"/>
      <c r="L8603" s="2"/>
    </row>
    <row r="8604" spans="1:12" x14ac:dyDescent="0.2">
      <c r="A8604"/>
      <c r="B8604"/>
      <c r="C8604"/>
      <c r="D8604"/>
      <c r="E8604"/>
      <c r="F8604"/>
      <c r="G8604"/>
      <c r="H8604"/>
      <c r="I8604"/>
      <c r="J8604"/>
      <c r="K8604" s="1"/>
      <c r="L8604" s="2"/>
    </row>
    <row r="8605" spans="1:12" x14ac:dyDescent="0.2">
      <c r="A8605"/>
      <c r="B8605"/>
      <c r="C8605"/>
      <c r="D8605"/>
      <c r="E8605"/>
      <c r="F8605"/>
      <c r="G8605"/>
      <c r="H8605"/>
      <c r="I8605"/>
      <c r="J8605"/>
      <c r="K8605" s="1"/>
      <c r="L8605" s="2"/>
    </row>
    <row r="8606" spans="1:12" x14ac:dyDescent="0.2">
      <c r="A8606"/>
      <c r="B8606"/>
      <c r="C8606"/>
      <c r="D8606"/>
      <c r="E8606"/>
      <c r="F8606"/>
      <c r="G8606"/>
      <c r="H8606"/>
      <c r="I8606"/>
      <c r="J8606"/>
      <c r="K8606" s="1"/>
      <c r="L8606" s="2"/>
    </row>
    <row r="8607" spans="1:12" x14ac:dyDescent="0.2">
      <c r="A8607"/>
      <c r="B8607"/>
      <c r="C8607"/>
      <c r="D8607"/>
      <c r="E8607"/>
      <c r="F8607"/>
      <c r="G8607"/>
      <c r="H8607"/>
      <c r="I8607"/>
      <c r="J8607"/>
      <c r="K8607" s="1"/>
      <c r="L8607" s="2"/>
    </row>
    <row r="8608" spans="1:12" x14ac:dyDescent="0.2">
      <c r="A8608"/>
      <c r="B8608"/>
      <c r="C8608"/>
      <c r="D8608"/>
      <c r="E8608"/>
      <c r="F8608"/>
      <c r="G8608"/>
      <c r="H8608"/>
      <c r="I8608"/>
      <c r="J8608"/>
      <c r="K8608" s="1"/>
      <c r="L8608" s="2"/>
    </row>
    <row r="8609" spans="1:12" x14ac:dyDescent="0.2">
      <c r="A8609"/>
      <c r="B8609"/>
      <c r="C8609"/>
      <c r="D8609"/>
      <c r="E8609"/>
      <c r="F8609"/>
      <c r="G8609"/>
      <c r="H8609"/>
      <c r="I8609"/>
      <c r="J8609"/>
      <c r="K8609" s="1"/>
      <c r="L8609" s="2"/>
    </row>
    <row r="8610" spans="1:12" x14ac:dyDescent="0.2">
      <c r="A8610"/>
      <c r="B8610"/>
      <c r="C8610"/>
      <c r="D8610"/>
      <c r="E8610"/>
      <c r="F8610"/>
      <c r="G8610"/>
      <c r="H8610"/>
      <c r="I8610"/>
      <c r="J8610"/>
      <c r="K8610" s="1"/>
      <c r="L8610" s="2"/>
    </row>
    <row r="8611" spans="1:12" x14ac:dyDescent="0.2">
      <c r="A8611"/>
      <c r="B8611"/>
      <c r="C8611"/>
      <c r="D8611"/>
      <c r="E8611"/>
      <c r="F8611"/>
      <c r="G8611"/>
      <c r="H8611"/>
      <c r="I8611"/>
      <c r="J8611"/>
      <c r="K8611" s="1"/>
      <c r="L8611" s="2"/>
    </row>
    <row r="8612" spans="1:12" x14ac:dyDescent="0.2">
      <c r="A8612"/>
      <c r="B8612"/>
      <c r="C8612"/>
      <c r="D8612"/>
      <c r="E8612"/>
      <c r="F8612"/>
      <c r="G8612"/>
      <c r="H8612"/>
      <c r="I8612"/>
      <c r="J8612"/>
      <c r="K8612" s="1"/>
      <c r="L8612" s="2"/>
    </row>
    <row r="8613" spans="1:12" x14ac:dyDescent="0.2">
      <c r="A8613"/>
      <c r="B8613"/>
      <c r="C8613"/>
      <c r="D8613"/>
      <c r="E8613"/>
      <c r="F8613"/>
      <c r="G8613"/>
      <c r="H8613"/>
      <c r="I8613"/>
      <c r="J8613"/>
      <c r="K8613" s="1"/>
      <c r="L8613" s="2"/>
    </row>
    <row r="8614" spans="1:12" x14ac:dyDescent="0.2">
      <c r="A8614"/>
      <c r="B8614"/>
      <c r="C8614"/>
      <c r="D8614"/>
      <c r="E8614"/>
      <c r="F8614"/>
      <c r="G8614"/>
      <c r="H8614"/>
      <c r="I8614"/>
      <c r="J8614"/>
      <c r="K8614" s="1"/>
      <c r="L8614" s="2"/>
    </row>
    <row r="8615" spans="1:12" x14ac:dyDescent="0.2">
      <c r="A8615"/>
      <c r="B8615"/>
      <c r="C8615"/>
      <c r="D8615"/>
      <c r="E8615"/>
      <c r="F8615"/>
      <c r="G8615"/>
      <c r="H8615"/>
      <c r="I8615"/>
      <c r="J8615"/>
      <c r="K8615" s="1"/>
      <c r="L8615" s="2"/>
    </row>
    <row r="8616" spans="1:12" x14ac:dyDescent="0.2">
      <c r="A8616"/>
      <c r="B8616"/>
      <c r="C8616"/>
      <c r="D8616"/>
      <c r="E8616"/>
      <c r="F8616"/>
      <c r="G8616"/>
      <c r="H8616"/>
      <c r="I8616"/>
      <c r="J8616"/>
      <c r="K8616" s="1"/>
      <c r="L8616" s="2"/>
    </row>
    <row r="8617" spans="1:12" x14ac:dyDescent="0.2">
      <c r="A8617"/>
      <c r="B8617"/>
      <c r="C8617"/>
      <c r="D8617"/>
      <c r="E8617"/>
      <c r="F8617"/>
      <c r="G8617"/>
      <c r="H8617"/>
      <c r="I8617"/>
      <c r="J8617"/>
      <c r="K8617" s="1"/>
      <c r="L8617" s="2"/>
    </row>
    <row r="8618" spans="1:12" x14ac:dyDescent="0.2">
      <c r="A8618"/>
      <c r="B8618"/>
      <c r="C8618"/>
      <c r="D8618"/>
      <c r="E8618"/>
      <c r="F8618"/>
      <c r="G8618"/>
      <c r="H8618"/>
      <c r="I8618"/>
      <c r="J8618"/>
      <c r="K8618" s="1"/>
      <c r="L8618" s="2"/>
    </row>
    <row r="8619" spans="1:12" x14ac:dyDescent="0.2">
      <c r="A8619"/>
      <c r="B8619"/>
      <c r="C8619"/>
      <c r="D8619"/>
      <c r="E8619"/>
      <c r="F8619"/>
      <c r="G8619"/>
      <c r="H8619"/>
      <c r="I8619"/>
      <c r="J8619"/>
      <c r="K8619" s="1"/>
      <c r="L8619" s="2"/>
    </row>
    <row r="8620" spans="1:12" x14ac:dyDescent="0.2">
      <c r="A8620"/>
      <c r="B8620"/>
      <c r="C8620"/>
      <c r="D8620"/>
      <c r="E8620"/>
      <c r="F8620"/>
      <c r="G8620"/>
      <c r="H8620"/>
      <c r="I8620"/>
      <c r="J8620"/>
      <c r="K8620" s="1"/>
      <c r="L8620" s="2"/>
    </row>
    <row r="8621" spans="1:12" x14ac:dyDescent="0.2">
      <c r="A8621"/>
      <c r="B8621"/>
      <c r="C8621"/>
      <c r="D8621"/>
      <c r="E8621"/>
      <c r="F8621"/>
      <c r="G8621"/>
      <c r="H8621"/>
      <c r="I8621"/>
      <c r="J8621"/>
      <c r="K8621" s="1"/>
      <c r="L8621" s="2"/>
    </row>
    <row r="8622" spans="1:12" x14ac:dyDescent="0.2">
      <c r="A8622"/>
      <c r="B8622"/>
      <c r="C8622"/>
      <c r="D8622"/>
      <c r="E8622"/>
      <c r="F8622"/>
      <c r="G8622"/>
      <c r="H8622"/>
      <c r="I8622"/>
      <c r="J8622"/>
      <c r="K8622" s="1"/>
      <c r="L8622" s="2"/>
    </row>
    <row r="8623" spans="1:12" x14ac:dyDescent="0.2">
      <c r="A8623"/>
      <c r="B8623"/>
      <c r="C8623"/>
      <c r="D8623"/>
      <c r="E8623"/>
      <c r="F8623"/>
      <c r="G8623"/>
      <c r="H8623"/>
      <c r="I8623"/>
      <c r="J8623"/>
      <c r="K8623" s="1"/>
      <c r="L8623" s="2"/>
    </row>
    <row r="8624" spans="1:12" x14ac:dyDescent="0.2">
      <c r="A8624"/>
      <c r="B8624"/>
      <c r="C8624"/>
      <c r="D8624"/>
      <c r="E8624"/>
      <c r="F8624"/>
      <c r="G8624"/>
      <c r="H8624"/>
      <c r="I8624"/>
      <c r="J8624"/>
      <c r="K8624" s="1"/>
      <c r="L8624" s="2"/>
    </row>
    <row r="8625" spans="1:12" x14ac:dyDescent="0.2">
      <c r="A8625"/>
      <c r="B8625"/>
      <c r="C8625"/>
      <c r="D8625"/>
      <c r="E8625"/>
      <c r="F8625"/>
      <c r="G8625"/>
      <c r="H8625"/>
      <c r="I8625"/>
      <c r="J8625"/>
      <c r="K8625" s="1"/>
      <c r="L8625" s="2"/>
    </row>
    <row r="8626" spans="1:12" x14ac:dyDescent="0.2">
      <c r="A8626"/>
      <c r="B8626"/>
      <c r="C8626"/>
      <c r="D8626"/>
      <c r="E8626"/>
      <c r="F8626"/>
      <c r="G8626"/>
      <c r="H8626"/>
      <c r="I8626"/>
      <c r="J8626"/>
      <c r="K8626" s="1"/>
      <c r="L8626" s="2"/>
    </row>
    <row r="8627" spans="1:12" x14ac:dyDescent="0.2">
      <c r="A8627"/>
      <c r="B8627"/>
      <c r="C8627"/>
      <c r="D8627"/>
      <c r="E8627"/>
      <c r="F8627"/>
      <c r="G8627"/>
      <c r="H8627"/>
      <c r="I8627"/>
      <c r="J8627"/>
      <c r="K8627" s="1"/>
      <c r="L8627" s="2"/>
    </row>
    <row r="8628" spans="1:12" x14ac:dyDescent="0.2">
      <c r="A8628"/>
      <c r="B8628"/>
      <c r="C8628"/>
      <c r="D8628"/>
      <c r="E8628"/>
      <c r="F8628"/>
      <c r="G8628"/>
      <c r="H8628"/>
      <c r="I8628"/>
      <c r="J8628"/>
      <c r="K8628" s="1"/>
      <c r="L8628" s="2"/>
    </row>
    <row r="8629" spans="1:12" x14ac:dyDescent="0.2">
      <c r="A8629"/>
      <c r="B8629"/>
      <c r="C8629"/>
      <c r="D8629"/>
      <c r="E8629"/>
      <c r="F8629"/>
      <c r="G8629"/>
      <c r="H8629"/>
      <c r="I8629"/>
      <c r="J8629"/>
      <c r="K8629" s="1"/>
      <c r="L8629" s="2"/>
    </row>
    <row r="8630" spans="1:12" x14ac:dyDescent="0.2">
      <c r="A8630"/>
      <c r="B8630"/>
      <c r="C8630"/>
      <c r="D8630"/>
      <c r="E8630"/>
      <c r="F8630"/>
      <c r="G8630"/>
      <c r="H8630"/>
      <c r="I8630"/>
      <c r="J8630"/>
      <c r="K8630" s="1"/>
      <c r="L8630" s="2"/>
    </row>
    <row r="8631" spans="1:12" x14ac:dyDescent="0.2">
      <c r="A8631"/>
      <c r="B8631"/>
      <c r="C8631"/>
      <c r="D8631"/>
      <c r="E8631"/>
      <c r="F8631"/>
      <c r="G8631"/>
      <c r="H8631"/>
      <c r="I8631"/>
      <c r="J8631"/>
      <c r="K8631" s="1"/>
      <c r="L8631" s="2"/>
    </row>
    <row r="8632" spans="1:12" x14ac:dyDescent="0.2">
      <c r="A8632"/>
      <c r="B8632"/>
      <c r="C8632"/>
      <c r="D8632"/>
      <c r="E8632"/>
      <c r="F8632"/>
      <c r="G8632"/>
      <c r="H8632"/>
      <c r="I8632"/>
      <c r="J8632"/>
      <c r="K8632" s="1"/>
      <c r="L8632" s="2"/>
    </row>
    <row r="8633" spans="1:12" x14ac:dyDescent="0.2">
      <c r="A8633"/>
      <c r="B8633"/>
      <c r="C8633"/>
      <c r="D8633"/>
      <c r="E8633"/>
      <c r="F8633"/>
      <c r="G8633"/>
      <c r="H8633"/>
      <c r="I8633"/>
      <c r="J8633"/>
      <c r="K8633" s="1"/>
      <c r="L8633" s="2"/>
    </row>
    <row r="8634" spans="1:12" x14ac:dyDescent="0.2">
      <c r="A8634"/>
      <c r="B8634"/>
      <c r="C8634"/>
      <c r="D8634"/>
      <c r="E8634"/>
      <c r="F8634"/>
      <c r="G8634"/>
      <c r="H8634"/>
      <c r="I8634"/>
      <c r="J8634"/>
      <c r="K8634" s="1"/>
      <c r="L8634" s="2"/>
    </row>
    <row r="8635" spans="1:12" x14ac:dyDescent="0.2">
      <c r="A8635"/>
      <c r="B8635"/>
      <c r="C8635"/>
      <c r="D8635"/>
      <c r="E8635"/>
      <c r="F8635"/>
      <c r="G8635"/>
      <c r="H8635"/>
      <c r="I8635"/>
      <c r="J8635"/>
      <c r="K8635" s="1"/>
      <c r="L8635" s="2"/>
    </row>
    <row r="8636" spans="1:12" x14ac:dyDescent="0.2">
      <c r="A8636"/>
      <c r="B8636"/>
      <c r="C8636"/>
      <c r="D8636"/>
      <c r="E8636"/>
      <c r="F8636"/>
      <c r="G8636"/>
      <c r="H8636"/>
      <c r="I8636"/>
      <c r="J8636"/>
      <c r="K8636" s="1"/>
      <c r="L8636" s="2"/>
    </row>
    <row r="8637" spans="1:12" x14ac:dyDescent="0.2">
      <c r="A8637"/>
      <c r="B8637"/>
      <c r="C8637"/>
      <c r="D8637"/>
      <c r="E8637"/>
      <c r="F8637"/>
      <c r="G8637"/>
      <c r="H8637"/>
      <c r="I8637"/>
      <c r="J8637"/>
      <c r="K8637" s="1"/>
      <c r="L8637" s="2"/>
    </row>
    <row r="8638" spans="1:12" x14ac:dyDescent="0.2">
      <c r="A8638"/>
      <c r="B8638"/>
      <c r="C8638"/>
      <c r="D8638"/>
      <c r="E8638"/>
      <c r="F8638"/>
      <c r="G8638"/>
      <c r="H8638"/>
      <c r="I8638"/>
      <c r="J8638"/>
      <c r="K8638" s="1"/>
      <c r="L8638" s="2"/>
    </row>
    <row r="8639" spans="1:12" x14ac:dyDescent="0.2">
      <c r="A8639"/>
      <c r="B8639"/>
      <c r="C8639"/>
      <c r="D8639"/>
      <c r="E8639"/>
      <c r="F8639"/>
      <c r="G8639"/>
      <c r="H8639"/>
      <c r="I8639"/>
      <c r="J8639"/>
      <c r="K8639" s="1"/>
      <c r="L8639" s="2"/>
    </row>
    <row r="8640" spans="1:12" x14ac:dyDescent="0.2">
      <c r="A8640"/>
      <c r="B8640"/>
      <c r="C8640"/>
      <c r="D8640"/>
      <c r="E8640"/>
      <c r="F8640"/>
      <c r="G8640"/>
      <c r="H8640"/>
      <c r="I8640"/>
      <c r="J8640"/>
      <c r="K8640" s="1"/>
      <c r="L8640" s="2"/>
    </row>
    <row r="8641" spans="1:12" x14ac:dyDescent="0.2">
      <c r="A8641"/>
      <c r="B8641"/>
      <c r="C8641"/>
      <c r="D8641"/>
      <c r="E8641"/>
      <c r="F8641"/>
      <c r="G8641"/>
      <c r="H8641"/>
      <c r="I8641"/>
      <c r="J8641"/>
      <c r="K8641" s="1"/>
      <c r="L8641" s="2"/>
    </row>
    <row r="8642" spans="1:12" x14ac:dyDescent="0.2">
      <c r="A8642"/>
      <c r="B8642"/>
      <c r="C8642"/>
      <c r="D8642"/>
      <c r="E8642"/>
      <c r="F8642"/>
      <c r="G8642"/>
      <c r="H8642"/>
      <c r="I8642"/>
      <c r="J8642"/>
      <c r="K8642" s="1"/>
      <c r="L8642" s="2"/>
    </row>
    <row r="8643" spans="1:12" x14ac:dyDescent="0.2">
      <c r="A8643"/>
      <c r="B8643"/>
      <c r="C8643"/>
      <c r="D8643"/>
      <c r="E8643"/>
      <c r="F8643"/>
      <c r="G8643"/>
      <c r="H8643"/>
      <c r="I8643"/>
      <c r="J8643"/>
      <c r="K8643" s="1"/>
      <c r="L8643" s="2"/>
    </row>
    <row r="8644" spans="1:12" x14ac:dyDescent="0.2">
      <c r="A8644"/>
      <c r="B8644"/>
      <c r="C8644"/>
      <c r="D8644"/>
      <c r="E8644"/>
      <c r="F8644"/>
      <c r="G8644"/>
      <c r="H8644"/>
      <c r="I8644"/>
      <c r="J8644"/>
      <c r="K8644" s="1"/>
      <c r="L8644" s="2"/>
    </row>
    <row r="8645" spans="1:12" x14ac:dyDescent="0.2">
      <c r="A8645"/>
      <c r="B8645"/>
      <c r="C8645"/>
      <c r="D8645"/>
      <c r="E8645"/>
      <c r="F8645"/>
      <c r="G8645"/>
      <c r="H8645"/>
      <c r="I8645"/>
      <c r="J8645"/>
      <c r="K8645" s="1"/>
      <c r="L8645" s="2"/>
    </row>
    <row r="8646" spans="1:12" x14ac:dyDescent="0.2">
      <c r="A8646"/>
      <c r="B8646"/>
      <c r="C8646"/>
      <c r="D8646"/>
      <c r="E8646"/>
      <c r="F8646"/>
      <c r="G8646"/>
      <c r="H8646"/>
      <c r="I8646"/>
      <c r="J8646"/>
      <c r="K8646" s="1"/>
      <c r="L8646" s="2"/>
    </row>
    <row r="8647" spans="1:12" x14ac:dyDescent="0.2">
      <c r="A8647"/>
      <c r="B8647"/>
      <c r="C8647"/>
      <c r="D8647"/>
      <c r="E8647"/>
      <c r="F8647"/>
      <c r="G8647"/>
      <c r="H8647"/>
      <c r="I8647"/>
      <c r="J8647"/>
      <c r="K8647" s="1"/>
      <c r="L8647" s="2"/>
    </row>
    <row r="8648" spans="1:12" x14ac:dyDescent="0.2">
      <c r="A8648"/>
      <c r="B8648"/>
      <c r="C8648"/>
      <c r="D8648"/>
      <c r="E8648"/>
      <c r="F8648"/>
      <c r="G8648"/>
      <c r="H8648"/>
      <c r="I8648"/>
      <c r="J8648"/>
      <c r="K8648" s="1"/>
      <c r="L8648" s="2"/>
    </row>
    <row r="8649" spans="1:12" x14ac:dyDescent="0.2">
      <c r="A8649"/>
      <c r="B8649"/>
      <c r="C8649"/>
      <c r="D8649"/>
      <c r="E8649"/>
      <c r="F8649"/>
      <c r="G8649"/>
      <c r="H8649"/>
      <c r="I8649"/>
      <c r="J8649"/>
      <c r="K8649" s="1"/>
      <c r="L8649" s="2"/>
    </row>
    <row r="8650" spans="1:12" x14ac:dyDescent="0.2">
      <c r="A8650"/>
      <c r="B8650"/>
      <c r="C8650"/>
      <c r="D8650"/>
      <c r="E8650"/>
      <c r="F8650"/>
      <c r="G8650"/>
      <c r="H8650"/>
      <c r="I8650"/>
      <c r="J8650"/>
      <c r="K8650" s="1"/>
      <c r="L8650" s="2"/>
    </row>
    <row r="8651" spans="1:12" x14ac:dyDescent="0.2">
      <c r="A8651"/>
      <c r="B8651"/>
      <c r="C8651"/>
      <c r="D8651"/>
      <c r="E8651"/>
      <c r="F8651"/>
      <c r="G8651"/>
      <c r="H8651"/>
      <c r="I8651"/>
      <c r="J8651"/>
      <c r="K8651" s="1"/>
      <c r="L8651" s="2"/>
    </row>
    <row r="8652" spans="1:12" x14ac:dyDescent="0.2">
      <c r="A8652"/>
      <c r="B8652"/>
      <c r="C8652"/>
      <c r="D8652"/>
      <c r="E8652"/>
      <c r="F8652"/>
      <c r="G8652"/>
      <c r="H8652"/>
      <c r="I8652"/>
      <c r="J8652"/>
      <c r="K8652" s="1"/>
      <c r="L8652" s="2"/>
    </row>
    <row r="8653" spans="1:12" x14ac:dyDescent="0.2">
      <c r="A8653"/>
      <c r="B8653"/>
      <c r="C8653"/>
      <c r="D8653"/>
      <c r="E8653"/>
      <c r="F8653"/>
      <c r="G8653"/>
      <c r="H8653"/>
      <c r="I8653"/>
      <c r="J8653"/>
      <c r="K8653" s="1"/>
      <c r="L8653" s="2"/>
    </row>
    <row r="8654" spans="1:12" x14ac:dyDescent="0.2">
      <c r="A8654"/>
      <c r="B8654"/>
      <c r="C8654"/>
      <c r="D8654"/>
      <c r="E8654"/>
      <c r="F8654"/>
      <c r="G8654"/>
      <c r="H8654"/>
      <c r="I8654"/>
      <c r="J8654"/>
      <c r="K8654" s="1"/>
      <c r="L8654" s="2"/>
    </row>
    <row r="8655" spans="1:12" x14ac:dyDescent="0.2">
      <c r="A8655"/>
      <c r="B8655"/>
      <c r="C8655"/>
      <c r="D8655"/>
      <c r="E8655"/>
      <c r="F8655"/>
      <c r="G8655"/>
      <c r="H8655"/>
      <c r="I8655"/>
      <c r="J8655"/>
      <c r="K8655" s="1"/>
      <c r="L8655" s="2"/>
    </row>
    <row r="8656" spans="1:12" x14ac:dyDescent="0.2">
      <c r="A8656"/>
      <c r="B8656"/>
      <c r="C8656"/>
      <c r="D8656"/>
      <c r="E8656"/>
      <c r="F8656"/>
      <c r="G8656"/>
      <c r="H8656"/>
      <c r="I8656"/>
      <c r="J8656"/>
      <c r="K8656" s="1"/>
      <c r="L8656" s="2"/>
    </row>
    <row r="8657" spans="1:12" x14ac:dyDescent="0.2">
      <c r="A8657"/>
      <c r="B8657"/>
      <c r="C8657"/>
      <c r="D8657"/>
      <c r="E8657"/>
      <c r="F8657"/>
      <c r="G8657"/>
      <c r="H8657"/>
      <c r="I8657"/>
      <c r="J8657"/>
      <c r="K8657" s="1"/>
      <c r="L8657" s="2"/>
    </row>
    <row r="8658" spans="1:12" x14ac:dyDescent="0.2">
      <c r="A8658"/>
      <c r="B8658"/>
      <c r="C8658"/>
      <c r="D8658"/>
      <c r="E8658"/>
      <c r="F8658"/>
      <c r="G8658"/>
      <c r="H8658"/>
      <c r="I8658"/>
      <c r="J8658"/>
      <c r="K8658" s="1"/>
      <c r="L8658" s="2"/>
    </row>
    <row r="8659" spans="1:12" x14ac:dyDescent="0.2">
      <c r="A8659"/>
      <c r="B8659"/>
      <c r="C8659"/>
      <c r="D8659"/>
      <c r="E8659"/>
      <c r="F8659"/>
      <c r="G8659"/>
      <c r="H8659"/>
      <c r="I8659"/>
      <c r="J8659"/>
      <c r="K8659" s="1"/>
      <c r="L8659" s="2"/>
    </row>
    <row r="8660" spans="1:12" x14ac:dyDescent="0.2">
      <c r="A8660"/>
      <c r="B8660"/>
      <c r="C8660"/>
      <c r="D8660"/>
      <c r="E8660"/>
      <c r="F8660"/>
      <c r="G8660"/>
      <c r="H8660"/>
      <c r="I8660"/>
      <c r="J8660"/>
      <c r="K8660" s="1"/>
      <c r="L8660" s="2"/>
    </row>
    <row r="8661" spans="1:12" x14ac:dyDescent="0.2">
      <c r="A8661"/>
      <c r="B8661"/>
      <c r="C8661"/>
      <c r="D8661"/>
      <c r="E8661"/>
      <c r="F8661"/>
      <c r="G8661"/>
      <c r="H8661"/>
      <c r="I8661"/>
      <c r="J8661"/>
      <c r="K8661" s="1"/>
      <c r="L8661" s="2"/>
    </row>
    <row r="8662" spans="1:12" x14ac:dyDescent="0.2">
      <c r="A8662"/>
      <c r="B8662"/>
      <c r="C8662"/>
      <c r="D8662"/>
      <c r="E8662"/>
      <c r="F8662"/>
      <c r="G8662"/>
      <c r="H8662"/>
      <c r="I8662"/>
      <c r="J8662"/>
      <c r="K8662" s="1"/>
      <c r="L8662" s="2"/>
    </row>
    <row r="8663" spans="1:12" x14ac:dyDescent="0.2">
      <c r="A8663"/>
      <c r="B8663"/>
      <c r="C8663"/>
      <c r="D8663"/>
      <c r="E8663"/>
      <c r="F8663"/>
      <c r="G8663"/>
      <c r="H8663"/>
      <c r="I8663"/>
      <c r="J8663"/>
      <c r="K8663" s="1"/>
      <c r="L8663" s="2"/>
    </row>
    <row r="8664" spans="1:12" x14ac:dyDescent="0.2">
      <c r="A8664"/>
      <c r="B8664"/>
      <c r="C8664"/>
      <c r="D8664"/>
      <c r="E8664"/>
      <c r="F8664"/>
      <c r="G8664"/>
      <c r="H8664"/>
      <c r="I8664"/>
      <c r="J8664"/>
      <c r="K8664" s="1"/>
      <c r="L8664" s="2"/>
    </row>
    <row r="8665" spans="1:12" x14ac:dyDescent="0.2">
      <c r="A8665"/>
      <c r="B8665"/>
      <c r="C8665"/>
      <c r="D8665"/>
      <c r="E8665"/>
      <c r="F8665"/>
      <c r="G8665"/>
      <c r="H8665"/>
      <c r="I8665"/>
      <c r="J8665"/>
      <c r="K8665" s="1"/>
      <c r="L8665" s="2"/>
    </row>
    <row r="8666" spans="1:12" x14ac:dyDescent="0.2">
      <c r="A8666"/>
      <c r="B8666"/>
      <c r="C8666"/>
      <c r="D8666"/>
      <c r="E8666"/>
      <c r="F8666"/>
      <c r="G8666"/>
      <c r="H8666"/>
      <c r="I8666"/>
      <c r="J8666"/>
      <c r="K8666" s="1"/>
      <c r="L8666" s="2"/>
    </row>
    <row r="8667" spans="1:12" x14ac:dyDescent="0.2">
      <c r="A8667"/>
      <c r="B8667"/>
      <c r="C8667"/>
      <c r="D8667"/>
      <c r="E8667"/>
      <c r="F8667"/>
      <c r="G8667"/>
      <c r="H8667"/>
      <c r="I8667"/>
      <c r="J8667"/>
      <c r="K8667" s="1"/>
      <c r="L8667" s="2"/>
    </row>
    <row r="8668" spans="1:12" x14ac:dyDescent="0.2">
      <c r="A8668"/>
      <c r="B8668"/>
      <c r="C8668"/>
      <c r="D8668"/>
      <c r="E8668"/>
      <c r="F8668"/>
      <c r="G8668"/>
      <c r="H8668"/>
      <c r="I8668"/>
      <c r="J8668"/>
      <c r="K8668" s="1"/>
      <c r="L8668" s="2"/>
    </row>
    <row r="8669" spans="1:12" x14ac:dyDescent="0.2">
      <c r="A8669"/>
      <c r="B8669"/>
      <c r="C8669"/>
      <c r="D8669"/>
      <c r="E8669"/>
      <c r="F8669"/>
      <c r="G8669"/>
      <c r="H8669"/>
      <c r="I8669"/>
      <c r="J8669"/>
      <c r="K8669" s="1"/>
      <c r="L8669" s="2"/>
    </row>
    <row r="8670" spans="1:12" x14ac:dyDescent="0.2">
      <c r="A8670"/>
      <c r="B8670"/>
      <c r="C8670"/>
      <c r="D8670"/>
      <c r="E8670"/>
      <c r="F8670"/>
      <c r="G8670"/>
      <c r="H8670"/>
      <c r="I8670"/>
      <c r="J8670"/>
      <c r="K8670" s="1"/>
      <c r="L8670" s="2"/>
    </row>
    <row r="8671" spans="1:12" x14ac:dyDescent="0.2">
      <c r="A8671"/>
      <c r="B8671"/>
      <c r="C8671"/>
      <c r="D8671"/>
      <c r="E8671"/>
      <c r="F8671"/>
      <c r="G8671"/>
      <c r="H8671"/>
      <c r="I8671"/>
      <c r="J8671"/>
      <c r="K8671" s="1"/>
      <c r="L8671" s="2"/>
    </row>
    <row r="8672" spans="1:12" x14ac:dyDescent="0.2">
      <c r="A8672"/>
      <c r="B8672"/>
      <c r="C8672"/>
      <c r="D8672"/>
      <c r="E8672"/>
      <c r="F8672"/>
      <c r="G8672"/>
      <c r="H8672"/>
      <c r="I8672"/>
      <c r="J8672"/>
      <c r="K8672" s="1"/>
      <c r="L8672" s="2"/>
    </row>
    <row r="8673" spans="1:12" x14ac:dyDescent="0.2">
      <c r="A8673"/>
      <c r="B8673"/>
      <c r="C8673"/>
      <c r="D8673"/>
      <c r="E8673"/>
      <c r="F8673"/>
      <c r="G8673"/>
      <c r="H8673"/>
      <c r="I8673"/>
      <c r="J8673"/>
      <c r="K8673" s="1"/>
      <c r="L8673" s="2"/>
    </row>
    <row r="8674" spans="1:12" x14ac:dyDescent="0.2">
      <c r="A8674"/>
      <c r="B8674"/>
      <c r="C8674"/>
      <c r="D8674"/>
      <c r="E8674"/>
      <c r="F8674"/>
      <c r="G8674"/>
      <c r="H8674"/>
      <c r="I8674"/>
      <c r="J8674"/>
      <c r="K8674" s="1"/>
      <c r="L8674" s="2"/>
    </row>
    <row r="8675" spans="1:12" x14ac:dyDescent="0.2">
      <c r="A8675"/>
      <c r="B8675"/>
      <c r="C8675"/>
      <c r="D8675"/>
      <c r="E8675"/>
      <c r="F8675"/>
      <c r="G8675"/>
      <c r="H8675"/>
      <c r="I8675"/>
      <c r="J8675"/>
      <c r="K8675" s="1"/>
      <c r="L8675" s="2"/>
    </row>
    <row r="8676" spans="1:12" x14ac:dyDescent="0.2">
      <c r="A8676"/>
      <c r="B8676"/>
      <c r="C8676"/>
      <c r="D8676"/>
      <c r="E8676"/>
      <c r="F8676"/>
      <c r="G8676"/>
      <c r="H8676"/>
      <c r="I8676"/>
      <c r="J8676"/>
      <c r="K8676" s="1"/>
      <c r="L8676" s="2"/>
    </row>
    <row r="8677" spans="1:12" x14ac:dyDescent="0.2">
      <c r="A8677"/>
      <c r="B8677"/>
      <c r="C8677"/>
      <c r="D8677"/>
      <c r="E8677"/>
      <c r="F8677"/>
      <c r="G8677"/>
      <c r="H8677"/>
      <c r="I8677"/>
      <c r="J8677"/>
      <c r="K8677" s="1"/>
      <c r="L8677" s="2"/>
    </row>
    <row r="8678" spans="1:12" x14ac:dyDescent="0.2">
      <c r="A8678"/>
      <c r="B8678"/>
      <c r="C8678"/>
      <c r="D8678"/>
      <c r="E8678"/>
      <c r="F8678"/>
      <c r="G8678"/>
      <c r="H8678"/>
      <c r="I8678"/>
      <c r="J8678"/>
      <c r="K8678" s="1"/>
      <c r="L8678" s="2"/>
    </row>
    <row r="8679" spans="1:12" x14ac:dyDescent="0.2">
      <c r="A8679"/>
      <c r="B8679"/>
      <c r="C8679"/>
      <c r="D8679"/>
      <c r="E8679"/>
      <c r="F8679"/>
      <c r="G8679"/>
      <c r="H8679"/>
      <c r="I8679"/>
      <c r="J8679"/>
      <c r="K8679" s="1"/>
      <c r="L8679" s="2"/>
    </row>
    <row r="8680" spans="1:12" x14ac:dyDescent="0.2">
      <c r="A8680"/>
      <c r="B8680"/>
      <c r="C8680"/>
      <c r="D8680"/>
      <c r="E8680"/>
      <c r="F8680"/>
      <c r="G8680"/>
      <c r="H8680"/>
      <c r="I8680"/>
      <c r="J8680"/>
      <c r="K8680" s="1"/>
      <c r="L8680" s="2"/>
    </row>
    <row r="8681" spans="1:12" x14ac:dyDescent="0.2">
      <c r="A8681"/>
      <c r="B8681"/>
      <c r="C8681"/>
      <c r="D8681"/>
      <c r="E8681"/>
      <c r="F8681"/>
      <c r="G8681"/>
      <c r="H8681"/>
      <c r="I8681"/>
      <c r="J8681"/>
      <c r="K8681" s="1"/>
      <c r="L8681" s="2"/>
    </row>
    <row r="8682" spans="1:12" x14ac:dyDescent="0.2">
      <c r="A8682"/>
      <c r="B8682"/>
      <c r="C8682"/>
      <c r="D8682"/>
      <c r="E8682"/>
      <c r="F8682"/>
      <c r="G8682"/>
      <c r="H8682"/>
      <c r="I8682"/>
      <c r="J8682"/>
      <c r="K8682" s="1"/>
      <c r="L8682" s="2"/>
    </row>
    <row r="8683" spans="1:12" x14ac:dyDescent="0.2">
      <c r="A8683"/>
      <c r="B8683"/>
      <c r="C8683"/>
      <c r="D8683"/>
      <c r="E8683"/>
      <c r="F8683"/>
      <c r="G8683"/>
      <c r="H8683"/>
      <c r="I8683"/>
      <c r="J8683"/>
      <c r="K8683" s="1"/>
      <c r="L8683" s="2"/>
    </row>
    <row r="8684" spans="1:12" x14ac:dyDescent="0.2">
      <c r="A8684"/>
      <c r="B8684"/>
      <c r="C8684"/>
      <c r="D8684"/>
      <c r="E8684"/>
      <c r="F8684"/>
      <c r="G8684"/>
      <c r="H8684"/>
      <c r="I8684"/>
      <c r="J8684"/>
      <c r="K8684" s="1"/>
      <c r="L8684" s="2"/>
    </row>
    <row r="8685" spans="1:12" x14ac:dyDescent="0.2">
      <c r="A8685"/>
      <c r="B8685"/>
      <c r="C8685"/>
      <c r="D8685"/>
      <c r="E8685"/>
      <c r="F8685"/>
      <c r="G8685"/>
      <c r="H8685"/>
      <c r="I8685"/>
      <c r="J8685"/>
      <c r="K8685" s="1"/>
      <c r="L8685" s="2"/>
    </row>
    <row r="8686" spans="1:12" x14ac:dyDescent="0.2">
      <c r="A8686"/>
      <c r="B8686"/>
      <c r="C8686"/>
      <c r="D8686"/>
      <c r="E8686"/>
      <c r="F8686"/>
      <c r="G8686"/>
      <c r="H8686"/>
      <c r="I8686"/>
      <c r="J8686"/>
      <c r="K8686" s="1"/>
      <c r="L8686" s="2"/>
    </row>
    <row r="8687" spans="1:12" x14ac:dyDescent="0.2">
      <c r="A8687"/>
      <c r="B8687"/>
      <c r="C8687"/>
      <c r="D8687"/>
      <c r="E8687"/>
      <c r="F8687"/>
      <c r="G8687"/>
      <c r="H8687"/>
      <c r="I8687"/>
      <c r="J8687"/>
      <c r="K8687" s="1"/>
      <c r="L8687" s="2"/>
    </row>
    <row r="8688" spans="1:12" x14ac:dyDescent="0.2">
      <c r="A8688"/>
      <c r="B8688"/>
      <c r="C8688"/>
      <c r="D8688"/>
      <c r="E8688"/>
      <c r="F8688"/>
      <c r="G8688"/>
      <c r="H8688"/>
      <c r="I8688"/>
      <c r="J8688"/>
      <c r="K8688" s="1"/>
      <c r="L8688" s="2"/>
    </row>
    <row r="8689" spans="1:12" x14ac:dyDescent="0.2">
      <c r="A8689"/>
      <c r="B8689"/>
      <c r="C8689"/>
      <c r="D8689"/>
      <c r="E8689"/>
      <c r="F8689"/>
      <c r="G8689"/>
      <c r="H8689"/>
      <c r="I8689"/>
      <c r="J8689"/>
      <c r="K8689" s="1"/>
      <c r="L8689" s="2"/>
    </row>
    <row r="8690" spans="1:12" x14ac:dyDescent="0.2">
      <c r="A8690"/>
      <c r="B8690"/>
      <c r="C8690"/>
      <c r="D8690"/>
      <c r="E8690"/>
      <c r="F8690"/>
      <c r="G8690"/>
      <c r="H8690"/>
      <c r="I8690"/>
      <c r="J8690"/>
      <c r="K8690" s="1"/>
      <c r="L8690" s="2"/>
    </row>
    <row r="8691" spans="1:12" x14ac:dyDescent="0.2">
      <c r="A8691"/>
      <c r="B8691"/>
      <c r="C8691"/>
      <c r="D8691"/>
      <c r="E8691"/>
      <c r="F8691"/>
      <c r="G8691"/>
      <c r="H8691"/>
      <c r="I8691"/>
      <c r="J8691"/>
      <c r="K8691" s="1"/>
      <c r="L8691" s="2"/>
    </row>
    <row r="8692" spans="1:12" x14ac:dyDescent="0.2">
      <c r="A8692"/>
      <c r="B8692"/>
      <c r="C8692"/>
      <c r="D8692"/>
      <c r="E8692"/>
      <c r="F8692"/>
      <c r="G8692"/>
      <c r="H8692"/>
      <c r="I8692"/>
      <c r="J8692"/>
      <c r="K8692" s="1"/>
      <c r="L8692" s="2"/>
    </row>
    <row r="8693" spans="1:12" x14ac:dyDescent="0.2">
      <c r="A8693"/>
      <c r="B8693"/>
      <c r="C8693"/>
      <c r="D8693"/>
      <c r="E8693"/>
      <c r="F8693"/>
      <c r="G8693"/>
      <c r="H8693"/>
      <c r="I8693"/>
      <c r="J8693"/>
      <c r="K8693" s="1"/>
      <c r="L8693" s="2"/>
    </row>
    <row r="8694" spans="1:12" x14ac:dyDescent="0.2">
      <c r="A8694"/>
      <c r="B8694"/>
      <c r="C8694"/>
      <c r="D8694"/>
      <c r="E8694"/>
      <c r="F8694"/>
      <c r="G8694"/>
      <c r="H8694"/>
      <c r="I8694"/>
      <c r="J8694"/>
      <c r="K8694" s="1"/>
      <c r="L8694" s="2"/>
    </row>
    <row r="8695" spans="1:12" x14ac:dyDescent="0.2">
      <c r="A8695"/>
      <c r="B8695"/>
      <c r="C8695"/>
      <c r="D8695"/>
      <c r="E8695"/>
      <c r="F8695"/>
      <c r="G8695"/>
      <c r="H8695"/>
      <c r="I8695"/>
      <c r="J8695"/>
      <c r="K8695" s="1"/>
      <c r="L8695" s="2"/>
    </row>
    <row r="8696" spans="1:12" x14ac:dyDescent="0.2">
      <c r="A8696"/>
      <c r="B8696"/>
      <c r="C8696"/>
      <c r="D8696"/>
      <c r="E8696"/>
      <c r="F8696"/>
      <c r="G8696"/>
      <c r="H8696"/>
      <c r="I8696"/>
      <c r="J8696"/>
      <c r="K8696" s="1"/>
      <c r="L8696" s="2"/>
    </row>
    <row r="8697" spans="1:12" x14ac:dyDescent="0.2">
      <c r="A8697"/>
      <c r="B8697"/>
      <c r="C8697"/>
      <c r="D8697"/>
      <c r="E8697"/>
      <c r="F8697"/>
      <c r="G8697"/>
      <c r="H8697"/>
      <c r="I8697"/>
      <c r="J8697"/>
      <c r="K8697" s="1"/>
      <c r="L8697" s="2"/>
    </row>
    <row r="8698" spans="1:12" x14ac:dyDescent="0.2">
      <c r="A8698"/>
      <c r="B8698"/>
      <c r="C8698"/>
      <c r="D8698"/>
      <c r="E8698"/>
      <c r="F8698"/>
      <c r="G8698"/>
      <c r="H8698"/>
      <c r="I8698"/>
      <c r="J8698"/>
      <c r="K8698" s="1"/>
      <c r="L8698" s="2"/>
    </row>
    <row r="8699" spans="1:12" x14ac:dyDescent="0.2">
      <c r="A8699"/>
      <c r="B8699"/>
      <c r="C8699"/>
      <c r="D8699"/>
      <c r="E8699"/>
      <c r="F8699"/>
      <c r="G8699"/>
      <c r="H8699"/>
      <c r="I8699"/>
      <c r="J8699"/>
      <c r="K8699" s="1"/>
      <c r="L8699" s="2"/>
    </row>
    <row r="8700" spans="1:12" x14ac:dyDescent="0.2">
      <c r="A8700"/>
      <c r="B8700"/>
      <c r="C8700"/>
      <c r="D8700"/>
      <c r="E8700"/>
      <c r="F8700"/>
      <c r="G8700"/>
      <c r="H8700"/>
      <c r="I8700"/>
      <c r="J8700"/>
      <c r="K8700" s="1"/>
      <c r="L8700" s="2"/>
    </row>
    <row r="8701" spans="1:12" x14ac:dyDescent="0.2">
      <c r="A8701"/>
      <c r="B8701"/>
      <c r="C8701"/>
      <c r="D8701"/>
      <c r="E8701"/>
      <c r="F8701"/>
      <c r="G8701"/>
      <c r="H8701"/>
      <c r="I8701"/>
      <c r="J8701"/>
      <c r="K8701" s="1"/>
      <c r="L8701" s="2"/>
    </row>
    <row r="8702" spans="1:12" x14ac:dyDescent="0.2">
      <c r="A8702"/>
      <c r="B8702"/>
      <c r="C8702"/>
      <c r="D8702"/>
      <c r="E8702"/>
      <c r="F8702"/>
      <c r="G8702"/>
      <c r="H8702"/>
      <c r="I8702"/>
      <c r="J8702"/>
      <c r="K8702" s="1"/>
      <c r="L8702" s="2"/>
    </row>
    <row r="8703" spans="1:12" x14ac:dyDescent="0.2">
      <c r="A8703"/>
      <c r="B8703"/>
      <c r="C8703"/>
      <c r="D8703"/>
      <c r="E8703"/>
      <c r="F8703"/>
      <c r="G8703"/>
      <c r="H8703"/>
      <c r="I8703"/>
      <c r="J8703"/>
      <c r="K8703" s="1"/>
      <c r="L8703" s="2"/>
    </row>
    <row r="8704" spans="1:12" x14ac:dyDescent="0.2">
      <c r="A8704"/>
      <c r="B8704"/>
      <c r="C8704"/>
      <c r="D8704"/>
      <c r="E8704"/>
      <c r="F8704"/>
      <c r="G8704"/>
      <c r="H8704"/>
      <c r="I8704"/>
      <c r="J8704"/>
      <c r="K8704" s="1"/>
      <c r="L8704" s="2"/>
    </row>
    <row r="8705" spans="1:12" x14ac:dyDescent="0.2">
      <c r="A8705"/>
      <c r="B8705"/>
      <c r="C8705"/>
      <c r="D8705"/>
      <c r="E8705"/>
      <c r="F8705"/>
      <c r="G8705"/>
      <c r="H8705"/>
      <c r="I8705"/>
      <c r="J8705"/>
      <c r="K8705" s="1"/>
      <c r="L8705" s="2"/>
    </row>
    <row r="8706" spans="1:12" x14ac:dyDescent="0.2">
      <c r="A8706"/>
      <c r="B8706"/>
      <c r="C8706"/>
      <c r="D8706"/>
      <c r="E8706"/>
      <c r="F8706"/>
      <c r="G8706"/>
      <c r="H8706"/>
      <c r="I8706"/>
      <c r="J8706"/>
      <c r="K8706" s="1"/>
      <c r="L8706" s="2"/>
    </row>
    <row r="8707" spans="1:12" x14ac:dyDescent="0.2">
      <c r="A8707"/>
      <c r="B8707"/>
      <c r="C8707"/>
      <c r="D8707"/>
      <c r="E8707"/>
      <c r="F8707"/>
      <c r="G8707"/>
      <c r="H8707"/>
      <c r="I8707"/>
      <c r="J8707"/>
      <c r="K8707" s="1"/>
      <c r="L8707" s="2"/>
    </row>
    <row r="8708" spans="1:12" x14ac:dyDescent="0.2">
      <c r="A8708"/>
      <c r="B8708"/>
      <c r="C8708"/>
      <c r="D8708"/>
      <c r="E8708"/>
      <c r="F8708"/>
      <c r="G8708"/>
      <c r="H8708"/>
      <c r="I8708"/>
      <c r="J8708"/>
      <c r="K8708" s="1"/>
      <c r="L8708" s="2"/>
    </row>
    <row r="8709" spans="1:12" x14ac:dyDescent="0.2">
      <c r="A8709"/>
      <c r="B8709"/>
      <c r="C8709"/>
      <c r="D8709"/>
      <c r="E8709"/>
      <c r="F8709"/>
      <c r="G8709"/>
      <c r="H8709"/>
      <c r="I8709"/>
      <c r="J8709"/>
      <c r="K8709" s="1"/>
      <c r="L8709" s="2"/>
    </row>
    <row r="8710" spans="1:12" x14ac:dyDescent="0.2">
      <c r="A8710"/>
      <c r="B8710"/>
      <c r="C8710"/>
      <c r="D8710"/>
      <c r="E8710"/>
      <c r="F8710"/>
      <c r="G8710"/>
      <c r="H8710"/>
      <c r="I8710"/>
      <c r="J8710"/>
      <c r="K8710" s="1"/>
      <c r="L8710" s="2"/>
    </row>
    <row r="8711" spans="1:12" x14ac:dyDescent="0.2">
      <c r="A8711"/>
      <c r="B8711"/>
      <c r="C8711"/>
      <c r="D8711"/>
      <c r="E8711"/>
      <c r="F8711"/>
      <c r="G8711"/>
      <c r="H8711"/>
      <c r="I8711"/>
      <c r="J8711"/>
      <c r="K8711" s="1"/>
      <c r="L8711" s="2"/>
    </row>
    <row r="8712" spans="1:12" x14ac:dyDescent="0.2">
      <c r="A8712"/>
      <c r="B8712"/>
      <c r="C8712"/>
      <c r="D8712"/>
      <c r="E8712"/>
      <c r="F8712"/>
      <c r="G8712"/>
      <c r="H8712"/>
      <c r="I8712"/>
      <c r="J8712"/>
      <c r="K8712" s="1"/>
      <c r="L8712" s="2"/>
    </row>
    <row r="8713" spans="1:12" x14ac:dyDescent="0.2">
      <c r="A8713"/>
      <c r="B8713"/>
      <c r="C8713"/>
      <c r="D8713"/>
      <c r="E8713"/>
      <c r="F8713"/>
      <c r="G8713"/>
      <c r="H8713"/>
      <c r="I8713"/>
      <c r="J8713"/>
      <c r="K8713" s="1"/>
      <c r="L8713" s="2"/>
    </row>
    <row r="8714" spans="1:12" x14ac:dyDescent="0.2">
      <c r="A8714"/>
      <c r="B8714"/>
      <c r="C8714"/>
      <c r="D8714"/>
      <c r="E8714"/>
      <c r="F8714"/>
      <c r="G8714"/>
      <c r="H8714"/>
      <c r="I8714"/>
      <c r="J8714"/>
      <c r="K8714" s="1"/>
      <c r="L8714" s="2"/>
    </row>
    <row r="8715" spans="1:12" x14ac:dyDescent="0.2">
      <c r="A8715"/>
      <c r="B8715"/>
      <c r="C8715"/>
      <c r="D8715"/>
      <c r="E8715"/>
      <c r="F8715"/>
      <c r="G8715"/>
      <c r="H8715"/>
      <c r="I8715"/>
      <c r="J8715"/>
      <c r="K8715" s="1"/>
      <c r="L8715" s="2"/>
    </row>
    <row r="8716" spans="1:12" x14ac:dyDescent="0.2">
      <c r="A8716"/>
      <c r="B8716"/>
      <c r="C8716"/>
      <c r="D8716"/>
      <c r="E8716"/>
      <c r="F8716"/>
      <c r="G8716"/>
      <c r="H8716"/>
      <c r="I8716"/>
      <c r="J8716"/>
      <c r="K8716" s="1"/>
      <c r="L8716" s="2"/>
    </row>
    <row r="8717" spans="1:12" x14ac:dyDescent="0.2">
      <c r="A8717"/>
      <c r="B8717"/>
      <c r="C8717"/>
      <c r="D8717"/>
      <c r="E8717"/>
      <c r="F8717"/>
      <c r="G8717"/>
      <c r="H8717"/>
      <c r="I8717"/>
      <c r="J8717"/>
      <c r="K8717" s="1"/>
      <c r="L8717" s="2"/>
    </row>
    <row r="8718" spans="1:12" x14ac:dyDescent="0.2">
      <c r="A8718"/>
      <c r="B8718"/>
      <c r="C8718"/>
      <c r="D8718"/>
      <c r="E8718"/>
      <c r="F8718"/>
      <c r="G8718"/>
      <c r="H8718"/>
      <c r="I8718"/>
      <c r="J8718"/>
      <c r="K8718" s="1"/>
      <c r="L8718" s="2"/>
    </row>
    <row r="8719" spans="1:12" x14ac:dyDescent="0.2">
      <c r="A8719"/>
      <c r="B8719"/>
      <c r="C8719"/>
      <c r="D8719"/>
      <c r="E8719"/>
      <c r="F8719"/>
      <c r="G8719"/>
      <c r="H8719"/>
      <c r="I8719"/>
      <c r="J8719"/>
      <c r="K8719" s="1"/>
      <c r="L8719" s="2"/>
    </row>
    <row r="8720" spans="1:12" x14ac:dyDescent="0.2">
      <c r="A8720"/>
      <c r="B8720"/>
      <c r="C8720"/>
      <c r="D8720"/>
      <c r="E8720"/>
      <c r="F8720"/>
      <c r="G8720"/>
      <c r="H8720"/>
      <c r="I8720"/>
      <c r="J8720"/>
      <c r="K8720" s="1"/>
      <c r="L8720" s="2"/>
    </row>
    <row r="8721" spans="1:12" x14ac:dyDescent="0.2">
      <c r="A8721"/>
      <c r="B8721"/>
      <c r="C8721"/>
      <c r="D8721"/>
      <c r="E8721"/>
      <c r="F8721"/>
      <c r="G8721"/>
      <c r="H8721"/>
      <c r="I8721"/>
      <c r="J8721"/>
      <c r="K8721" s="1"/>
      <c r="L8721" s="2"/>
    </row>
    <row r="8722" spans="1:12" x14ac:dyDescent="0.2">
      <c r="A8722"/>
      <c r="B8722"/>
      <c r="C8722"/>
      <c r="D8722"/>
      <c r="E8722"/>
      <c r="F8722"/>
      <c r="G8722"/>
      <c r="H8722"/>
      <c r="I8722"/>
      <c r="J8722"/>
      <c r="K8722" s="1"/>
      <c r="L8722" s="2"/>
    </row>
    <row r="8723" spans="1:12" x14ac:dyDescent="0.2">
      <c r="A8723"/>
      <c r="B8723"/>
      <c r="C8723"/>
      <c r="D8723"/>
      <c r="E8723"/>
      <c r="F8723"/>
      <c r="G8723"/>
      <c r="H8723"/>
      <c r="I8723"/>
      <c r="J8723"/>
      <c r="K8723" s="1"/>
      <c r="L8723" s="2"/>
    </row>
    <row r="8724" spans="1:12" x14ac:dyDescent="0.2">
      <c r="A8724"/>
      <c r="B8724"/>
      <c r="C8724"/>
      <c r="D8724"/>
      <c r="E8724"/>
      <c r="F8724"/>
      <c r="G8724"/>
      <c r="H8724"/>
      <c r="I8724"/>
      <c r="J8724"/>
      <c r="K8724" s="1"/>
      <c r="L8724" s="2"/>
    </row>
    <row r="8725" spans="1:12" x14ac:dyDescent="0.2">
      <c r="A8725"/>
      <c r="B8725"/>
      <c r="C8725"/>
      <c r="D8725"/>
      <c r="E8725"/>
      <c r="F8725"/>
      <c r="G8725"/>
      <c r="H8725"/>
      <c r="I8725"/>
      <c r="J8725"/>
      <c r="K8725" s="1"/>
      <c r="L8725" s="2"/>
    </row>
    <row r="8726" spans="1:12" x14ac:dyDescent="0.2">
      <c r="A8726"/>
      <c r="B8726"/>
      <c r="C8726"/>
      <c r="D8726"/>
      <c r="E8726"/>
      <c r="F8726"/>
      <c r="G8726"/>
      <c r="H8726"/>
      <c r="I8726"/>
      <c r="J8726"/>
      <c r="K8726" s="1"/>
      <c r="L8726" s="2"/>
    </row>
    <row r="8727" spans="1:12" x14ac:dyDescent="0.2">
      <c r="A8727"/>
      <c r="B8727"/>
      <c r="C8727"/>
      <c r="D8727"/>
      <c r="E8727"/>
      <c r="F8727"/>
      <c r="G8727"/>
      <c r="H8727"/>
      <c r="I8727"/>
      <c r="J8727"/>
      <c r="K8727" s="1"/>
      <c r="L8727" s="2"/>
    </row>
    <row r="8728" spans="1:12" x14ac:dyDescent="0.2">
      <c r="A8728"/>
      <c r="B8728"/>
      <c r="C8728"/>
      <c r="D8728"/>
      <c r="E8728"/>
      <c r="F8728"/>
      <c r="G8728"/>
      <c r="H8728"/>
      <c r="I8728"/>
      <c r="J8728"/>
      <c r="K8728" s="1"/>
      <c r="L8728" s="2"/>
    </row>
    <row r="8729" spans="1:12" x14ac:dyDescent="0.2">
      <c r="A8729"/>
      <c r="B8729"/>
      <c r="C8729"/>
      <c r="D8729"/>
      <c r="E8729"/>
      <c r="F8729"/>
      <c r="G8729"/>
      <c r="H8729"/>
      <c r="I8729"/>
      <c r="J8729"/>
      <c r="K8729" s="1"/>
      <c r="L8729" s="2"/>
    </row>
    <row r="8730" spans="1:12" x14ac:dyDescent="0.2">
      <c r="A8730"/>
      <c r="B8730"/>
      <c r="C8730"/>
      <c r="D8730"/>
      <c r="E8730"/>
      <c r="F8730"/>
      <c r="G8730"/>
      <c r="H8730"/>
      <c r="I8730"/>
      <c r="J8730"/>
      <c r="K8730" s="1"/>
      <c r="L8730" s="2"/>
    </row>
    <row r="8731" spans="1:12" x14ac:dyDescent="0.2">
      <c r="A8731"/>
      <c r="B8731"/>
      <c r="C8731"/>
      <c r="D8731"/>
      <c r="E8731"/>
      <c r="F8731"/>
      <c r="G8731"/>
      <c r="H8731"/>
      <c r="I8731"/>
      <c r="J8731"/>
      <c r="K8731" s="1"/>
      <c r="L8731" s="2"/>
    </row>
    <row r="8732" spans="1:12" x14ac:dyDescent="0.2">
      <c r="A8732"/>
      <c r="B8732"/>
      <c r="C8732"/>
      <c r="D8732"/>
      <c r="E8732"/>
      <c r="F8732"/>
      <c r="G8732"/>
      <c r="H8732"/>
      <c r="I8732"/>
      <c r="J8732"/>
      <c r="K8732" s="1"/>
      <c r="L8732" s="2"/>
    </row>
    <row r="8733" spans="1:12" x14ac:dyDescent="0.2">
      <c r="A8733"/>
      <c r="B8733"/>
      <c r="C8733"/>
      <c r="D8733"/>
      <c r="E8733"/>
      <c r="F8733"/>
      <c r="G8733"/>
      <c r="H8733"/>
      <c r="I8733"/>
      <c r="J8733"/>
      <c r="K8733" s="1"/>
      <c r="L8733" s="2"/>
    </row>
    <row r="8734" spans="1:12" x14ac:dyDescent="0.2">
      <c r="A8734"/>
      <c r="B8734"/>
      <c r="C8734"/>
      <c r="D8734"/>
      <c r="E8734"/>
      <c r="F8734"/>
      <c r="G8734"/>
      <c r="H8734"/>
      <c r="I8734"/>
      <c r="J8734"/>
      <c r="K8734" s="1"/>
      <c r="L8734" s="2"/>
    </row>
    <row r="8735" spans="1:12" x14ac:dyDescent="0.2">
      <c r="A8735"/>
      <c r="B8735"/>
      <c r="C8735"/>
      <c r="D8735"/>
      <c r="E8735"/>
      <c r="F8735"/>
      <c r="G8735"/>
      <c r="H8735"/>
      <c r="I8735"/>
      <c r="J8735"/>
      <c r="K8735" s="1"/>
      <c r="L8735" s="2"/>
    </row>
    <row r="8736" spans="1:12" x14ac:dyDescent="0.2">
      <c r="A8736"/>
      <c r="B8736"/>
      <c r="C8736"/>
      <c r="D8736"/>
      <c r="E8736"/>
      <c r="F8736"/>
      <c r="G8736"/>
      <c r="H8736"/>
      <c r="I8736"/>
      <c r="J8736"/>
      <c r="K8736" s="1"/>
      <c r="L8736" s="2"/>
    </row>
    <row r="8737" spans="1:12" x14ac:dyDescent="0.2">
      <c r="A8737"/>
      <c r="B8737"/>
      <c r="C8737"/>
      <c r="D8737"/>
      <c r="E8737"/>
      <c r="F8737"/>
      <c r="G8737"/>
      <c r="H8737"/>
      <c r="I8737"/>
      <c r="J8737"/>
      <c r="K8737" s="1"/>
      <c r="L8737" s="2"/>
    </row>
    <row r="8738" spans="1:12" x14ac:dyDescent="0.2">
      <c r="A8738"/>
      <c r="B8738"/>
      <c r="C8738"/>
      <c r="D8738"/>
      <c r="E8738"/>
      <c r="F8738"/>
      <c r="G8738"/>
      <c r="H8738"/>
      <c r="I8738"/>
      <c r="J8738"/>
      <c r="K8738" s="1"/>
      <c r="L8738" s="2"/>
    </row>
    <row r="8739" spans="1:12" x14ac:dyDescent="0.2">
      <c r="A8739"/>
      <c r="B8739"/>
      <c r="C8739"/>
      <c r="D8739"/>
      <c r="E8739"/>
      <c r="F8739"/>
      <c r="G8739"/>
      <c r="H8739"/>
      <c r="I8739"/>
      <c r="J8739"/>
      <c r="K8739" s="1"/>
      <c r="L8739" s="2"/>
    </row>
    <row r="8740" spans="1:12" x14ac:dyDescent="0.2">
      <c r="A8740"/>
      <c r="B8740"/>
      <c r="C8740"/>
      <c r="D8740"/>
      <c r="E8740"/>
      <c r="F8740"/>
      <c r="G8740"/>
      <c r="H8740"/>
      <c r="I8740"/>
      <c r="J8740"/>
      <c r="K8740" s="1"/>
      <c r="L8740" s="2"/>
    </row>
    <row r="8741" spans="1:12" x14ac:dyDescent="0.2">
      <c r="A8741"/>
      <c r="B8741"/>
      <c r="C8741"/>
      <c r="D8741"/>
      <c r="E8741"/>
      <c r="F8741"/>
      <c r="G8741"/>
      <c r="H8741"/>
      <c r="I8741"/>
      <c r="J8741"/>
      <c r="K8741" s="1"/>
      <c r="L8741" s="2"/>
    </row>
    <row r="8742" spans="1:12" x14ac:dyDescent="0.2">
      <c r="A8742"/>
      <c r="B8742"/>
      <c r="C8742"/>
      <c r="D8742"/>
      <c r="E8742"/>
      <c r="F8742"/>
      <c r="G8742"/>
      <c r="H8742"/>
      <c r="I8742"/>
      <c r="J8742"/>
      <c r="K8742" s="1"/>
      <c r="L8742" s="2"/>
    </row>
    <row r="8743" spans="1:12" x14ac:dyDescent="0.2">
      <c r="A8743"/>
      <c r="B8743"/>
      <c r="C8743"/>
      <c r="D8743"/>
      <c r="E8743"/>
      <c r="F8743"/>
      <c r="G8743"/>
      <c r="H8743"/>
      <c r="I8743"/>
      <c r="J8743"/>
      <c r="K8743" s="1"/>
      <c r="L8743" s="2"/>
    </row>
    <row r="8744" spans="1:12" x14ac:dyDescent="0.2">
      <c r="A8744"/>
      <c r="B8744"/>
      <c r="C8744"/>
      <c r="D8744"/>
      <c r="E8744"/>
      <c r="F8744"/>
      <c r="G8744"/>
      <c r="H8744"/>
      <c r="I8744"/>
      <c r="J8744"/>
      <c r="K8744" s="1"/>
      <c r="L8744" s="2"/>
    </row>
    <row r="8745" spans="1:12" x14ac:dyDescent="0.2">
      <c r="A8745"/>
      <c r="B8745"/>
      <c r="C8745"/>
      <c r="D8745"/>
      <c r="E8745"/>
      <c r="F8745"/>
      <c r="G8745"/>
      <c r="H8745"/>
      <c r="I8745"/>
      <c r="J8745"/>
      <c r="K8745" s="1"/>
      <c r="L8745" s="2"/>
    </row>
    <row r="8746" spans="1:12" x14ac:dyDescent="0.2">
      <c r="A8746"/>
      <c r="B8746"/>
      <c r="C8746"/>
      <c r="D8746"/>
      <c r="E8746"/>
      <c r="F8746"/>
      <c r="G8746"/>
      <c r="H8746"/>
      <c r="I8746"/>
      <c r="J8746"/>
      <c r="K8746" s="1"/>
      <c r="L8746" s="2"/>
    </row>
    <row r="8747" spans="1:12" x14ac:dyDescent="0.2">
      <c r="A8747"/>
      <c r="B8747"/>
      <c r="C8747"/>
      <c r="D8747"/>
      <c r="E8747"/>
      <c r="F8747"/>
      <c r="G8747"/>
      <c r="H8747"/>
      <c r="I8747"/>
      <c r="J8747"/>
      <c r="K8747" s="1"/>
      <c r="L8747" s="2"/>
    </row>
    <row r="8748" spans="1:12" x14ac:dyDescent="0.2">
      <c r="A8748"/>
      <c r="B8748"/>
      <c r="C8748"/>
      <c r="D8748"/>
      <c r="E8748"/>
      <c r="F8748"/>
      <c r="G8748"/>
      <c r="H8748"/>
      <c r="I8748"/>
      <c r="J8748"/>
      <c r="K8748" s="1"/>
      <c r="L8748" s="2"/>
    </row>
    <row r="8749" spans="1:12" x14ac:dyDescent="0.2">
      <c r="A8749"/>
      <c r="B8749"/>
      <c r="C8749"/>
      <c r="D8749"/>
      <c r="E8749"/>
      <c r="F8749"/>
      <c r="G8749"/>
      <c r="H8749"/>
      <c r="I8749"/>
      <c r="J8749"/>
      <c r="K8749" s="1"/>
      <c r="L8749" s="2"/>
    </row>
    <row r="8750" spans="1:12" x14ac:dyDescent="0.2">
      <c r="A8750"/>
      <c r="B8750"/>
      <c r="C8750"/>
      <c r="D8750"/>
      <c r="E8750"/>
      <c r="F8750"/>
      <c r="G8750"/>
      <c r="H8750"/>
      <c r="I8750"/>
      <c r="J8750"/>
      <c r="K8750" s="1"/>
      <c r="L8750" s="2"/>
    </row>
    <row r="8751" spans="1:12" x14ac:dyDescent="0.2">
      <c r="A8751"/>
      <c r="B8751"/>
      <c r="C8751"/>
      <c r="D8751"/>
      <c r="E8751"/>
      <c r="F8751"/>
      <c r="G8751"/>
      <c r="H8751"/>
      <c r="I8751"/>
      <c r="J8751"/>
      <c r="K8751" s="1"/>
      <c r="L8751" s="2"/>
    </row>
    <row r="8752" spans="1:12" x14ac:dyDescent="0.2">
      <c r="A8752"/>
      <c r="B8752"/>
      <c r="C8752"/>
      <c r="D8752"/>
      <c r="E8752"/>
      <c r="F8752"/>
      <c r="G8752"/>
      <c r="H8752"/>
      <c r="I8752"/>
      <c r="J8752"/>
      <c r="K8752" s="1"/>
      <c r="L8752" s="2"/>
    </row>
    <row r="8753" spans="1:12" x14ac:dyDescent="0.2">
      <c r="A8753"/>
      <c r="B8753"/>
      <c r="C8753"/>
      <c r="D8753"/>
      <c r="E8753"/>
      <c r="F8753"/>
      <c r="G8753"/>
      <c r="H8753"/>
      <c r="I8753"/>
      <c r="J8753"/>
      <c r="K8753" s="1"/>
      <c r="L8753" s="2"/>
    </row>
    <row r="8754" spans="1:12" x14ac:dyDescent="0.2">
      <c r="A8754"/>
      <c r="B8754"/>
      <c r="C8754"/>
      <c r="D8754"/>
      <c r="E8754"/>
      <c r="F8754"/>
      <c r="G8754"/>
      <c r="H8754"/>
      <c r="I8754"/>
      <c r="J8754"/>
      <c r="K8754" s="1"/>
      <c r="L8754" s="2"/>
    </row>
    <row r="8755" spans="1:12" x14ac:dyDescent="0.2">
      <c r="A8755"/>
      <c r="B8755"/>
      <c r="C8755"/>
      <c r="D8755"/>
      <c r="E8755"/>
      <c r="F8755"/>
      <c r="G8755"/>
      <c r="H8755"/>
      <c r="I8755"/>
      <c r="J8755"/>
      <c r="K8755" s="1"/>
      <c r="L8755" s="2"/>
    </row>
    <row r="8756" spans="1:12" x14ac:dyDescent="0.2">
      <c r="A8756"/>
      <c r="B8756"/>
      <c r="C8756"/>
      <c r="D8756"/>
      <c r="E8756"/>
      <c r="F8756"/>
      <c r="G8756"/>
      <c r="H8756"/>
      <c r="I8756"/>
      <c r="J8756"/>
      <c r="K8756" s="1"/>
      <c r="L8756" s="2"/>
    </row>
    <row r="8757" spans="1:12" x14ac:dyDescent="0.2">
      <c r="A8757"/>
      <c r="B8757"/>
      <c r="C8757"/>
      <c r="D8757"/>
      <c r="E8757"/>
      <c r="F8757"/>
      <c r="G8757"/>
      <c r="H8757"/>
      <c r="I8757"/>
      <c r="J8757"/>
      <c r="K8757" s="1"/>
      <c r="L8757" s="2"/>
    </row>
    <row r="8758" spans="1:12" x14ac:dyDescent="0.2">
      <c r="A8758"/>
      <c r="B8758"/>
      <c r="C8758"/>
      <c r="D8758"/>
      <c r="E8758"/>
      <c r="F8758"/>
      <c r="G8758"/>
      <c r="H8758"/>
      <c r="I8758"/>
      <c r="J8758"/>
      <c r="K8758" s="1"/>
      <c r="L8758" s="2"/>
    </row>
    <row r="8759" spans="1:12" x14ac:dyDescent="0.2">
      <c r="A8759"/>
      <c r="B8759"/>
      <c r="C8759"/>
      <c r="D8759"/>
      <c r="E8759"/>
      <c r="F8759"/>
      <c r="G8759"/>
      <c r="H8759"/>
      <c r="I8759"/>
      <c r="J8759"/>
      <c r="K8759" s="1"/>
      <c r="L8759" s="2"/>
    </row>
    <row r="8760" spans="1:12" x14ac:dyDescent="0.2">
      <c r="A8760"/>
      <c r="B8760"/>
      <c r="C8760"/>
      <c r="D8760"/>
      <c r="E8760"/>
      <c r="F8760"/>
      <c r="G8760"/>
      <c r="H8760"/>
      <c r="I8760"/>
      <c r="J8760"/>
      <c r="K8760" s="1"/>
      <c r="L8760" s="2"/>
    </row>
    <row r="8761" spans="1:12" x14ac:dyDescent="0.2">
      <c r="A8761"/>
      <c r="B8761"/>
      <c r="C8761"/>
      <c r="D8761"/>
      <c r="E8761"/>
      <c r="F8761"/>
      <c r="G8761"/>
      <c r="H8761"/>
      <c r="I8761"/>
      <c r="J8761"/>
      <c r="K8761" s="1"/>
      <c r="L8761" s="2"/>
    </row>
    <row r="8762" spans="1:12" x14ac:dyDescent="0.2">
      <c r="A8762"/>
      <c r="B8762"/>
      <c r="C8762"/>
      <c r="D8762"/>
      <c r="E8762"/>
      <c r="F8762"/>
      <c r="G8762"/>
      <c r="H8762"/>
      <c r="I8762"/>
      <c r="J8762"/>
      <c r="K8762" s="1"/>
      <c r="L8762" s="2"/>
    </row>
    <row r="8763" spans="1:12" x14ac:dyDescent="0.2">
      <c r="A8763"/>
      <c r="B8763"/>
      <c r="C8763"/>
      <c r="D8763"/>
      <c r="E8763"/>
      <c r="F8763"/>
      <c r="G8763"/>
      <c r="H8763"/>
      <c r="I8763"/>
      <c r="J8763"/>
      <c r="K8763" s="1"/>
      <c r="L8763" s="2"/>
    </row>
    <row r="8764" spans="1:12" x14ac:dyDescent="0.2">
      <c r="A8764"/>
      <c r="B8764"/>
      <c r="C8764"/>
      <c r="D8764"/>
      <c r="E8764"/>
      <c r="F8764"/>
      <c r="G8764"/>
      <c r="H8764"/>
      <c r="I8764"/>
      <c r="J8764"/>
      <c r="K8764" s="1"/>
      <c r="L8764" s="2"/>
    </row>
    <row r="8765" spans="1:12" x14ac:dyDescent="0.2">
      <c r="A8765"/>
      <c r="B8765"/>
      <c r="C8765"/>
      <c r="D8765"/>
      <c r="E8765"/>
      <c r="F8765"/>
      <c r="G8765"/>
      <c r="H8765"/>
      <c r="I8765"/>
      <c r="J8765"/>
      <c r="K8765" s="1"/>
      <c r="L8765" s="2"/>
    </row>
    <row r="8766" spans="1:12" x14ac:dyDescent="0.2">
      <c r="A8766"/>
      <c r="B8766"/>
      <c r="C8766"/>
      <c r="D8766"/>
      <c r="E8766"/>
      <c r="F8766"/>
      <c r="G8766"/>
      <c r="H8766"/>
      <c r="I8766"/>
      <c r="J8766"/>
      <c r="K8766" s="1"/>
      <c r="L8766" s="2"/>
    </row>
    <row r="8767" spans="1:12" x14ac:dyDescent="0.2">
      <c r="A8767"/>
      <c r="B8767"/>
      <c r="C8767"/>
      <c r="D8767"/>
      <c r="E8767"/>
      <c r="F8767"/>
      <c r="G8767"/>
      <c r="H8767"/>
      <c r="I8767"/>
      <c r="J8767"/>
      <c r="K8767" s="1"/>
      <c r="L8767" s="2"/>
    </row>
    <row r="8768" spans="1:12" x14ac:dyDescent="0.2">
      <c r="A8768"/>
      <c r="B8768"/>
      <c r="C8768"/>
      <c r="D8768"/>
      <c r="E8768"/>
      <c r="F8768"/>
      <c r="G8768"/>
      <c r="H8768"/>
      <c r="I8768"/>
      <c r="J8768"/>
      <c r="K8768" s="1"/>
      <c r="L8768" s="2"/>
    </row>
    <row r="8769" spans="1:12" x14ac:dyDescent="0.2">
      <c r="A8769"/>
      <c r="B8769"/>
      <c r="C8769"/>
      <c r="D8769"/>
      <c r="E8769"/>
      <c r="F8769"/>
      <c r="G8769"/>
      <c r="H8769"/>
      <c r="I8769"/>
      <c r="J8769"/>
      <c r="K8769" s="1"/>
      <c r="L8769" s="2"/>
    </row>
    <row r="8770" spans="1:12" x14ac:dyDescent="0.2">
      <c r="A8770"/>
      <c r="B8770"/>
      <c r="C8770"/>
      <c r="D8770"/>
      <c r="E8770"/>
      <c r="F8770"/>
      <c r="G8770"/>
      <c r="H8770"/>
      <c r="I8770"/>
      <c r="J8770"/>
      <c r="K8770" s="1"/>
      <c r="L8770" s="2"/>
    </row>
    <row r="8771" spans="1:12" x14ac:dyDescent="0.2">
      <c r="A8771"/>
      <c r="B8771"/>
      <c r="C8771"/>
      <c r="D8771"/>
      <c r="E8771"/>
      <c r="F8771"/>
      <c r="G8771"/>
      <c r="H8771"/>
      <c r="I8771"/>
      <c r="J8771"/>
      <c r="K8771" s="1"/>
      <c r="L8771" s="2"/>
    </row>
    <row r="8772" spans="1:12" x14ac:dyDescent="0.2">
      <c r="A8772"/>
      <c r="B8772"/>
      <c r="C8772"/>
      <c r="D8772"/>
      <c r="E8772"/>
      <c r="F8772"/>
      <c r="G8772"/>
      <c r="H8772"/>
      <c r="I8772"/>
      <c r="J8772"/>
      <c r="K8772" s="1"/>
      <c r="L8772" s="2"/>
    </row>
    <row r="8773" spans="1:12" x14ac:dyDescent="0.2">
      <c r="A8773"/>
      <c r="B8773"/>
      <c r="C8773"/>
      <c r="D8773"/>
      <c r="E8773"/>
      <c r="F8773"/>
      <c r="G8773"/>
      <c r="H8773"/>
      <c r="I8773"/>
      <c r="J8773"/>
      <c r="K8773" s="1"/>
      <c r="L8773" s="2"/>
    </row>
    <row r="8774" spans="1:12" x14ac:dyDescent="0.2">
      <c r="A8774"/>
      <c r="B8774"/>
      <c r="C8774"/>
      <c r="D8774"/>
      <c r="E8774"/>
      <c r="F8774"/>
      <c r="G8774"/>
      <c r="H8774"/>
      <c r="I8774"/>
      <c r="J8774"/>
      <c r="K8774" s="1"/>
      <c r="L8774" s="2"/>
    </row>
    <row r="8775" spans="1:12" x14ac:dyDescent="0.2">
      <c r="A8775"/>
      <c r="B8775"/>
      <c r="C8775"/>
      <c r="D8775"/>
      <c r="E8775"/>
      <c r="F8775"/>
      <c r="G8775"/>
      <c r="H8775"/>
      <c r="I8775"/>
      <c r="J8775"/>
      <c r="K8775" s="1"/>
      <c r="L8775" s="2"/>
    </row>
    <row r="8776" spans="1:12" x14ac:dyDescent="0.2">
      <c r="A8776"/>
      <c r="B8776"/>
      <c r="C8776"/>
      <c r="D8776"/>
      <c r="E8776"/>
      <c r="F8776"/>
      <c r="G8776"/>
      <c r="H8776"/>
      <c r="I8776"/>
      <c r="J8776"/>
      <c r="K8776" s="1"/>
      <c r="L8776" s="2"/>
    </row>
    <row r="8777" spans="1:12" x14ac:dyDescent="0.2">
      <c r="A8777"/>
      <c r="B8777"/>
      <c r="C8777"/>
      <c r="D8777"/>
      <c r="E8777"/>
      <c r="F8777"/>
      <c r="G8777"/>
      <c r="H8777"/>
      <c r="I8777"/>
      <c r="J8777"/>
      <c r="K8777" s="1"/>
      <c r="L8777" s="2"/>
    </row>
    <row r="8778" spans="1:12" x14ac:dyDescent="0.2">
      <c r="A8778"/>
      <c r="B8778"/>
      <c r="C8778"/>
      <c r="D8778"/>
      <c r="E8778"/>
      <c r="F8778"/>
      <c r="G8778"/>
      <c r="H8778"/>
      <c r="I8778"/>
      <c r="J8778"/>
      <c r="K8778" s="1"/>
      <c r="L8778" s="2"/>
    </row>
    <row r="8779" spans="1:12" x14ac:dyDescent="0.2">
      <c r="A8779"/>
      <c r="B8779"/>
      <c r="C8779"/>
      <c r="D8779"/>
      <c r="E8779"/>
      <c r="F8779"/>
      <c r="G8779"/>
      <c r="H8779"/>
      <c r="I8779"/>
      <c r="J8779"/>
      <c r="K8779" s="1"/>
      <c r="L8779" s="2"/>
    </row>
    <row r="8780" spans="1:12" x14ac:dyDescent="0.2">
      <c r="A8780"/>
      <c r="B8780"/>
      <c r="C8780"/>
      <c r="D8780"/>
      <c r="E8780"/>
      <c r="F8780"/>
      <c r="G8780"/>
      <c r="H8780"/>
      <c r="I8780"/>
      <c r="J8780"/>
      <c r="K8780" s="1"/>
      <c r="L8780" s="2"/>
    </row>
    <row r="8781" spans="1:12" x14ac:dyDescent="0.2">
      <c r="A8781"/>
      <c r="B8781"/>
      <c r="C8781"/>
      <c r="D8781"/>
      <c r="E8781"/>
      <c r="F8781"/>
      <c r="G8781"/>
      <c r="H8781"/>
      <c r="I8781"/>
      <c r="J8781"/>
      <c r="K8781" s="1"/>
      <c r="L8781" s="2"/>
    </row>
    <row r="8782" spans="1:12" x14ac:dyDescent="0.2">
      <c r="A8782"/>
      <c r="B8782"/>
      <c r="C8782"/>
      <c r="D8782"/>
      <c r="E8782"/>
      <c r="F8782"/>
      <c r="G8782"/>
      <c r="H8782"/>
      <c r="I8782"/>
      <c r="J8782"/>
      <c r="K8782" s="1"/>
      <c r="L8782" s="2"/>
    </row>
    <row r="8783" spans="1:12" x14ac:dyDescent="0.2">
      <c r="A8783"/>
      <c r="B8783"/>
      <c r="C8783"/>
      <c r="D8783"/>
      <c r="E8783"/>
      <c r="F8783"/>
      <c r="G8783"/>
      <c r="H8783"/>
      <c r="I8783"/>
      <c r="J8783"/>
      <c r="K8783" s="1"/>
      <c r="L8783" s="2"/>
    </row>
    <row r="8784" spans="1:12" x14ac:dyDescent="0.2">
      <c r="A8784"/>
      <c r="B8784"/>
      <c r="C8784"/>
      <c r="D8784"/>
      <c r="E8784"/>
      <c r="F8784"/>
      <c r="G8784"/>
      <c r="H8784"/>
      <c r="I8784"/>
      <c r="J8784"/>
      <c r="K8784" s="1"/>
      <c r="L8784" s="2"/>
    </row>
    <row r="8785" spans="1:12" x14ac:dyDescent="0.2">
      <c r="A8785"/>
      <c r="B8785"/>
      <c r="C8785"/>
      <c r="D8785"/>
      <c r="E8785"/>
      <c r="F8785"/>
      <c r="G8785"/>
      <c r="H8785"/>
      <c r="I8785"/>
      <c r="J8785"/>
      <c r="K8785" s="1"/>
      <c r="L8785" s="2"/>
    </row>
    <row r="8786" spans="1:12" x14ac:dyDescent="0.2">
      <c r="A8786"/>
      <c r="B8786"/>
      <c r="C8786"/>
      <c r="D8786"/>
      <c r="E8786"/>
      <c r="F8786"/>
      <c r="G8786"/>
      <c r="H8786"/>
      <c r="I8786"/>
      <c r="J8786"/>
      <c r="K8786" s="1"/>
      <c r="L8786" s="2"/>
    </row>
    <row r="8787" spans="1:12" x14ac:dyDescent="0.2">
      <c r="A8787"/>
      <c r="B8787"/>
      <c r="C8787"/>
      <c r="D8787"/>
      <c r="E8787"/>
      <c r="F8787"/>
      <c r="G8787"/>
      <c r="H8787"/>
      <c r="I8787"/>
      <c r="J8787"/>
      <c r="K8787" s="1"/>
      <c r="L8787" s="2"/>
    </row>
    <row r="8788" spans="1:12" x14ac:dyDescent="0.2">
      <c r="A8788"/>
      <c r="B8788"/>
      <c r="C8788"/>
      <c r="D8788"/>
      <c r="E8788"/>
      <c r="F8788"/>
      <c r="G8788"/>
      <c r="H8788"/>
      <c r="I8788"/>
      <c r="J8788"/>
      <c r="K8788" s="1"/>
      <c r="L8788" s="2"/>
    </row>
    <row r="8789" spans="1:12" x14ac:dyDescent="0.2">
      <c r="A8789"/>
      <c r="B8789"/>
      <c r="C8789"/>
      <c r="D8789"/>
      <c r="E8789"/>
      <c r="F8789"/>
      <c r="G8789"/>
      <c r="H8789"/>
      <c r="I8789"/>
      <c r="J8789"/>
      <c r="K8789" s="1"/>
      <c r="L8789" s="2"/>
    </row>
    <row r="8790" spans="1:12" x14ac:dyDescent="0.2">
      <c r="A8790"/>
      <c r="B8790"/>
      <c r="C8790"/>
      <c r="D8790"/>
      <c r="E8790"/>
      <c r="F8790"/>
      <c r="G8790"/>
      <c r="H8790"/>
      <c r="I8790"/>
      <c r="J8790"/>
      <c r="K8790" s="1"/>
      <c r="L8790" s="2"/>
    </row>
    <row r="8791" spans="1:12" x14ac:dyDescent="0.2">
      <c r="A8791"/>
      <c r="B8791"/>
      <c r="C8791"/>
      <c r="D8791"/>
      <c r="E8791"/>
      <c r="F8791"/>
      <c r="G8791"/>
      <c r="H8791"/>
      <c r="I8791"/>
      <c r="J8791"/>
      <c r="K8791" s="1"/>
      <c r="L8791" s="2"/>
    </row>
    <row r="8792" spans="1:12" x14ac:dyDescent="0.2">
      <c r="A8792"/>
      <c r="B8792"/>
      <c r="C8792"/>
      <c r="D8792"/>
      <c r="E8792"/>
      <c r="F8792"/>
      <c r="G8792"/>
      <c r="H8792"/>
      <c r="I8792"/>
      <c r="J8792"/>
      <c r="K8792" s="1"/>
      <c r="L8792" s="2"/>
    </row>
    <row r="8793" spans="1:12" x14ac:dyDescent="0.2">
      <c r="A8793"/>
      <c r="B8793"/>
      <c r="C8793"/>
      <c r="D8793"/>
      <c r="E8793"/>
      <c r="F8793"/>
      <c r="G8793"/>
      <c r="H8793"/>
      <c r="I8793"/>
      <c r="J8793"/>
      <c r="K8793" s="1"/>
      <c r="L8793" s="2"/>
    </row>
    <row r="8794" spans="1:12" x14ac:dyDescent="0.2">
      <c r="A8794"/>
      <c r="B8794"/>
      <c r="C8794"/>
      <c r="D8794"/>
      <c r="E8794"/>
      <c r="F8794"/>
      <c r="G8794"/>
      <c r="H8794"/>
      <c r="I8794"/>
      <c r="J8794"/>
      <c r="K8794" s="1"/>
      <c r="L8794" s="2"/>
    </row>
    <row r="8795" spans="1:12" x14ac:dyDescent="0.2">
      <c r="A8795"/>
      <c r="B8795"/>
      <c r="C8795"/>
      <c r="D8795"/>
      <c r="E8795"/>
      <c r="F8795"/>
      <c r="G8795"/>
      <c r="H8795"/>
      <c r="I8795"/>
      <c r="J8795"/>
      <c r="K8795" s="1"/>
      <c r="L8795" s="2"/>
    </row>
    <row r="8796" spans="1:12" x14ac:dyDescent="0.2">
      <c r="A8796"/>
      <c r="B8796"/>
      <c r="C8796"/>
      <c r="D8796"/>
      <c r="E8796"/>
      <c r="F8796"/>
      <c r="G8796"/>
      <c r="H8796"/>
      <c r="I8796"/>
      <c r="J8796"/>
      <c r="K8796" s="1"/>
      <c r="L8796" s="2"/>
    </row>
    <row r="8797" spans="1:12" x14ac:dyDescent="0.2">
      <c r="A8797"/>
      <c r="B8797"/>
      <c r="C8797"/>
      <c r="D8797"/>
      <c r="E8797"/>
      <c r="F8797"/>
      <c r="G8797"/>
      <c r="H8797"/>
      <c r="I8797"/>
      <c r="J8797"/>
      <c r="K8797" s="1"/>
      <c r="L8797" s="2"/>
    </row>
    <row r="8798" spans="1:12" x14ac:dyDescent="0.2">
      <c r="A8798"/>
      <c r="B8798"/>
      <c r="C8798"/>
      <c r="D8798"/>
      <c r="E8798"/>
      <c r="F8798"/>
      <c r="G8798"/>
      <c r="H8798"/>
      <c r="I8798"/>
      <c r="J8798"/>
      <c r="K8798" s="1"/>
      <c r="L8798" s="2"/>
    </row>
    <row r="8799" spans="1:12" x14ac:dyDescent="0.2">
      <c r="A8799"/>
      <c r="B8799"/>
      <c r="C8799"/>
      <c r="D8799"/>
      <c r="E8799"/>
      <c r="F8799"/>
      <c r="G8799"/>
      <c r="H8799"/>
      <c r="I8799"/>
      <c r="J8799"/>
      <c r="K8799" s="1"/>
      <c r="L8799" s="2"/>
    </row>
    <row r="8800" spans="1:12" x14ac:dyDescent="0.2">
      <c r="A8800"/>
      <c r="B8800"/>
      <c r="C8800"/>
      <c r="D8800"/>
      <c r="E8800"/>
      <c r="F8800"/>
      <c r="G8800"/>
      <c r="H8800"/>
      <c r="I8800"/>
      <c r="J8800"/>
      <c r="K8800" s="1"/>
      <c r="L8800" s="2"/>
    </row>
    <row r="8801" spans="1:12" x14ac:dyDescent="0.2">
      <c r="A8801"/>
      <c r="B8801"/>
      <c r="C8801"/>
      <c r="D8801"/>
      <c r="E8801"/>
      <c r="F8801"/>
      <c r="G8801"/>
      <c r="H8801"/>
      <c r="I8801"/>
      <c r="J8801"/>
      <c r="K8801" s="1"/>
      <c r="L8801" s="2"/>
    </row>
    <row r="8802" spans="1:12" x14ac:dyDescent="0.2">
      <c r="A8802"/>
      <c r="B8802"/>
      <c r="C8802"/>
      <c r="D8802"/>
      <c r="E8802"/>
      <c r="F8802"/>
      <c r="G8802"/>
      <c r="H8802"/>
      <c r="I8802"/>
      <c r="J8802"/>
      <c r="K8802" s="1"/>
      <c r="L8802" s="2"/>
    </row>
    <row r="8803" spans="1:12" x14ac:dyDescent="0.2">
      <c r="A8803"/>
      <c r="B8803"/>
      <c r="C8803"/>
      <c r="D8803"/>
      <c r="E8803"/>
      <c r="F8803"/>
      <c r="G8803"/>
      <c r="H8803"/>
      <c r="I8803"/>
      <c r="J8803"/>
      <c r="K8803" s="1"/>
      <c r="L8803" s="2"/>
    </row>
    <row r="8804" spans="1:12" x14ac:dyDescent="0.2">
      <c r="A8804"/>
      <c r="B8804"/>
      <c r="C8804"/>
      <c r="D8804"/>
      <c r="E8804"/>
      <c r="F8804"/>
      <c r="G8804"/>
      <c r="H8804"/>
      <c r="I8804"/>
      <c r="J8804"/>
      <c r="K8804" s="1"/>
      <c r="L8804" s="2"/>
    </row>
    <row r="8805" spans="1:12" x14ac:dyDescent="0.2">
      <c r="A8805"/>
      <c r="B8805"/>
      <c r="C8805"/>
      <c r="D8805"/>
      <c r="E8805"/>
      <c r="F8805"/>
      <c r="G8805"/>
      <c r="H8805"/>
      <c r="I8805"/>
      <c r="J8805"/>
      <c r="K8805" s="1"/>
      <c r="L8805" s="2"/>
    </row>
    <row r="8806" spans="1:12" x14ac:dyDescent="0.2">
      <c r="A8806"/>
      <c r="B8806"/>
      <c r="C8806"/>
      <c r="D8806"/>
      <c r="E8806"/>
      <c r="F8806"/>
      <c r="G8806"/>
      <c r="H8806"/>
      <c r="I8806"/>
      <c r="J8806"/>
      <c r="K8806" s="1"/>
      <c r="L8806" s="2"/>
    </row>
    <row r="8807" spans="1:12" x14ac:dyDescent="0.2">
      <c r="A8807"/>
      <c r="B8807"/>
      <c r="C8807"/>
      <c r="D8807"/>
      <c r="E8807"/>
      <c r="F8807"/>
      <c r="G8807"/>
      <c r="H8807"/>
      <c r="I8807"/>
      <c r="J8807"/>
      <c r="K8807" s="1"/>
      <c r="L8807" s="2"/>
    </row>
    <row r="8808" spans="1:12" x14ac:dyDescent="0.2">
      <c r="A8808"/>
      <c r="B8808"/>
      <c r="C8808"/>
      <c r="D8808"/>
      <c r="E8808"/>
      <c r="F8808"/>
      <c r="G8808"/>
      <c r="H8808"/>
      <c r="I8808"/>
      <c r="J8808"/>
      <c r="K8808" s="1"/>
      <c r="L8808" s="2"/>
    </row>
    <row r="8809" spans="1:12" x14ac:dyDescent="0.2">
      <c r="A8809"/>
      <c r="B8809"/>
      <c r="C8809"/>
      <c r="D8809"/>
      <c r="E8809"/>
      <c r="F8809"/>
      <c r="G8809"/>
      <c r="H8809"/>
      <c r="I8809"/>
      <c r="J8809"/>
      <c r="K8809" s="1"/>
      <c r="L8809" s="2"/>
    </row>
    <row r="8810" spans="1:12" x14ac:dyDescent="0.2">
      <c r="A8810"/>
      <c r="B8810"/>
      <c r="C8810"/>
      <c r="D8810"/>
      <c r="E8810"/>
      <c r="F8810"/>
      <c r="G8810"/>
      <c r="H8810"/>
      <c r="I8810"/>
      <c r="J8810"/>
      <c r="K8810" s="1"/>
      <c r="L8810" s="2"/>
    </row>
    <row r="8811" spans="1:12" x14ac:dyDescent="0.2">
      <c r="A8811"/>
      <c r="B8811"/>
      <c r="C8811"/>
      <c r="D8811"/>
      <c r="E8811"/>
      <c r="F8811"/>
      <c r="G8811"/>
      <c r="H8811"/>
      <c r="I8811"/>
      <c r="J8811"/>
      <c r="K8811" s="1"/>
      <c r="L8811" s="2"/>
    </row>
    <row r="8812" spans="1:12" x14ac:dyDescent="0.2">
      <c r="A8812"/>
      <c r="B8812"/>
      <c r="C8812"/>
      <c r="D8812"/>
      <c r="E8812"/>
      <c r="F8812"/>
      <c r="G8812"/>
      <c r="H8812"/>
      <c r="I8812"/>
      <c r="J8812"/>
      <c r="K8812" s="1"/>
      <c r="L8812" s="2"/>
    </row>
    <row r="8813" spans="1:12" x14ac:dyDescent="0.2">
      <c r="A8813"/>
      <c r="B8813"/>
      <c r="C8813"/>
      <c r="D8813"/>
      <c r="E8813"/>
      <c r="F8813"/>
      <c r="G8813"/>
      <c r="H8813"/>
      <c r="I8813"/>
      <c r="J8813"/>
      <c r="K8813" s="1"/>
      <c r="L8813" s="2"/>
    </row>
    <row r="8814" spans="1:12" x14ac:dyDescent="0.2">
      <c r="A8814"/>
      <c r="B8814"/>
      <c r="C8814"/>
      <c r="D8814"/>
      <c r="E8814"/>
      <c r="F8814"/>
      <c r="G8814"/>
      <c r="H8814"/>
      <c r="I8814"/>
      <c r="J8814"/>
      <c r="K8814" s="1"/>
      <c r="L8814" s="2"/>
    </row>
    <row r="8815" spans="1:12" x14ac:dyDescent="0.2">
      <c r="A8815"/>
      <c r="B8815"/>
      <c r="C8815"/>
      <c r="D8815"/>
      <c r="E8815"/>
      <c r="F8815"/>
      <c r="G8815"/>
      <c r="H8815"/>
      <c r="I8815"/>
      <c r="J8815"/>
      <c r="K8815" s="1"/>
      <c r="L8815" s="2"/>
    </row>
    <row r="8816" spans="1:12" x14ac:dyDescent="0.2">
      <c r="A8816"/>
      <c r="B8816"/>
      <c r="C8816"/>
      <c r="D8816"/>
      <c r="E8816"/>
      <c r="F8816"/>
      <c r="G8816"/>
      <c r="H8816"/>
      <c r="I8816"/>
      <c r="J8816"/>
      <c r="K8816" s="1"/>
      <c r="L8816" s="2"/>
    </row>
    <row r="8817" spans="1:12" x14ac:dyDescent="0.2">
      <c r="A8817"/>
      <c r="B8817"/>
      <c r="C8817"/>
      <c r="D8817"/>
      <c r="E8817"/>
      <c r="F8817"/>
      <c r="G8817"/>
      <c r="H8817"/>
      <c r="I8817"/>
      <c r="J8817"/>
      <c r="K8817" s="1"/>
      <c r="L8817" s="2"/>
    </row>
    <row r="8818" spans="1:12" x14ac:dyDescent="0.2">
      <c r="A8818"/>
      <c r="B8818"/>
      <c r="C8818"/>
      <c r="D8818"/>
      <c r="E8818"/>
      <c r="F8818"/>
      <c r="G8818"/>
      <c r="H8818"/>
      <c r="I8818"/>
      <c r="J8818"/>
      <c r="K8818" s="1"/>
      <c r="L8818" s="2"/>
    </row>
    <row r="8819" spans="1:12" x14ac:dyDescent="0.2">
      <c r="A8819"/>
      <c r="B8819"/>
      <c r="C8819"/>
      <c r="D8819"/>
      <c r="E8819"/>
      <c r="F8819"/>
      <c r="G8819"/>
      <c r="H8819"/>
      <c r="I8819"/>
      <c r="J8819"/>
      <c r="K8819" s="1"/>
      <c r="L8819" s="2"/>
    </row>
    <row r="8820" spans="1:12" x14ac:dyDescent="0.2">
      <c r="A8820"/>
      <c r="B8820"/>
      <c r="C8820"/>
      <c r="D8820"/>
      <c r="E8820"/>
      <c r="F8820"/>
      <c r="G8820"/>
      <c r="H8820"/>
      <c r="I8820"/>
      <c r="J8820"/>
      <c r="K8820" s="1"/>
      <c r="L8820" s="2"/>
    </row>
    <row r="8821" spans="1:12" x14ac:dyDescent="0.2">
      <c r="A8821"/>
      <c r="B8821"/>
      <c r="C8821"/>
      <c r="D8821"/>
      <c r="E8821"/>
      <c r="F8821"/>
      <c r="G8821"/>
      <c r="H8821"/>
      <c r="I8821"/>
      <c r="J8821"/>
      <c r="K8821" s="1"/>
      <c r="L8821" s="2"/>
    </row>
    <row r="8822" spans="1:12" x14ac:dyDescent="0.2">
      <c r="A8822"/>
      <c r="B8822"/>
      <c r="C8822"/>
      <c r="D8822"/>
      <c r="E8822"/>
      <c r="F8822"/>
      <c r="G8822"/>
      <c r="H8822"/>
      <c r="I8822"/>
      <c r="J8822"/>
      <c r="K8822" s="1"/>
      <c r="L8822" s="2"/>
    </row>
    <row r="8823" spans="1:12" x14ac:dyDescent="0.2">
      <c r="A8823"/>
      <c r="B8823"/>
      <c r="C8823"/>
      <c r="D8823"/>
      <c r="E8823"/>
      <c r="F8823"/>
      <c r="G8823"/>
      <c r="H8823"/>
      <c r="I8823"/>
      <c r="J8823"/>
      <c r="K8823" s="1"/>
      <c r="L8823" s="2"/>
    </row>
    <row r="8824" spans="1:12" x14ac:dyDescent="0.2">
      <c r="A8824"/>
      <c r="B8824"/>
      <c r="C8824"/>
      <c r="D8824"/>
      <c r="E8824"/>
      <c r="F8824"/>
      <c r="G8824"/>
      <c r="H8824"/>
      <c r="I8824"/>
      <c r="J8824"/>
      <c r="K8824" s="1"/>
      <c r="L8824" s="2"/>
    </row>
    <row r="8825" spans="1:12" x14ac:dyDescent="0.2">
      <c r="A8825"/>
      <c r="B8825"/>
      <c r="C8825"/>
      <c r="D8825"/>
      <c r="E8825"/>
      <c r="F8825"/>
      <c r="G8825"/>
      <c r="H8825"/>
      <c r="I8825"/>
      <c r="J8825"/>
      <c r="K8825" s="1"/>
      <c r="L8825" s="2"/>
    </row>
    <row r="8826" spans="1:12" x14ac:dyDescent="0.2">
      <c r="A8826"/>
      <c r="B8826"/>
      <c r="C8826"/>
      <c r="D8826"/>
      <c r="E8826"/>
      <c r="F8826"/>
      <c r="G8826"/>
      <c r="H8826"/>
      <c r="I8826"/>
      <c r="J8826"/>
      <c r="K8826" s="1"/>
      <c r="L8826" s="2"/>
    </row>
    <row r="8827" spans="1:12" x14ac:dyDescent="0.2">
      <c r="A8827"/>
      <c r="B8827"/>
      <c r="C8827"/>
      <c r="D8827"/>
      <c r="E8827"/>
      <c r="F8827"/>
      <c r="G8827"/>
      <c r="H8827"/>
      <c r="I8827"/>
      <c r="J8827"/>
      <c r="K8827" s="1"/>
      <c r="L8827" s="2"/>
    </row>
    <row r="8828" spans="1:12" x14ac:dyDescent="0.2">
      <c r="A8828"/>
      <c r="B8828"/>
      <c r="C8828"/>
      <c r="D8828"/>
      <c r="E8828"/>
      <c r="F8828"/>
      <c r="G8828"/>
      <c r="H8828"/>
      <c r="I8828"/>
      <c r="J8828"/>
      <c r="K8828" s="1"/>
      <c r="L8828" s="2"/>
    </row>
    <row r="8829" spans="1:12" x14ac:dyDescent="0.2">
      <c r="A8829"/>
      <c r="B8829"/>
      <c r="C8829"/>
      <c r="D8829"/>
      <c r="E8829"/>
      <c r="F8829"/>
      <c r="G8829"/>
      <c r="H8829"/>
      <c r="I8829"/>
      <c r="J8829"/>
      <c r="K8829" s="1"/>
      <c r="L8829" s="2"/>
    </row>
    <row r="8830" spans="1:12" x14ac:dyDescent="0.2">
      <c r="A8830"/>
      <c r="B8830"/>
      <c r="C8830"/>
      <c r="D8830"/>
      <c r="E8830"/>
      <c r="F8830"/>
      <c r="G8830"/>
      <c r="H8830"/>
      <c r="I8830"/>
      <c r="J8830"/>
      <c r="K8830" s="1"/>
      <c r="L8830" s="2"/>
    </row>
    <row r="8831" spans="1:12" x14ac:dyDescent="0.2">
      <c r="A8831"/>
      <c r="B8831"/>
      <c r="C8831"/>
      <c r="D8831"/>
      <c r="E8831"/>
      <c r="F8831"/>
      <c r="G8831"/>
      <c r="H8831"/>
      <c r="I8831"/>
      <c r="J8831"/>
      <c r="K8831" s="1"/>
      <c r="L8831" s="2"/>
    </row>
    <row r="8832" spans="1:12" x14ac:dyDescent="0.2">
      <c r="A8832"/>
      <c r="B8832"/>
      <c r="C8832"/>
      <c r="D8832"/>
      <c r="E8832"/>
      <c r="F8832"/>
      <c r="G8832"/>
      <c r="H8832"/>
      <c r="I8832"/>
      <c r="J8832"/>
      <c r="K8832" s="1"/>
      <c r="L8832" s="2"/>
    </row>
    <row r="8833" spans="1:12" x14ac:dyDescent="0.2">
      <c r="A8833"/>
      <c r="B8833"/>
      <c r="C8833"/>
      <c r="D8833"/>
      <c r="E8833"/>
      <c r="F8833"/>
      <c r="G8833"/>
      <c r="H8833"/>
      <c r="I8833"/>
      <c r="J8833"/>
      <c r="K8833" s="1"/>
      <c r="L8833" s="2"/>
    </row>
    <row r="8834" spans="1:12" x14ac:dyDescent="0.2">
      <c r="A8834"/>
      <c r="B8834"/>
      <c r="C8834"/>
      <c r="D8834"/>
      <c r="E8834"/>
      <c r="F8834"/>
      <c r="G8834"/>
      <c r="H8834"/>
      <c r="I8834"/>
      <c r="J8834"/>
      <c r="K8834" s="1"/>
      <c r="L8834" s="2"/>
    </row>
    <row r="8835" spans="1:12" x14ac:dyDescent="0.2">
      <c r="A8835"/>
      <c r="B8835"/>
      <c r="C8835"/>
      <c r="D8835"/>
      <c r="E8835"/>
      <c r="F8835"/>
      <c r="G8835"/>
      <c r="H8835"/>
      <c r="I8835"/>
      <c r="J8835"/>
      <c r="K8835" s="1"/>
      <c r="L8835" s="2"/>
    </row>
    <row r="8836" spans="1:12" x14ac:dyDescent="0.2">
      <c r="A8836"/>
      <c r="B8836"/>
      <c r="C8836"/>
      <c r="D8836"/>
      <c r="E8836"/>
      <c r="F8836"/>
      <c r="G8836"/>
      <c r="H8836"/>
      <c r="I8836"/>
      <c r="J8836"/>
      <c r="K8836" s="1"/>
      <c r="L8836" s="2"/>
    </row>
    <row r="8837" spans="1:12" x14ac:dyDescent="0.2">
      <c r="A8837"/>
      <c r="B8837"/>
      <c r="C8837"/>
      <c r="D8837"/>
      <c r="E8837"/>
      <c r="F8837"/>
      <c r="G8837"/>
      <c r="H8837"/>
      <c r="I8837"/>
      <c r="J8837"/>
      <c r="K8837" s="1"/>
      <c r="L8837" s="2"/>
    </row>
    <row r="8838" spans="1:12" x14ac:dyDescent="0.2">
      <c r="A8838"/>
      <c r="B8838"/>
      <c r="C8838"/>
      <c r="D8838"/>
      <c r="E8838"/>
      <c r="F8838"/>
      <c r="G8838"/>
      <c r="H8838"/>
      <c r="I8838"/>
      <c r="J8838"/>
      <c r="K8838" s="1"/>
      <c r="L8838" s="2"/>
    </row>
    <row r="8839" spans="1:12" x14ac:dyDescent="0.2">
      <c r="A8839"/>
      <c r="B8839"/>
      <c r="C8839"/>
      <c r="D8839"/>
      <c r="E8839"/>
      <c r="F8839"/>
      <c r="G8839"/>
      <c r="H8839"/>
      <c r="I8839"/>
      <c r="J8839"/>
      <c r="K8839" s="1"/>
      <c r="L8839" s="2"/>
    </row>
    <row r="8840" spans="1:12" x14ac:dyDescent="0.2">
      <c r="A8840"/>
      <c r="B8840"/>
      <c r="C8840"/>
      <c r="D8840"/>
      <c r="E8840"/>
      <c r="F8840"/>
      <c r="G8840"/>
      <c r="H8840"/>
      <c r="I8840"/>
      <c r="J8840"/>
      <c r="K8840" s="1"/>
      <c r="L8840" s="2"/>
    </row>
    <row r="8841" spans="1:12" x14ac:dyDescent="0.2">
      <c r="A8841"/>
      <c r="B8841"/>
      <c r="C8841"/>
      <c r="D8841"/>
      <c r="E8841"/>
      <c r="F8841"/>
      <c r="G8841"/>
      <c r="H8841"/>
      <c r="I8841"/>
      <c r="J8841"/>
      <c r="K8841" s="1"/>
      <c r="L8841" s="2"/>
    </row>
    <row r="8842" spans="1:12" x14ac:dyDescent="0.2">
      <c r="A8842"/>
      <c r="B8842"/>
      <c r="C8842"/>
      <c r="D8842"/>
      <c r="E8842"/>
      <c r="F8842"/>
      <c r="G8842"/>
      <c r="H8842"/>
      <c r="I8842"/>
      <c r="J8842"/>
      <c r="K8842" s="1"/>
      <c r="L8842" s="2"/>
    </row>
    <row r="8843" spans="1:12" x14ac:dyDescent="0.2">
      <c r="A8843"/>
      <c r="B8843"/>
      <c r="C8843"/>
      <c r="D8843"/>
      <c r="E8843"/>
      <c r="F8843"/>
      <c r="G8843"/>
      <c r="H8843"/>
      <c r="I8843"/>
      <c r="J8843"/>
      <c r="K8843" s="1"/>
      <c r="L8843" s="2"/>
    </row>
    <row r="8844" spans="1:12" x14ac:dyDescent="0.2">
      <c r="A8844"/>
      <c r="B8844"/>
      <c r="C8844"/>
      <c r="D8844"/>
      <c r="E8844"/>
      <c r="F8844"/>
      <c r="G8844"/>
      <c r="H8844"/>
      <c r="I8844"/>
      <c r="J8844"/>
      <c r="K8844" s="1"/>
      <c r="L8844" s="2"/>
    </row>
    <row r="8845" spans="1:12" x14ac:dyDescent="0.2">
      <c r="A8845"/>
      <c r="B8845"/>
      <c r="C8845"/>
      <c r="D8845"/>
      <c r="E8845"/>
      <c r="F8845"/>
      <c r="G8845"/>
      <c r="H8845"/>
      <c r="I8845"/>
      <c r="J8845"/>
      <c r="K8845" s="1"/>
      <c r="L8845" s="2"/>
    </row>
    <row r="8846" spans="1:12" x14ac:dyDescent="0.2">
      <c r="A8846"/>
      <c r="B8846"/>
      <c r="C8846"/>
      <c r="D8846"/>
      <c r="E8846"/>
      <c r="F8846"/>
      <c r="G8846"/>
      <c r="H8846"/>
      <c r="I8846"/>
      <c r="J8846"/>
      <c r="K8846" s="1"/>
      <c r="L8846" s="2"/>
    </row>
    <row r="8847" spans="1:12" x14ac:dyDescent="0.2">
      <c r="A8847"/>
      <c r="B8847"/>
      <c r="C8847"/>
      <c r="D8847"/>
      <c r="E8847"/>
      <c r="F8847"/>
      <c r="G8847"/>
      <c r="H8847"/>
      <c r="I8847"/>
      <c r="J8847"/>
      <c r="K8847" s="1"/>
      <c r="L8847" s="2"/>
    </row>
    <row r="8848" spans="1:12" x14ac:dyDescent="0.2">
      <c r="A8848"/>
      <c r="B8848"/>
      <c r="C8848"/>
      <c r="D8848"/>
      <c r="E8848"/>
      <c r="F8848"/>
      <c r="G8848"/>
      <c r="H8848"/>
      <c r="I8848"/>
      <c r="J8848"/>
      <c r="K8848" s="1"/>
      <c r="L8848" s="2"/>
    </row>
    <row r="8849" spans="1:12" x14ac:dyDescent="0.2">
      <c r="A8849"/>
      <c r="B8849"/>
      <c r="C8849"/>
      <c r="D8849"/>
      <c r="E8849"/>
      <c r="F8849"/>
      <c r="G8849"/>
      <c r="H8849"/>
      <c r="I8849"/>
      <c r="J8849"/>
      <c r="K8849" s="1"/>
      <c r="L8849" s="2"/>
    </row>
    <row r="8850" spans="1:12" x14ac:dyDescent="0.2">
      <c r="A8850"/>
      <c r="B8850"/>
      <c r="C8850"/>
      <c r="D8850"/>
      <c r="E8850"/>
      <c r="F8850"/>
      <c r="G8850"/>
      <c r="H8850"/>
      <c r="I8850"/>
      <c r="J8850"/>
      <c r="K8850" s="1"/>
      <c r="L8850" s="2"/>
    </row>
    <row r="8851" spans="1:12" x14ac:dyDescent="0.2">
      <c r="A8851"/>
      <c r="B8851"/>
      <c r="C8851"/>
      <c r="D8851"/>
      <c r="E8851"/>
      <c r="F8851"/>
      <c r="G8851"/>
      <c r="H8851"/>
      <c r="I8851"/>
      <c r="J8851"/>
      <c r="K8851" s="1"/>
      <c r="L8851" s="2"/>
    </row>
    <row r="8852" spans="1:12" x14ac:dyDescent="0.2">
      <c r="A8852"/>
      <c r="B8852"/>
      <c r="C8852"/>
      <c r="D8852"/>
      <c r="E8852"/>
      <c r="F8852"/>
      <c r="G8852"/>
      <c r="H8852"/>
      <c r="I8852"/>
      <c r="J8852"/>
      <c r="K8852" s="1"/>
      <c r="L8852" s="2"/>
    </row>
    <row r="8853" spans="1:12" x14ac:dyDescent="0.2">
      <c r="A8853"/>
      <c r="B8853"/>
      <c r="C8853"/>
      <c r="D8853"/>
      <c r="E8853"/>
      <c r="F8853"/>
      <c r="G8853"/>
      <c r="H8853"/>
      <c r="I8853"/>
      <c r="J8853"/>
      <c r="K8853" s="1"/>
      <c r="L8853" s="2"/>
    </row>
    <row r="8854" spans="1:12" x14ac:dyDescent="0.2">
      <c r="A8854"/>
      <c r="B8854"/>
      <c r="C8854"/>
      <c r="D8854"/>
      <c r="E8854"/>
      <c r="F8854"/>
      <c r="G8854"/>
      <c r="H8854"/>
      <c r="I8854"/>
      <c r="J8854"/>
      <c r="K8854" s="1"/>
      <c r="L8854" s="2"/>
    </row>
    <row r="8855" spans="1:12" x14ac:dyDescent="0.2">
      <c r="A8855"/>
      <c r="B8855"/>
      <c r="C8855"/>
      <c r="D8855"/>
      <c r="E8855"/>
      <c r="F8855"/>
      <c r="G8855"/>
      <c r="H8855"/>
      <c r="I8855"/>
      <c r="J8855"/>
      <c r="K8855" s="1"/>
      <c r="L8855" s="2"/>
    </row>
    <row r="8856" spans="1:12" x14ac:dyDescent="0.2">
      <c r="A8856"/>
      <c r="B8856"/>
      <c r="C8856"/>
      <c r="D8856"/>
      <c r="E8856"/>
      <c r="F8856"/>
      <c r="G8856"/>
      <c r="H8856"/>
      <c r="I8856"/>
      <c r="J8856"/>
      <c r="K8856" s="1"/>
      <c r="L8856" s="2"/>
    </row>
    <row r="8857" spans="1:12" x14ac:dyDescent="0.2">
      <c r="A8857"/>
      <c r="B8857"/>
      <c r="C8857"/>
      <c r="D8857"/>
      <c r="E8857"/>
      <c r="F8857"/>
      <c r="G8857"/>
      <c r="H8857"/>
      <c r="I8857"/>
      <c r="J8857"/>
      <c r="K8857" s="1"/>
      <c r="L8857" s="2"/>
    </row>
    <row r="8858" spans="1:12" x14ac:dyDescent="0.2">
      <c r="A8858"/>
      <c r="B8858"/>
      <c r="C8858"/>
      <c r="D8858"/>
      <c r="E8858"/>
      <c r="F8858"/>
      <c r="G8858"/>
      <c r="H8858"/>
      <c r="I8858"/>
      <c r="J8858"/>
      <c r="K8858" s="1"/>
      <c r="L8858" s="2"/>
    </row>
    <row r="8859" spans="1:12" x14ac:dyDescent="0.2">
      <c r="A8859"/>
      <c r="B8859"/>
      <c r="C8859"/>
      <c r="D8859"/>
      <c r="E8859"/>
      <c r="F8859"/>
      <c r="G8859"/>
      <c r="H8859"/>
      <c r="I8859"/>
      <c r="J8859"/>
      <c r="K8859" s="1"/>
      <c r="L8859" s="2"/>
    </row>
    <row r="8860" spans="1:12" x14ac:dyDescent="0.2">
      <c r="A8860"/>
      <c r="B8860"/>
      <c r="C8860"/>
      <c r="D8860"/>
      <c r="E8860"/>
      <c r="F8860"/>
      <c r="G8860"/>
      <c r="H8860"/>
      <c r="I8860"/>
      <c r="J8860"/>
      <c r="K8860" s="1"/>
      <c r="L8860" s="2"/>
    </row>
    <row r="8861" spans="1:12" x14ac:dyDescent="0.2">
      <c r="A8861"/>
      <c r="B8861"/>
      <c r="C8861"/>
      <c r="D8861"/>
      <c r="E8861"/>
      <c r="F8861"/>
      <c r="G8861"/>
      <c r="H8861"/>
      <c r="I8861"/>
      <c r="J8861"/>
      <c r="K8861" s="1"/>
      <c r="L8861" s="2"/>
    </row>
    <row r="8862" spans="1:12" x14ac:dyDescent="0.2">
      <c r="A8862"/>
      <c r="B8862"/>
      <c r="C8862"/>
      <c r="D8862"/>
      <c r="E8862"/>
      <c r="F8862"/>
      <c r="G8862"/>
      <c r="H8862"/>
      <c r="I8862"/>
      <c r="J8862"/>
      <c r="K8862" s="1"/>
      <c r="L8862" s="2"/>
    </row>
    <row r="8863" spans="1:12" x14ac:dyDescent="0.2">
      <c r="A8863"/>
      <c r="B8863"/>
      <c r="C8863"/>
      <c r="D8863"/>
      <c r="E8863"/>
      <c r="F8863"/>
      <c r="G8863"/>
      <c r="H8863"/>
      <c r="I8863"/>
      <c r="J8863"/>
      <c r="K8863" s="1"/>
      <c r="L8863" s="2"/>
    </row>
    <row r="8864" spans="1:12" x14ac:dyDescent="0.2">
      <c r="A8864"/>
      <c r="B8864"/>
      <c r="C8864"/>
      <c r="D8864"/>
      <c r="E8864"/>
      <c r="F8864"/>
      <c r="G8864"/>
      <c r="H8864"/>
      <c r="I8864"/>
      <c r="J8864"/>
      <c r="K8864" s="1"/>
      <c r="L8864" s="2"/>
    </row>
    <row r="8865" spans="1:12" x14ac:dyDescent="0.2">
      <c r="A8865"/>
      <c r="B8865"/>
      <c r="C8865"/>
      <c r="D8865"/>
      <c r="E8865"/>
      <c r="F8865"/>
      <c r="G8865"/>
      <c r="H8865"/>
      <c r="I8865"/>
      <c r="J8865"/>
      <c r="K8865" s="1"/>
      <c r="L8865" s="2"/>
    </row>
    <row r="8866" spans="1:12" x14ac:dyDescent="0.2">
      <c r="A8866"/>
      <c r="B8866"/>
      <c r="C8866"/>
      <c r="D8866"/>
      <c r="E8866"/>
      <c r="F8866"/>
      <c r="G8866"/>
      <c r="H8866"/>
      <c r="I8866"/>
      <c r="J8866"/>
      <c r="K8866" s="1"/>
      <c r="L8866" s="2"/>
    </row>
    <row r="8867" spans="1:12" x14ac:dyDescent="0.2">
      <c r="A8867"/>
      <c r="B8867"/>
      <c r="C8867"/>
      <c r="D8867"/>
      <c r="E8867"/>
      <c r="F8867"/>
      <c r="G8867"/>
      <c r="H8867"/>
      <c r="I8867"/>
      <c r="J8867"/>
      <c r="K8867" s="1"/>
      <c r="L8867" s="2"/>
    </row>
    <row r="8868" spans="1:12" x14ac:dyDescent="0.2">
      <c r="A8868"/>
      <c r="B8868"/>
      <c r="C8868"/>
      <c r="D8868"/>
      <c r="E8868"/>
      <c r="F8868"/>
      <c r="G8868"/>
      <c r="H8868"/>
      <c r="I8868"/>
      <c r="J8868"/>
      <c r="K8868" s="1"/>
      <c r="L8868" s="2"/>
    </row>
    <row r="8869" spans="1:12" x14ac:dyDescent="0.2">
      <c r="A8869"/>
      <c r="B8869"/>
      <c r="C8869"/>
      <c r="D8869"/>
      <c r="E8869"/>
      <c r="F8869"/>
      <c r="G8869"/>
      <c r="H8869"/>
      <c r="I8869"/>
      <c r="J8869"/>
      <c r="K8869" s="1"/>
      <c r="L8869" s="2"/>
    </row>
    <row r="8870" spans="1:12" x14ac:dyDescent="0.2">
      <c r="A8870"/>
      <c r="B8870"/>
      <c r="C8870"/>
      <c r="D8870"/>
      <c r="E8870"/>
      <c r="F8870"/>
      <c r="G8870"/>
      <c r="H8870"/>
      <c r="I8870"/>
      <c r="J8870"/>
      <c r="K8870" s="1"/>
      <c r="L8870" s="2"/>
    </row>
    <row r="8871" spans="1:12" x14ac:dyDescent="0.2">
      <c r="A8871"/>
      <c r="B8871"/>
      <c r="C8871"/>
      <c r="D8871"/>
      <c r="E8871"/>
      <c r="F8871"/>
      <c r="G8871"/>
      <c r="H8871"/>
      <c r="I8871"/>
      <c r="J8871"/>
      <c r="K8871" s="1"/>
      <c r="L8871" s="2"/>
    </row>
    <row r="8872" spans="1:12" x14ac:dyDescent="0.2">
      <c r="A8872"/>
      <c r="B8872"/>
      <c r="C8872"/>
      <c r="D8872"/>
      <c r="E8872"/>
      <c r="F8872"/>
      <c r="G8872"/>
      <c r="H8872"/>
      <c r="I8872"/>
      <c r="J8872"/>
      <c r="K8872" s="1"/>
      <c r="L8872" s="2"/>
    </row>
    <row r="8873" spans="1:12" x14ac:dyDescent="0.2">
      <c r="A8873"/>
      <c r="B8873"/>
      <c r="C8873"/>
      <c r="D8873"/>
      <c r="E8873"/>
      <c r="F8873"/>
      <c r="G8873"/>
      <c r="H8873"/>
      <c r="I8873"/>
      <c r="J8873"/>
      <c r="K8873" s="1"/>
      <c r="L8873" s="2"/>
    </row>
    <row r="8874" spans="1:12" x14ac:dyDescent="0.2">
      <c r="A8874"/>
      <c r="B8874"/>
      <c r="C8874"/>
      <c r="D8874"/>
      <c r="E8874"/>
      <c r="F8874"/>
      <c r="G8874"/>
      <c r="H8874"/>
      <c r="I8874"/>
      <c r="J8874"/>
      <c r="K8874" s="1"/>
      <c r="L8874" s="2"/>
    </row>
    <row r="8875" spans="1:12" x14ac:dyDescent="0.2">
      <c r="A8875"/>
      <c r="B8875"/>
      <c r="C8875"/>
      <c r="D8875"/>
      <c r="E8875"/>
      <c r="F8875"/>
      <c r="G8875"/>
      <c r="H8875"/>
      <c r="I8875"/>
      <c r="J8875"/>
      <c r="K8875" s="1"/>
      <c r="L8875" s="2"/>
    </row>
    <row r="8876" spans="1:12" x14ac:dyDescent="0.2">
      <c r="A8876"/>
      <c r="B8876"/>
      <c r="C8876"/>
      <c r="D8876"/>
      <c r="E8876"/>
      <c r="F8876"/>
      <c r="G8876"/>
      <c r="H8876"/>
      <c r="I8876"/>
      <c r="J8876"/>
      <c r="K8876" s="1"/>
      <c r="L8876" s="2"/>
    </row>
    <row r="8877" spans="1:12" x14ac:dyDescent="0.2">
      <c r="A8877"/>
      <c r="B8877"/>
      <c r="C8877"/>
      <c r="D8877"/>
      <c r="E8877"/>
      <c r="F8877"/>
      <c r="G8877"/>
      <c r="H8877"/>
      <c r="I8877"/>
      <c r="J8877"/>
      <c r="K8877" s="1"/>
      <c r="L8877" s="2"/>
    </row>
    <row r="8878" spans="1:12" x14ac:dyDescent="0.2">
      <c r="A8878"/>
      <c r="B8878"/>
      <c r="C8878"/>
      <c r="D8878"/>
      <c r="E8878"/>
      <c r="F8878"/>
      <c r="G8878"/>
      <c r="H8878"/>
      <c r="I8878"/>
      <c r="J8878"/>
      <c r="K8878" s="1"/>
      <c r="L8878" s="2"/>
    </row>
    <row r="8879" spans="1:12" x14ac:dyDescent="0.2">
      <c r="A8879"/>
      <c r="B8879"/>
      <c r="C8879"/>
      <c r="D8879"/>
      <c r="E8879"/>
      <c r="F8879"/>
      <c r="G8879"/>
      <c r="H8879"/>
      <c r="I8879"/>
      <c r="J8879"/>
      <c r="K8879" s="1"/>
      <c r="L8879" s="2"/>
    </row>
    <row r="8880" spans="1:12" x14ac:dyDescent="0.2">
      <c r="A8880"/>
      <c r="B8880"/>
      <c r="C8880"/>
      <c r="D8880"/>
      <c r="E8880"/>
      <c r="F8880"/>
      <c r="G8880"/>
      <c r="H8880"/>
      <c r="I8880"/>
      <c r="J8880"/>
      <c r="K8880" s="1"/>
      <c r="L8880" s="2"/>
    </row>
    <row r="8881" spans="1:12" x14ac:dyDescent="0.2">
      <c r="A8881"/>
      <c r="B8881"/>
      <c r="C8881"/>
      <c r="D8881"/>
      <c r="E8881"/>
      <c r="F8881"/>
      <c r="G8881"/>
      <c r="H8881"/>
      <c r="I8881"/>
      <c r="J8881"/>
      <c r="K8881" s="1"/>
      <c r="L8881" s="2"/>
    </row>
    <row r="8882" spans="1:12" x14ac:dyDescent="0.2">
      <c r="A8882"/>
      <c r="B8882"/>
      <c r="C8882"/>
      <c r="D8882"/>
      <c r="E8882"/>
      <c r="F8882"/>
      <c r="G8882"/>
      <c r="H8882"/>
      <c r="I8882"/>
      <c r="J8882"/>
      <c r="K8882" s="1"/>
      <c r="L8882" s="2"/>
    </row>
    <row r="8883" spans="1:12" x14ac:dyDescent="0.2">
      <c r="A8883"/>
      <c r="B8883"/>
      <c r="C8883"/>
      <c r="D8883"/>
      <c r="E8883"/>
      <c r="F8883"/>
      <c r="G8883"/>
      <c r="H8883"/>
      <c r="I8883"/>
      <c r="J8883"/>
      <c r="K8883" s="1"/>
      <c r="L8883" s="2"/>
    </row>
    <row r="8884" spans="1:12" x14ac:dyDescent="0.2">
      <c r="A8884"/>
      <c r="B8884"/>
      <c r="C8884"/>
      <c r="D8884"/>
      <c r="E8884"/>
      <c r="F8884"/>
      <c r="G8884"/>
      <c r="H8884"/>
      <c r="I8884"/>
      <c r="J8884"/>
      <c r="K8884" s="1"/>
      <c r="L8884" s="2"/>
    </row>
    <row r="8885" spans="1:12" x14ac:dyDescent="0.2">
      <c r="A8885"/>
      <c r="B8885"/>
      <c r="C8885"/>
      <c r="D8885"/>
      <c r="E8885"/>
      <c r="F8885"/>
      <c r="G8885"/>
      <c r="H8885"/>
      <c r="I8885"/>
      <c r="J8885"/>
      <c r="K8885" s="1"/>
      <c r="L8885" s="2"/>
    </row>
    <row r="8886" spans="1:12" x14ac:dyDescent="0.2">
      <c r="A8886"/>
      <c r="B8886"/>
      <c r="C8886"/>
      <c r="D8886"/>
      <c r="E8886"/>
      <c r="F8886"/>
      <c r="G8886"/>
      <c r="H8886"/>
      <c r="I8886"/>
      <c r="J8886"/>
      <c r="K8886" s="1"/>
      <c r="L8886" s="2"/>
    </row>
    <row r="8887" spans="1:12" x14ac:dyDescent="0.2">
      <c r="A8887"/>
      <c r="B8887"/>
      <c r="C8887"/>
      <c r="D8887"/>
      <c r="E8887"/>
      <c r="F8887"/>
      <c r="G8887"/>
      <c r="H8887"/>
      <c r="I8887"/>
      <c r="J8887"/>
      <c r="K8887" s="1"/>
      <c r="L8887" s="2"/>
    </row>
    <row r="8888" spans="1:12" x14ac:dyDescent="0.2">
      <c r="A8888"/>
      <c r="B8888"/>
      <c r="C8888"/>
      <c r="D8888"/>
      <c r="E8888"/>
      <c r="F8888"/>
      <c r="G8888"/>
      <c r="H8888"/>
      <c r="I8888"/>
      <c r="J8888"/>
      <c r="K8888" s="1"/>
      <c r="L8888" s="2"/>
    </row>
    <row r="8889" spans="1:12" x14ac:dyDescent="0.2">
      <c r="A8889"/>
      <c r="B8889"/>
      <c r="C8889"/>
      <c r="D8889"/>
      <c r="E8889"/>
      <c r="F8889"/>
      <c r="G8889"/>
      <c r="H8889"/>
      <c r="I8889"/>
      <c r="J8889"/>
      <c r="K8889" s="1"/>
      <c r="L8889" s="2"/>
    </row>
    <row r="8890" spans="1:12" x14ac:dyDescent="0.2">
      <c r="A8890"/>
      <c r="B8890"/>
      <c r="C8890"/>
      <c r="D8890"/>
      <c r="E8890"/>
      <c r="F8890"/>
      <c r="G8890"/>
      <c r="H8890"/>
      <c r="I8890"/>
      <c r="J8890"/>
      <c r="K8890" s="1"/>
      <c r="L8890" s="2"/>
    </row>
    <row r="8891" spans="1:12" x14ac:dyDescent="0.2">
      <c r="A8891"/>
      <c r="B8891"/>
      <c r="C8891"/>
      <c r="D8891"/>
      <c r="E8891"/>
      <c r="F8891"/>
      <c r="G8891"/>
      <c r="H8891"/>
      <c r="I8891"/>
      <c r="J8891"/>
      <c r="K8891" s="1"/>
      <c r="L8891" s="2"/>
    </row>
    <row r="8892" spans="1:12" x14ac:dyDescent="0.2">
      <c r="A8892"/>
      <c r="B8892"/>
      <c r="C8892"/>
      <c r="D8892"/>
      <c r="E8892"/>
      <c r="F8892"/>
      <c r="G8892"/>
      <c r="H8892"/>
      <c r="I8892"/>
      <c r="J8892"/>
      <c r="K8892" s="1"/>
      <c r="L8892" s="2"/>
    </row>
    <row r="8893" spans="1:12" x14ac:dyDescent="0.2">
      <c r="A8893"/>
      <c r="B8893"/>
      <c r="C8893"/>
      <c r="D8893"/>
      <c r="E8893"/>
      <c r="F8893"/>
      <c r="G8893"/>
      <c r="H8893"/>
      <c r="I8893"/>
      <c r="J8893"/>
      <c r="K8893" s="1"/>
      <c r="L8893" s="2"/>
    </row>
    <row r="8894" spans="1:12" x14ac:dyDescent="0.2">
      <c r="A8894"/>
      <c r="B8894"/>
      <c r="C8894"/>
      <c r="D8894"/>
      <c r="E8894"/>
      <c r="F8894"/>
      <c r="G8894"/>
      <c r="H8894"/>
      <c r="I8894"/>
      <c r="J8894"/>
      <c r="K8894" s="1"/>
      <c r="L8894" s="2"/>
    </row>
    <row r="8895" spans="1:12" x14ac:dyDescent="0.2">
      <c r="A8895"/>
      <c r="B8895"/>
      <c r="C8895"/>
      <c r="D8895"/>
      <c r="E8895"/>
      <c r="F8895"/>
      <c r="G8895"/>
      <c r="H8895"/>
      <c r="I8895"/>
      <c r="J8895"/>
      <c r="K8895" s="1"/>
      <c r="L8895" s="2"/>
    </row>
    <row r="8896" spans="1:12" x14ac:dyDescent="0.2">
      <c r="A8896"/>
      <c r="B8896"/>
      <c r="C8896"/>
      <c r="D8896"/>
      <c r="E8896"/>
      <c r="F8896"/>
      <c r="G8896"/>
      <c r="H8896"/>
      <c r="I8896"/>
      <c r="J8896"/>
      <c r="K8896" s="1"/>
      <c r="L8896" s="2"/>
    </row>
    <row r="8897" spans="1:12" x14ac:dyDescent="0.2">
      <c r="A8897"/>
      <c r="B8897"/>
      <c r="C8897"/>
      <c r="D8897"/>
      <c r="E8897"/>
      <c r="F8897"/>
      <c r="G8897"/>
      <c r="H8897"/>
      <c r="I8897"/>
      <c r="J8897"/>
      <c r="K8897" s="1"/>
      <c r="L8897" s="2"/>
    </row>
    <row r="8898" spans="1:12" x14ac:dyDescent="0.2">
      <c r="A8898"/>
      <c r="B8898"/>
      <c r="C8898"/>
      <c r="D8898"/>
      <c r="E8898"/>
      <c r="F8898"/>
      <c r="G8898"/>
      <c r="H8898"/>
      <c r="I8898"/>
      <c r="J8898"/>
      <c r="K8898" s="1"/>
      <c r="L8898" s="2"/>
    </row>
    <row r="8899" spans="1:12" x14ac:dyDescent="0.2">
      <c r="A8899"/>
      <c r="B8899"/>
      <c r="C8899"/>
      <c r="D8899"/>
      <c r="E8899"/>
      <c r="F8899"/>
      <c r="G8899"/>
      <c r="H8899"/>
      <c r="I8899"/>
      <c r="J8899"/>
      <c r="K8899" s="1"/>
      <c r="L8899" s="2"/>
    </row>
    <row r="8900" spans="1:12" x14ac:dyDescent="0.2">
      <c r="A8900"/>
      <c r="B8900"/>
      <c r="C8900"/>
      <c r="D8900"/>
      <c r="E8900"/>
      <c r="F8900"/>
      <c r="G8900"/>
      <c r="H8900"/>
      <c r="I8900"/>
      <c r="J8900"/>
      <c r="K8900" s="1"/>
      <c r="L8900" s="2"/>
    </row>
    <row r="8901" spans="1:12" x14ac:dyDescent="0.2">
      <c r="A8901"/>
      <c r="B8901"/>
      <c r="C8901"/>
      <c r="D8901"/>
      <c r="E8901"/>
      <c r="F8901"/>
      <c r="G8901"/>
      <c r="H8901"/>
      <c r="I8901"/>
      <c r="J8901"/>
      <c r="K8901" s="1"/>
      <c r="L8901" s="2"/>
    </row>
    <row r="8902" spans="1:12" x14ac:dyDescent="0.2">
      <c r="A8902"/>
      <c r="B8902"/>
      <c r="C8902"/>
      <c r="D8902"/>
      <c r="E8902"/>
      <c r="F8902"/>
      <c r="G8902"/>
      <c r="H8902"/>
      <c r="I8902"/>
      <c r="J8902"/>
      <c r="K8902" s="1"/>
      <c r="L8902" s="2"/>
    </row>
    <row r="8903" spans="1:12" x14ac:dyDescent="0.2">
      <c r="A8903"/>
      <c r="B8903"/>
      <c r="C8903"/>
      <c r="D8903"/>
      <c r="E8903"/>
      <c r="F8903"/>
      <c r="G8903"/>
      <c r="H8903"/>
      <c r="I8903"/>
      <c r="J8903"/>
      <c r="K8903" s="1"/>
      <c r="L8903" s="2"/>
    </row>
    <row r="8904" spans="1:12" x14ac:dyDescent="0.2">
      <c r="A8904"/>
      <c r="B8904"/>
      <c r="C8904"/>
      <c r="D8904"/>
      <c r="E8904"/>
      <c r="F8904"/>
      <c r="G8904"/>
      <c r="H8904"/>
      <c r="I8904"/>
      <c r="J8904"/>
      <c r="K8904" s="1"/>
      <c r="L8904" s="2"/>
    </row>
    <row r="8905" spans="1:12" x14ac:dyDescent="0.2">
      <c r="A8905"/>
      <c r="B8905"/>
      <c r="C8905"/>
      <c r="D8905"/>
      <c r="E8905"/>
      <c r="F8905"/>
      <c r="G8905"/>
      <c r="H8905"/>
      <c r="I8905"/>
      <c r="J8905"/>
      <c r="K8905" s="1"/>
      <c r="L8905" s="2"/>
    </row>
    <row r="8906" spans="1:12" x14ac:dyDescent="0.2">
      <c r="A8906"/>
      <c r="B8906"/>
      <c r="C8906"/>
      <c r="D8906"/>
      <c r="E8906"/>
      <c r="F8906"/>
      <c r="G8906"/>
      <c r="H8906"/>
      <c r="I8906"/>
      <c r="J8906"/>
      <c r="K8906" s="1"/>
      <c r="L8906" s="2"/>
    </row>
    <row r="8907" spans="1:12" x14ac:dyDescent="0.2">
      <c r="A8907"/>
      <c r="B8907"/>
      <c r="C8907"/>
      <c r="D8907"/>
      <c r="E8907"/>
      <c r="F8907"/>
      <c r="G8907"/>
      <c r="H8907"/>
      <c r="I8907"/>
      <c r="J8907"/>
      <c r="K8907" s="1"/>
      <c r="L8907" s="2"/>
    </row>
    <row r="8908" spans="1:12" x14ac:dyDescent="0.2">
      <c r="A8908"/>
      <c r="B8908"/>
      <c r="C8908"/>
      <c r="D8908"/>
      <c r="E8908"/>
      <c r="F8908"/>
      <c r="G8908"/>
      <c r="H8908"/>
      <c r="I8908"/>
      <c r="J8908"/>
      <c r="K8908" s="1"/>
      <c r="L8908" s="2"/>
    </row>
    <row r="8909" spans="1:12" x14ac:dyDescent="0.2">
      <c r="A8909"/>
      <c r="B8909"/>
      <c r="C8909"/>
      <c r="D8909"/>
      <c r="E8909"/>
      <c r="F8909"/>
      <c r="G8909"/>
      <c r="H8909"/>
      <c r="I8909"/>
      <c r="J8909"/>
      <c r="K8909" s="1"/>
      <c r="L8909" s="2"/>
    </row>
    <row r="8910" spans="1:12" x14ac:dyDescent="0.2">
      <c r="A8910"/>
      <c r="B8910"/>
      <c r="C8910"/>
      <c r="D8910"/>
      <c r="E8910"/>
      <c r="F8910"/>
      <c r="G8910"/>
      <c r="H8910"/>
      <c r="I8910"/>
      <c r="J8910"/>
      <c r="K8910" s="1"/>
      <c r="L8910" s="2"/>
    </row>
    <row r="8911" spans="1:12" x14ac:dyDescent="0.2">
      <c r="A8911"/>
      <c r="B8911"/>
      <c r="C8911"/>
      <c r="D8911"/>
      <c r="E8911"/>
      <c r="F8911"/>
      <c r="G8911"/>
      <c r="H8911"/>
      <c r="I8911"/>
      <c r="J8911"/>
      <c r="K8911" s="1"/>
      <c r="L8911" s="2"/>
    </row>
    <row r="8912" spans="1:12" x14ac:dyDescent="0.2">
      <c r="A8912"/>
      <c r="B8912"/>
      <c r="C8912"/>
      <c r="D8912"/>
      <c r="E8912"/>
      <c r="F8912"/>
      <c r="G8912"/>
      <c r="H8912"/>
      <c r="I8912"/>
      <c r="J8912"/>
      <c r="K8912" s="1"/>
      <c r="L8912" s="2"/>
    </row>
    <row r="8913" spans="1:12" x14ac:dyDescent="0.2">
      <c r="A8913"/>
      <c r="B8913"/>
      <c r="C8913"/>
      <c r="D8913"/>
      <c r="E8913"/>
      <c r="F8913"/>
      <c r="G8913"/>
      <c r="H8913"/>
      <c r="I8913"/>
      <c r="J8913"/>
      <c r="K8913" s="1"/>
      <c r="L8913" s="2"/>
    </row>
    <row r="8914" spans="1:12" x14ac:dyDescent="0.2">
      <c r="A8914"/>
      <c r="B8914"/>
      <c r="C8914"/>
      <c r="D8914"/>
      <c r="E8914"/>
      <c r="F8914"/>
      <c r="G8914"/>
      <c r="H8914"/>
      <c r="I8914"/>
      <c r="J8914"/>
      <c r="K8914" s="1"/>
      <c r="L8914" s="2"/>
    </row>
    <row r="8915" spans="1:12" x14ac:dyDescent="0.2">
      <c r="A8915"/>
      <c r="B8915"/>
      <c r="C8915"/>
      <c r="D8915"/>
      <c r="E8915"/>
      <c r="F8915"/>
      <c r="G8915"/>
      <c r="H8915"/>
      <c r="I8915"/>
      <c r="J8915"/>
      <c r="K8915" s="1"/>
      <c r="L8915" s="2"/>
    </row>
    <row r="8916" spans="1:12" x14ac:dyDescent="0.2">
      <c r="A8916"/>
      <c r="B8916"/>
      <c r="C8916"/>
      <c r="D8916"/>
      <c r="E8916"/>
      <c r="F8916"/>
      <c r="G8916"/>
      <c r="H8916"/>
      <c r="I8916"/>
      <c r="J8916"/>
      <c r="K8916" s="1"/>
      <c r="L8916" s="2"/>
    </row>
    <row r="8917" spans="1:12" x14ac:dyDescent="0.2">
      <c r="A8917"/>
      <c r="B8917"/>
      <c r="C8917"/>
      <c r="D8917"/>
      <c r="E8917"/>
      <c r="F8917"/>
      <c r="G8917"/>
      <c r="H8917"/>
      <c r="I8917"/>
      <c r="J8917"/>
      <c r="K8917" s="1"/>
      <c r="L8917" s="2"/>
    </row>
    <row r="8918" spans="1:12" x14ac:dyDescent="0.2">
      <c r="A8918"/>
      <c r="B8918"/>
      <c r="C8918"/>
      <c r="D8918"/>
      <c r="E8918"/>
      <c r="F8918"/>
      <c r="G8918"/>
      <c r="H8918"/>
      <c r="I8918"/>
      <c r="J8918"/>
      <c r="K8918" s="1"/>
      <c r="L8918" s="2"/>
    </row>
    <row r="8919" spans="1:12" x14ac:dyDescent="0.2">
      <c r="A8919"/>
      <c r="B8919"/>
      <c r="C8919"/>
      <c r="D8919"/>
      <c r="E8919"/>
      <c r="F8919"/>
      <c r="G8919"/>
      <c r="H8919"/>
      <c r="I8919"/>
      <c r="J8919"/>
      <c r="K8919" s="1"/>
      <c r="L8919" s="2"/>
    </row>
    <row r="8920" spans="1:12" x14ac:dyDescent="0.2">
      <c r="A8920"/>
      <c r="B8920"/>
      <c r="C8920"/>
      <c r="D8920"/>
      <c r="E8920"/>
      <c r="F8920"/>
      <c r="G8920"/>
      <c r="H8920"/>
      <c r="I8920"/>
      <c r="J8920"/>
      <c r="K8920" s="1"/>
      <c r="L8920" s="2"/>
    </row>
    <row r="8921" spans="1:12" x14ac:dyDescent="0.2">
      <c r="A8921"/>
      <c r="B8921"/>
      <c r="C8921"/>
      <c r="D8921"/>
      <c r="E8921"/>
      <c r="F8921"/>
      <c r="G8921"/>
      <c r="H8921"/>
      <c r="I8921"/>
      <c r="J8921"/>
      <c r="K8921" s="1"/>
      <c r="L8921" s="2"/>
    </row>
    <row r="8922" spans="1:12" x14ac:dyDescent="0.2">
      <c r="A8922"/>
      <c r="B8922"/>
      <c r="C8922"/>
      <c r="D8922"/>
      <c r="E8922"/>
      <c r="F8922"/>
      <c r="G8922"/>
      <c r="H8922"/>
      <c r="I8922"/>
      <c r="J8922"/>
      <c r="K8922" s="1"/>
      <c r="L8922" s="2"/>
    </row>
    <row r="8923" spans="1:12" x14ac:dyDescent="0.2">
      <c r="A8923"/>
      <c r="B8923"/>
      <c r="C8923"/>
      <c r="D8923"/>
      <c r="E8923"/>
      <c r="F8923"/>
      <c r="G8923"/>
      <c r="H8923"/>
      <c r="I8923"/>
      <c r="J8923"/>
      <c r="K8923" s="1"/>
      <c r="L8923" s="2"/>
    </row>
    <row r="8924" spans="1:12" x14ac:dyDescent="0.2">
      <c r="A8924"/>
      <c r="B8924"/>
      <c r="C8924"/>
      <c r="D8924"/>
      <c r="E8924"/>
      <c r="F8924"/>
      <c r="G8924"/>
      <c r="H8924"/>
      <c r="I8924"/>
      <c r="J8924"/>
      <c r="K8924" s="1"/>
      <c r="L8924" s="2"/>
    </row>
    <row r="8925" spans="1:12" x14ac:dyDescent="0.2">
      <c r="A8925"/>
      <c r="B8925"/>
      <c r="C8925"/>
      <c r="D8925"/>
      <c r="E8925"/>
      <c r="F8925"/>
      <c r="G8925"/>
      <c r="H8925"/>
      <c r="I8925"/>
      <c r="J8925"/>
      <c r="K8925" s="1"/>
      <c r="L8925" s="2"/>
    </row>
    <row r="8926" spans="1:12" x14ac:dyDescent="0.2">
      <c r="A8926"/>
      <c r="B8926"/>
      <c r="C8926"/>
      <c r="D8926"/>
      <c r="E8926"/>
      <c r="F8926"/>
      <c r="G8926"/>
      <c r="H8926"/>
      <c r="I8926"/>
      <c r="J8926"/>
      <c r="K8926" s="1"/>
      <c r="L8926" s="2"/>
    </row>
    <row r="8927" spans="1:12" x14ac:dyDescent="0.2">
      <c r="A8927"/>
      <c r="B8927"/>
      <c r="C8927"/>
      <c r="D8927"/>
      <c r="E8927"/>
      <c r="F8927"/>
      <c r="G8927"/>
      <c r="H8927"/>
      <c r="I8927"/>
      <c r="J8927"/>
      <c r="K8927" s="1"/>
      <c r="L8927" s="2"/>
    </row>
    <row r="8928" spans="1:12" x14ac:dyDescent="0.2">
      <c r="A8928"/>
      <c r="B8928"/>
      <c r="C8928"/>
      <c r="D8928"/>
      <c r="E8928"/>
      <c r="F8928"/>
      <c r="G8928"/>
      <c r="H8928"/>
      <c r="I8928"/>
      <c r="J8928"/>
      <c r="K8928" s="1"/>
      <c r="L8928" s="2"/>
    </row>
    <row r="8929" spans="1:12" x14ac:dyDescent="0.2">
      <c r="A8929"/>
      <c r="B8929"/>
      <c r="C8929"/>
      <c r="D8929"/>
      <c r="E8929"/>
      <c r="F8929"/>
      <c r="G8929"/>
      <c r="H8929"/>
      <c r="I8929"/>
      <c r="J8929"/>
      <c r="K8929" s="1"/>
      <c r="L8929" s="2"/>
    </row>
    <row r="8930" spans="1:12" x14ac:dyDescent="0.2">
      <c r="A8930"/>
      <c r="B8930"/>
      <c r="C8930"/>
      <c r="D8930"/>
      <c r="E8930"/>
      <c r="F8930"/>
      <c r="G8930"/>
      <c r="H8930"/>
      <c r="I8930"/>
      <c r="J8930"/>
      <c r="K8930" s="1"/>
      <c r="L8930" s="2"/>
    </row>
    <row r="8931" spans="1:12" x14ac:dyDescent="0.2">
      <c r="A8931"/>
      <c r="B8931"/>
      <c r="C8931"/>
      <c r="D8931"/>
      <c r="E8931"/>
      <c r="F8931"/>
      <c r="G8931"/>
      <c r="H8931"/>
      <c r="I8931"/>
      <c r="J8931"/>
      <c r="K8931" s="1"/>
      <c r="L8931" s="2"/>
    </row>
    <row r="8932" spans="1:12" x14ac:dyDescent="0.2">
      <c r="A8932"/>
      <c r="B8932"/>
      <c r="C8932"/>
      <c r="D8932"/>
      <c r="E8932"/>
      <c r="F8932"/>
      <c r="G8932"/>
      <c r="H8932"/>
      <c r="I8932"/>
      <c r="J8932"/>
      <c r="K8932" s="1"/>
      <c r="L8932" s="2"/>
    </row>
    <row r="8933" spans="1:12" x14ac:dyDescent="0.2">
      <c r="A8933"/>
      <c r="B8933"/>
      <c r="C8933"/>
      <c r="D8933"/>
      <c r="E8933"/>
      <c r="F8933"/>
      <c r="G8933"/>
      <c r="H8933"/>
      <c r="I8933"/>
      <c r="J8933"/>
      <c r="K8933" s="1"/>
      <c r="L8933" s="2"/>
    </row>
    <row r="8934" spans="1:12" x14ac:dyDescent="0.2">
      <c r="A8934"/>
      <c r="B8934"/>
      <c r="C8934"/>
      <c r="D8934"/>
      <c r="E8934"/>
      <c r="F8934"/>
      <c r="G8934"/>
      <c r="H8934"/>
      <c r="I8934"/>
      <c r="J8934"/>
      <c r="K8934" s="1"/>
      <c r="L8934" s="2"/>
    </row>
    <row r="8935" spans="1:12" x14ac:dyDescent="0.2">
      <c r="A8935"/>
      <c r="B8935"/>
      <c r="C8935"/>
      <c r="D8935"/>
      <c r="E8935"/>
      <c r="F8935"/>
      <c r="G8935"/>
      <c r="H8935"/>
      <c r="I8935"/>
      <c r="J8935"/>
      <c r="K8935" s="1"/>
      <c r="L8935" s="2"/>
    </row>
    <row r="8936" spans="1:12" x14ac:dyDescent="0.2">
      <c r="A8936"/>
      <c r="B8936"/>
      <c r="C8936"/>
      <c r="D8936"/>
      <c r="E8936"/>
      <c r="F8936"/>
      <c r="G8936"/>
      <c r="H8936"/>
      <c r="I8936"/>
      <c r="J8936"/>
      <c r="K8936" s="1"/>
      <c r="L8936" s="2"/>
    </row>
    <row r="8937" spans="1:12" x14ac:dyDescent="0.2">
      <c r="A8937"/>
      <c r="B8937"/>
      <c r="C8937"/>
      <c r="D8937"/>
      <c r="E8937"/>
      <c r="F8937"/>
      <c r="G8937"/>
      <c r="H8937"/>
      <c r="I8937"/>
      <c r="J8937"/>
      <c r="K8937" s="1"/>
      <c r="L8937" s="2"/>
    </row>
    <row r="8938" spans="1:12" x14ac:dyDescent="0.2">
      <c r="A8938"/>
      <c r="B8938"/>
      <c r="C8938"/>
      <c r="D8938"/>
      <c r="E8938"/>
      <c r="F8938"/>
      <c r="G8938"/>
      <c r="H8938"/>
      <c r="I8938"/>
      <c r="J8938"/>
      <c r="K8938" s="1"/>
      <c r="L8938" s="2"/>
    </row>
    <row r="8939" spans="1:12" x14ac:dyDescent="0.2">
      <c r="A8939"/>
      <c r="B8939"/>
      <c r="C8939"/>
      <c r="D8939"/>
      <c r="E8939"/>
      <c r="F8939"/>
      <c r="G8939"/>
      <c r="H8939"/>
      <c r="I8939"/>
      <c r="J8939"/>
      <c r="K8939" s="1"/>
      <c r="L8939" s="2"/>
    </row>
    <row r="8940" spans="1:12" x14ac:dyDescent="0.2">
      <c r="A8940"/>
      <c r="B8940"/>
      <c r="C8940"/>
      <c r="D8940"/>
      <c r="E8940"/>
      <c r="F8940"/>
      <c r="G8940"/>
      <c r="H8940"/>
      <c r="I8940"/>
      <c r="J8940"/>
      <c r="K8940" s="1"/>
      <c r="L8940" s="2"/>
    </row>
    <row r="8941" spans="1:12" x14ac:dyDescent="0.2">
      <c r="A8941"/>
      <c r="B8941"/>
      <c r="C8941"/>
      <c r="D8941"/>
      <c r="E8941"/>
      <c r="F8941"/>
      <c r="G8941"/>
      <c r="H8941"/>
      <c r="I8941"/>
      <c r="J8941"/>
      <c r="K8941" s="1"/>
      <c r="L8941" s="2"/>
    </row>
    <row r="8942" spans="1:12" x14ac:dyDescent="0.2">
      <c r="A8942"/>
      <c r="B8942"/>
      <c r="C8942"/>
      <c r="D8942"/>
      <c r="E8942"/>
      <c r="F8942"/>
      <c r="G8942"/>
      <c r="H8942"/>
      <c r="I8942"/>
      <c r="J8942"/>
      <c r="K8942" s="1"/>
      <c r="L8942" s="2"/>
    </row>
    <row r="8943" spans="1:12" x14ac:dyDescent="0.2">
      <c r="A8943"/>
      <c r="B8943"/>
      <c r="C8943"/>
      <c r="D8943"/>
      <c r="E8943"/>
      <c r="F8943"/>
      <c r="G8943"/>
      <c r="H8943"/>
      <c r="I8943"/>
      <c r="J8943"/>
      <c r="K8943" s="1"/>
      <c r="L8943" s="2"/>
    </row>
    <row r="8944" spans="1:12" x14ac:dyDescent="0.2">
      <c r="A8944"/>
      <c r="B8944"/>
      <c r="C8944"/>
      <c r="D8944"/>
      <c r="E8944"/>
      <c r="F8944"/>
      <c r="G8944"/>
      <c r="H8944"/>
      <c r="I8944"/>
      <c r="J8944"/>
      <c r="K8944" s="1"/>
      <c r="L8944" s="2"/>
    </row>
    <row r="8945" spans="1:12" x14ac:dyDescent="0.2">
      <c r="A8945"/>
      <c r="B8945"/>
      <c r="C8945"/>
      <c r="D8945"/>
      <c r="E8945"/>
      <c r="F8945"/>
      <c r="G8945"/>
      <c r="H8945"/>
      <c r="I8945"/>
      <c r="J8945"/>
      <c r="K8945" s="1"/>
      <c r="L8945" s="2"/>
    </row>
    <row r="8946" spans="1:12" x14ac:dyDescent="0.2">
      <c r="A8946"/>
      <c r="B8946"/>
      <c r="C8946"/>
      <c r="D8946"/>
      <c r="E8946"/>
      <c r="F8946"/>
      <c r="G8946"/>
      <c r="H8946"/>
      <c r="I8946"/>
      <c r="J8946"/>
      <c r="K8946" s="1"/>
      <c r="L8946" s="2"/>
    </row>
    <row r="8947" spans="1:12" x14ac:dyDescent="0.2">
      <c r="A8947"/>
      <c r="B8947"/>
      <c r="C8947"/>
      <c r="D8947"/>
      <c r="E8947"/>
      <c r="F8947"/>
      <c r="G8947"/>
      <c r="H8947"/>
      <c r="I8947"/>
      <c r="J8947"/>
      <c r="K8947" s="1"/>
      <c r="L8947" s="2"/>
    </row>
    <row r="8948" spans="1:12" x14ac:dyDescent="0.2">
      <c r="A8948"/>
      <c r="B8948"/>
      <c r="C8948"/>
      <c r="D8948"/>
      <c r="E8948"/>
      <c r="F8948"/>
      <c r="G8948"/>
      <c r="H8948"/>
      <c r="I8948"/>
      <c r="J8948"/>
      <c r="K8948" s="1"/>
      <c r="L8948" s="2"/>
    </row>
    <row r="8949" spans="1:12" x14ac:dyDescent="0.2">
      <c r="A8949"/>
      <c r="B8949"/>
      <c r="C8949"/>
      <c r="D8949"/>
      <c r="E8949"/>
      <c r="F8949"/>
      <c r="G8949"/>
      <c r="H8949"/>
      <c r="I8949"/>
      <c r="J8949"/>
      <c r="K8949" s="1"/>
      <c r="L8949" s="2"/>
    </row>
    <row r="8950" spans="1:12" x14ac:dyDescent="0.2">
      <c r="A8950"/>
      <c r="B8950"/>
      <c r="C8950"/>
      <c r="D8950"/>
      <c r="E8950"/>
      <c r="F8950"/>
      <c r="G8950"/>
      <c r="H8950"/>
      <c r="I8950"/>
      <c r="J8950"/>
      <c r="K8950" s="1"/>
      <c r="L8950" s="2"/>
    </row>
    <row r="8951" spans="1:12" x14ac:dyDescent="0.2">
      <c r="A8951"/>
      <c r="B8951"/>
      <c r="C8951"/>
      <c r="D8951"/>
      <c r="E8951"/>
      <c r="F8951"/>
      <c r="G8951"/>
      <c r="H8951"/>
      <c r="I8951"/>
      <c r="J8951"/>
      <c r="K8951" s="1"/>
      <c r="L8951" s="2"/>
    </row>
    <row r="8952" spans="1:12" x14ac:dyDescent="0.2">
      <c r="A8952"/>
      <c r="B8952"/>
      <c r="C8952"/>
      <c r="D8952"/>
      <c r="E8952"/>
      <c r="F8952"/>
      <c r="G8952"/>
      <c r="H8952"/>
      <c r="I8952"/>
      <c r="J8952"/>
      <c r="K8952" s="1"/>
      <c r="L8952" s="2"/>
    </row>
    <row r="8953" spans="1:12" x14ac:dyDescent="0.2">
      <c r="A8953"/>
      <c r="B8953"/>
      <c r="C8953"/>
      <c r="D8953"/>
      <c r="E8953"/>
      <c r="F8953"/>
      <c r="G8953"/>
      <c r="H8953"/>
      <c r="I8953"/>
      <c r="J8953"/>
      <c r="K8953" s="1"/>
      <c r="L8953" s="2"/>
    </row>
    <row r="8954" spans="1:12" x14ac:dyDescent="0.2">
      <c r="A8954"/>
      <c r="B8954"/>
      <c r="C8954"/>
      <c r="D8954"/>
      <c r="E8954"/>
      <c r="F8954"/>
      <c r="G8954"/>
      <c r="H8954"/>
      <c r="I8954"/>
      <c r="J8954"/>
      <c r="K8954" s="1"/>
      <c r="L8954" s="2"/>
    </row>
    <row r="8955" spans="1:12" x14ac:dyDescent="0.2">
      <c r="A8955"/>
      <c r="B8955"/>
      <c r="C8955"/>
      <c r="D8955"/>
      <c r="E8955"/>
      <c r="F8955"/>
      <c r="G8955"/>
      <c r="H8955"/>
      <c r="I8955"/>
      <c r="J8955"/>
      <c r="K8955" s="1"/>
      <c r="L8955" s="2"/>
    </row>
    <row r="8956" spans="1:12" x14ac:dyDescent="0.2">
      <c r="A8956"/>
      <c r="B8956"/>
      <c r="C8956"/>
      <c r="D8956"/>
      <c r="E8956"/>
      <c r="F8956"/>
      <c r="G8956"/>
      <c r="H8956"/>
      <c r="I8956"/>
      <c r="J8956"/>
      <c r="K8956" s="1"/>
      <c r="L8956" s="2"/>
    </row>
    <row r="8957" spans="1:12" x14ac:dyDescent="0.2">
      <c r="A8957"/>
      <c r="B8957"/>
      <c r="C8957"/>
      <c r="D8957"/>
      <c r="E8957"/>
      <c r="F8957"/>
      <c r="G8957"/>
      <c r="H8957"/>
      <c r="I8957"/>
      <c r="J8957"/>
      <c r="K8957" s="1"/>
      <c r="L8957" s="2"/>
    </row>
    <row r="8958" spans="1:12" x14ac:dyDescent="0.2">
      <c r="A8958"/>
      <c r="B8958"/>
      <c r="C8958"/>
      <c r="D8958"/>
      <c r="E8958"/>
      <c r="F8958"/>
      <c r="G8958"/>
      <c r="H8958"/>
      <c r="I8958"/>
      <c r="J8958"/>
      <c r="K8958" s="1"/>
      <c r="L8958" s="2"/>
    </row>
    <row r="8959" spans="1:12" x14ac:dyDescent="0.2">
      <c r="A8959"/>
      <c r="B8959"/>
      <c r="C8959"/>
      <c r="D8959"/>
      <c r="E8959"/>
      <c r="F8959"/>
      <c r="G8959"/>
      <c r="H8959"/>
      <c r="I8959"/>
      <c r="J8959"/>
      <c r="K8959" s="1"/>
      <c r="L8959" s="2"/>
    </row>
    <row r="8960" spans="1:12" x14ac:dyDescent="0.2">
      <c r="A8960"/>
      <c r="B8960"/>
      <c r="C8960"/>
      <c r="D8960"/>
      <c r="E8960"/>
      <c r="F8960"/>
      <c r="G8960"/>
      <c r="H8960"/>
      <c r="I8960"/>
      <c r="J8960"/>
      <c r="K8960" s="1"/>
      <c r="L8960" s="2"/>
    </row>
    <row r="8961" spans="1:12" x14ac:dyDescent="0.2">
      <c r="A8961"/>
      <c r="B8961"/>
      <c r="C8961"/>
      <c r="D8961"/>
      <c r="E8961"/>
      <c r="F8961"/>
      <c r="G8961"/>
      <c r="H8961"/>
      <c r="I8961"/>
      <c r="J8961"/>
      <c r="K8961" s="1"/>
      <c r="L8961" s="2"/>
    </row>
    <row r="8962" spans="1:12" x14ac:dyDescent="0.2">
      <c r="A8962"/>
      <c r="B8962"/>
      <c r="C8962"/>
      <c r="D8962"/>
      <c r="E8962"/>
      <c r="F8962"/>
      <c r="G8962"/>
      <c r="H8962"/>
      <c r="I8962"/>
      <c r="J8962"/>
      <c r="K8962" s="1"/>
      <c r="L8962" s="2"/>
    </row>
    <row r="8963" spans="1:12" x14ac:dyDescent="0.2">
      <c r="A8963"/>
      <c r="B8963"/>
      <c r="C8963"/>
      <c r="D8963"/>
      <c r="E8963"/>
      <c r="F8963"/>
      <c r="G8963"/>
      <c r="H8963"/>
      <c r="I8963"/>
      <c r="J8963"/>
      <c r="K8963" s="1"/>
      <c r="L8963" s="2"/>
    </row>
    <row r="8964" spans="1:12" x14ac:dyDescent="0.2">
      <c r="A8964"/>
      <c r="B8964"/>
      <c r="C8964"/>
      <c r="D8964"/>
      <c r="E8964"/>
      <c r="F8964"/>
      <c r="G8964"/>
      <c r="H8964"/>
      <c r="I8964"/>
      <c r="J8964"/>
      <c r="K8964" s="1"/>
      <c r="L8964" s="2"/>
    </row>
    <row r="8965" spans="1:12" x14ac:dyDescent="0.2">
      <c r="A8965"/>
      <c r="B8965"/>
      <c r="C8965"/>
      <c r="D8965"/>
      <c r="E8965"/>
      <c r="F8965"/>
      <c r="G8965"/>
      <c r="H8965"/>
      <c r="I8965"/>
      <c r="J8965"/>
      <c r="K8965" s="1"/>
      <c r="L8965" s="2"/>
    </row>
    <row r="8966" spans="1:12" x14ac:dyDescent="0.2">
      <c r="A8966"/>
      <c r="B8966"/>
      <c r="C8966"/>
      <c r="D8966"/>
      <c r="E8966"/>
      <c r="F8966"/>
      <c r="G8966"/>
      <c r="H8966"/>
      <c r="I8966"/>
      <c r="J8966"/>
      <c r="K8966" s="1"/>
      <c r="L8966" s="2"/>
    </row>
    <row r="8967" spans="1:12" x14ac:dyDescent="0.2">
      <c r="A8967"/>
      <c r="B8967"/>
      <c r="C8967"/>
      <c r="D8967"/>
      <c r="E8967"/>
      <c r="F8967"/>
      <c r="G8967"/>
      <c r="H8967"/>
      <c r="I8967"/>
      <c r="J8967"/>
      <c r="K8967" s="1"/>
      <c r="L8967" s="2"/>
    </row>
    <row r="8968" spans="1:12" x14ac:dyDescent="0.2">
      <c r="A8968"/>
      <c r="B8968"/>
      <c r="C8968"/>
      <c r="D8968"/>
      <c r="E8968"/>
      <c r="F8968"/>
      <c r="G8968"/>
      <c r="H8968"/>
      <c r="I8968"/>
      <c r="J8968"/>
      <c r="K8968" s="1"/>
      <c r="L8968" s="2"/>
    </row>
    <row r="8969" spans="1:12" x14ac:dyDescent="0.2">
      <c r="A8969"/>
      <c r="B8969"/>
      <c r="C8969"/>
      <c r="D8969"/>
      <c r="E8969"/>
      <c r="F8969"/>
      <c r="G8969"/>
      <c r="H8969"/>
      <c r="I8969"/>
      <c r="J8969"/>
      <c r="K8969" s="1"/>
      <c r="L8969" s="2"/>
    </row>
    <row r="8970" spans="1:12" x14ac:dyDescent="0.2">
      <c r="A8970"/>
      <c r="B8970"/>
      <c r="C8970"/>
      <c r="D8970"/>
      <c r="E8970"/>
      <c r="F8970"/>
      <c r="G8970"/>
      <c r="H8970"/>
      <c r="I8970"/>
      <c r="J8970"/>
      <c r="K8970" s="1"/>
      <c r="L8970" s="2"/>
    </row>
    <row r="8971" spans="1:12" x14ac:dyDescent="0.2">
      <c r="A8971"/>
      <c r="B8971"/>
      <c r="C8971"/>
      <c r="D8971"/>
      <c r="E8971"/>
      <c r="F8971"/>
      <c r="G8971"/>
      <c r="H8971"/>
      <c r="I8971"/>
      <c r="J8971"/>
      <c r="K8971" s="1"/>
      <c r="L8971" s="2"/>
    </row>
    <row r="8972" spans="1:12" x14ac:dyDescent="0.2">
      <c r="A8972"/>
      <c r="B8972"/>
      <c r="C8972"/>
      <c r="D8972"/>
      <c r="E8972"/>
      <c r="F8972"/>
      <c r="G8972"/>
      <c r="H8972"/>
      <c r="I8972"/>
      <c r="J8972"/>
      <c r="K8972" s="1"/>
      <c r="L8972" s="2"/>
    </row>
    <row r="8973" spans="1:12" x14ac:dyDescent="0.2">
      <c r="A8973"/>
      <c r="B8973"/>
      <c r="C8973"/>
      <c r="D8973"/>
      <c r="E8973"/>
      <c r="F8973"/>
      <c r="G8973"/>
      <c r="H8973"/>
      <c r="I8973"/>
      <c r="J8973"/>
      <c r="K8973" s="1"/>
      <c r="L8973" s="2"/>
    </row>
    <row r="8974" spans="1:12" x14ac:dyDescent="0.2">
      <c r="A8974"/>
      <c r="B8974"/>
      <c r="C8974"/>
      <c r="D8974"/>
      <c r="E8974"/>
      <c r="F8974"/>
      <c r="G8974"/>
      <c r="H8974"/>
      <c r="I8974"/>
      <c r="J8974"/>
      <c r="K8974" s="1"/>
      <c r="L8974" s="2"/>
    </row>
    <row r="8975" spans="1:12" x14ac:dyDescent="0.2">
      <c r="A8975"/>
      <c r="B8975"/>
      <c r="C8975"/>
      <c r="D8975"/>
      <c r="E8975"/>
      <c r="F8975"/>
      <c r="G8975"/>
      <c r="H8975"/>
      <c r="I8975"/>
      <c r="J8975"/>
      <c r="K8975" s="1"/>
      <c r="L8975" s="2"/>
    </row>
    <row r="8976" spans="1:12" x14ac:dyDescent="0.2">
      <c r="A8976"/>
      <c r="B8976"/>
      <c r="C8976"/>
      <c r="D8976"/>
      <c r="E8976"/>
      <c r="F8976"/>
      <c r="G8976"/>
      <c r="H8976"/>
      <c r="I8976"/>
      <c r="J8976"/>
      <c r="K8976" s="1"/>
      <c r="L8976" s="2"/>
    </row>
    <row r="8977" spans="1:12" x14ac:dyDescent="0.2">
      <c r="A8977"/>
      <c r="B8977"/>
      <c r="C8977"/>
      <c r="D8977"/>
      <c r="E8977"/>
      <c r="F8977"/>
      <c r="G8977"/>
      <c r="H8977"/>
      <c r="I8977"/>
      <c r="J8977"/>
      <c r="K8977" s="1"/>
      <c r="L8977" s="2"/>
    </row>
    <row r="8978" spans="1:12" x14ac:dyDescent="0.2">
      <c r="A8978"/>
      <c r="B8978"/>
      <c r="C8978"/>
      <c r="D8978"/>
      <c r="E8978"/>
      <c r="F8978"/>
      <c r="G8978"/>
      <c r="H8978"/>
      <c r="I8978"/>
      <c r="J8978"/>
      <c r="K8978" s="1"/>
      <c r="L8978" s="2"/>
    </row>
    <row r="8979" spans="1:12" x14ac:dyDescent="0.2">
      <c r="A8979"/>
      <c r="B8979"/>
      <c r="C8979"/>
      <c r="D8979"/>
      <c r="E8979"/>
      <c r="F8979"/>
      <c r="G8979"/>
      <c r="H8979"/>
      <c r="I8979"/>
      <c r="J8979"/>
      <c r="K8979" s="1"/>
      <c r="L8979" s="2"/>
    </row>
    <row r="8980" spans="1:12" x14ac:dyDescent="0.2">
      <c r="A8980"/>
      <c r="B8980"/>
      <c r="C8980"/>
      <c r="D8980"/>
      <c r="E8980"/>
      <c r="F8980"/>
      <c r="G8980"/>
      <c r="H8980"/>
      <c r="I8980"/>
      <c r="J8980"/>
      <c r="K8980" s="1"/>
      <c r="L8980" s="2"/>
    </row>
    <row r="8981" spans="1:12" x14ac:dyDescent="0.2">
      <c r="A8981"/>
      <c r="B8981"/>
      <c r="C8981"/>
      <c r="D8981"/>
      <c r="E8981"/>
      <c r="F8981"/>
      <c r="G8981"/>
      <c r="H8981"/>
      <c r="I8981"/>
      <c r="J8981"/>
      <c r="K8981" s="1"/>
      <c r="L8981" s="2"/>
    </row>
    <row r="8982" spans="1:12" x14ac:dyDescent="0.2">
      <c r="A8982"/>
      <c r="B8982"/>
      <c r="C8982"/>
      <c r="D8982"/>
      <c r="E8982"/>
      <c r="F8982"/>
      <c r="G8982"/>
      <c r="H8982"/>
      <c r="I8982"/>
      <c r="J8982"/>
      <c r="K8982" s="1"/>
      <c r="L8982" s="2"/>
    </row>
    <row r="8983" spans="1:12" x14ac:dyDescent="0.2">
      <c r="A8983"/>
      <c r="B8983"/>
      <c r="C8983"/>
      <c r="D8983"/>
      <c r="E8983"/>
      <c r="F8983"/>
      <c r="G8983"/>
      <c r="H8983"/>
      <c r="I8983"/>
      <c r="J8983"/>
      <c r="K8983" s="1"/>
      <c r="L8983" s="2"/>
    </row>
    <row r="8984" spans="1:12" x14ac:dyDescent="0.2">
      <c r="A8984"/>
      <c r="B8984"/>
      <c r="C8984"/>
      <c r="D8984"/>
      <c r="E8984"/>
      <c r="F8984"/>
      <c r="G8984"/>
      <c r="H8984"/>
      <c r="I8984"/>
      <c r="J8984"/>
      <c r="K8984" s="1"/>
      <c r="L8984" s="2"/>
    </row>
    <row r="8985" spans="1:12" x14ac:dyDescent="0.2">
      <c r="A8985"/>
      <c r="B8985"/>
      <c r="C8985"/>
      <c r="D8985"/>
      <c r="E8985"/>
      <c r="F8985"/>
      <c r="G8985"/>
      <c r="H8985"/>
      <c r="I8985"/>
      <c r="J8985"/>
      <c r="K8985" s="1"/>
      <c r="L8985" s="2"/>
    </row>
    <row r="8986" spans="1:12" x14ac:dyDescent="0.2">
      <c r="A8986"/>
      <c r="B8986"/>
      <c r="C8986"/>
      <c r="D8986"/>
      <c r="E8986"/>
      <c r="F8986"/>
      <c r="G8986"/>
      <c r="H8986"/>
      <c r="I8986"/>
      <c r="J8986"/>
      <c r="K8986" s="1"/>
      <c r="L8986" s="2"/>
    </row>
    <row r="8987" spans="1:12" x14ac:dyDescent="0.2">
      <c r="A8987"/>
      <c r="B8987"/>
      <c r="C8987"/>
      <c r="D8987"/>
      <c r="E8987"/>
      <c r="F8987"/>
      <c r="G8987"/>
      <c r="H8987"/>
      <c r="I8987"/>
      <c r="J8987"/>
      <c r="K8987" s="1"/>
      <c r="L8987" s="2"/>
    </row>
    <row r="8988" spans="1:12" x14ac:dyDescent="0.2">
      <c r="A8988"/>
      <c r="B8988"/>
      <c r="C8988"/>
      <c r="D8988"/>
      <c r="E8988"/>
      <c r="F8988"/>
      <c r="G8988"/>
      <c r="H8988"/>
      <c r="I8988"/>
      <c r="J8988"/>
      <c r="K8988" s="1"/>
      <c r="L8988" s="2"/>
    </row>
    <row r="8989" spans="1:12" x14ac:dyDescent="0.2">
      <c r="A8989"/>
      <c r="B8989"/>
      <c r="C8989"/>
      <c r="D8989"/>
      <c r="E8989"/>
      <c r="F8989"/>
      <c r="G8989"/>
      <c r="H8989"/>
      <c r="I8989"/>
      <c r="J8989"/>
      <c r="K8989" s="1"/>
      <c r="L8989" s="2"/>
    </row>
    <row r="8990" spans="1:12" x14ac:dyDescent="0.2">
      <c r="A8990"/>
      <c r="B8990"/>
      <c r="C8990"/>
      <c r="D8990"/>
      <c r="E8990"/>
      <c r="F8990"/>
      <c r="G8990"/>
      <c r="H8990"/>
      <c r="I8990"/>
      <c r="J8990"/>
      <c r="K8990" s="1"/>
      <c r="L8990" s="2"/>
    </row>
    <row r="8991" spans="1:12" x14ac:dyDescent="0.2">
      <c r="A8991"/>
      <c r="B8991"/>
      <c r="C8991"/>
      <c r="D8991"/>
      <c r="E8991"/>
      <c r="F8991"/>
      <c r="G8991"/>
      <c r="H8991"/>
      <c r="I8991"/>
      <c r="J8991"/>
      <c r="K8991" s="1"/>
      <c r="L8991" s="2"/>
    </row>
    <row r="8992" spans="1:12" x14ac:dyDescent="0.2">
      <c r="A8992"/>
      <c r="B8992"/>
      <c r="C8992"/>
      <c r="D8992"/>
      <c r="E8992"/>
      <c r="F8992"/>
      <c r="G8992"/>
      <c r="H8992"/>
      <c r="I8992"/>
      <c r="J8992"/>
      <c r="K8992" s="1"/>
      <c r="L8992" s="2"/>
    </row>
    <row r="8993" spans="1:12" x14ac:dyDescent="0.2">
      <c r="A8993"/>
      <c r="B8993"/>
      <c r="C8993"/>
      <c r="D8993"/>
      <c r="E8993"/>
      <c r="F8993"/>
      <c r="G8993"/>
      <c r="H8993"/>
      <c r="I8993"/>
      <c r="J8993"/>
      <c r="K8993" s="1"/>
      <c r="L8993" s="2"/>
    </row>
    <row r="8994" spans="1:12" x14ac:dyDescent="0.2">
      <c r="A8994"/>
      <c r="B8994"/>
      <c r="C8994"/>
      <c r="D8994"/>
      <c r="E8994"/>
      <c r="F8994"/>
      <c r="G8994"/>
      <c r="H8994"/>
      <c r="I8994"/>
      <c r="J8994"/>
      <c r="K8994" s="1"/>
      <c r="L8994" s="2"/>
    </row>
    <row r="8995" spans="1:12" x14ac:dyDescent="0.2">
      <c r="A8995"/>
      <c r="B8995"/>
      <c r="C8995"/>
      <c r="D8995"/>
      <c r="E8995"/>
      <c r="F8995"/>
      <c r="G8995"/>
      <c r="H8995"/>
      <c r="I8995"/>
      <c r="J8995"/>
      <c r="K8995" s="1"/>
      <c r="L8995" s="2"/>
    </row>
    <row r="8996" spans="1:12" x14ac:dyDescent="0.2">
      <c r="A8996"/>
      <c r="B8996"/>
      <c r="C8996"/>
      <c r="D8996"/>
      <c r="E8996"/>
      <c r="F8996"/>
      <c r="G8996"/>
      <c r="H8996"/>
      <c r="I8996"/>
      <c r="J8996"/>
      <c r="K8996" s="1"/>
      <c r="L8996" s="2"/>
    </row>
    <row r="8997" spans="1:12" x14ac:dyDescent="0.2">
      <c r="A8997"/>
      <c r="B8997"/>
      <c r="C8997"/>
      <c r="D8997"/>
      <c r="E8997"/>
      <c r="F8997"/>
      <c r="G8997"/>
      <c r="H8997"/>
      <c r="I8997"/>
      <c r="J8997"/>
      <c r="K8997" s="1"/>
      <c r="L8997" s="2"/>
    </row>
    <row r="8998" spans="1:12" x14ac:dyDescent="0.2">
      <c r="A8998"/>
      <c r="B8998"/>
      <c r="C8998"/>
      <c r="D8998"/>
      <c r="E8998"/>
      <c r="F8998"/>
      <c r="G8998"/>
      <c r="H8998"/>
      <c r="I8998"/>
      <c r="J8998"/>
      <c r="K8998" s="1"/>
      <c r="L8998" s="2"/>
    </row>
    <row r="8999" spans="1:12" x14ac:dyDescent="0.2">
      <c r="A8999"/>
      <c r="B8999"/>
      <c r="C8999"/>
      <c r="D8999"/>
      <c r="E8999"/>
      <c r="F8999"/>
      <c r="G8999"/>
      <c r="H8999"/>
      <c r="I8999"/>
      <c r="J8999"/>
      <c r="K8999" s="1"/>
      <c r="L8999" s="2"/>
    </row>
    <row r="9000" spans="1:12" x14ac:dyDescent="0.2">
      <c r="A9000"/>
      <c r="B9000"/>
      <c r="C9000"/>
      <c r="D9000"/>
      <c r="E9000"/>
      <c r="F9000"/>
      <c r="G9000"/>
      <c r="H9000"/>
      <c r="I9000"/>
      <c r="J9000"/>
      <c r="K9000" s="1"/>
      <c r="L9000" s="2"/>
    </row>
    <row r="9001" spans="1:12" x14ac:dyDescent="0.2">
      <c r="A9001"/>
      <c r="B9001"/>
      <c r="C9001"/>
      <c r="D9001"/>
      <c r="E9001"/>
      <c r="F9001"/>
      <c r="G9001"/>
      <c r="H9001"/>
      <c r="I9001"/>
      <c r="J9001"/>
      <c r="K9001" s="1"/>
      <c r="L9001" s="2"/>
    </row>
    <row r="9002" spans="1:12" x14ac:dyDescent="0.2">
      <c r="A9002"/>
      <c r="B9002"/>
      <c r="C9002"/>
      <c r="D9002"/>
      <c r="E9002"/>
      <c r="F9002"/>
      <c r="G9002"/>
      <c r="H9002"/>
      <c r="I9002"/>
      <c r="J9002"/>
      <c r="K9002" s="1"/>
      <c r="L9002" s="2"/>
    </row>
    <row r="9003" spans="1:12" x14ac:dyDescent="0.2">
      <c r="A9003"/>
      <c r="B9003"/>
      <c r="C9003"/>
      <c r="D9003"/>
      <c r="E9003"/>
      <c r="F9003"/>
      <c r="G9003"/>
      <c r="H9003"/>
      <c r="I9003"/>
      <c r="J9003"/>
      <c r="K9003" s="1"/>
      <c r="L9003" s="2"/>
    </row>
    <row r="9004" spans="1:12" x14ac:dyDescent="0.2">
      <c r="A9004"/>
      <c r="B9004"/>
      <c r="C9004"/>
      <c r="D9004"/>
      <c r="E9004"/>
      <c r="F9004"/>
      <c r="G9004"/>
      <c r="H9004"/>
      <c r="I9004"/>
      <c r="J9004"/>
      <c r="K9004" s="1"/>
      <c r="L9004" s="2"/>
    </row>
    <row r="9005" spans="1:12" x14ac:dyDescent="0.2">
      <c r="A9005"/>
      <c r="B9005"/>
      <c r="C9005"/>
      <c r="D9005"/>
      <c r="E9005"/>
      <c r="F9005"/>
      <c r="G9005"/>
      <c r="H9005"/>
      <c r="I9005"/>
      <c r="J9005"/>
      <c r="K9005" s="1"/>
      <c r="L9005" s="2"/>
    </row>
    <row r="9006" spans="1:12" x14ac:dyDescent="0.2">
      <c r="A9006"/>
      <c r="B9006"/>
      <c r="C9006"/>
      <c r="D9006"/>
      <c r="E9006"/>
      <c r="F9006"/>
      <c r="G9006"/>
      <c r="H9006"/>
      <c r="I9006"/>
      <c r="J9006"/>
      <c r="K9006" s="1"/>
      <c r="L9006" s="2"/>
    </row>
    <row r="9007" spans="1:12" x14ac:dyDescent="0.2">
      <c r="A9007"/>
      <c r="B9007"/>
      <c r="C9007"/>
      <c r="D9007"/>
      <c r="E9007"/>
      <c r="F9007"/>
      <c r="G9007"/>
      <c r="H9007"/>
      <c r="I9007"/>
      <c r="J9007"/>
      <c r="K9007" s="1"/>
      <c r="L9007" s="2"/>
    </row>
    <row r="9008" spans="1:12" x14ac:dyDescent="0.2">
      <c r="A9008"/>
      <c r="B9008"/>
      <c r="C9008"/>
      <c r="D9008"/>
      <c r="E9008"/>
      <c r="F9008"/>
      <c r="G9008"/>
      <c r="H9008"/>
      <c r="I9008"/>
      <c r="J9008"/>
      <c r="K9008" s="1"/>
      <c r="L9008" s="2"/>
    </row>
    <row r="9009" spans="1:12" x14ac:dyDescent="0.2">
      <c r="A9009"/>
      <c r="B9009"/>
      <c r="C9009"/>
      <c r="D9009"/>
      <c r="E9009"/>
      <c r="F9009"/>
      <c r="G9009"/>
      <c r="H9009"/>
      <c r="I9009"/>
      <c r="J9009"/>
      <c r="K9009" s="1"/>
      <c r="L9009" s="2"/>
    </row>
    <row r="9010" spans="1:12" x14ac:dyDescent="0.2">
      <c r="A9010"/>
      <c r="B9010"/>
      <c r="C9010"/>
      <c r="D9010"/>
      <c r="E9010"/>
      <c r="F9010"/>
      <c r="G9010"/>
      <c r="H9010"/>
      <c r="I9010"/>
      <c r="J9010"/>
      <c r="K9010" s="1"/>
      <c r="L9010" s="2"/>
    </row>
    <row r="9011" spans="1:12" x14ac:dyDescent="0.2">
      <c r="A9011"/>
      <c r="B9011"/>
      <c r="C9011"/>
      <c r="D9011"/>
      <c r="E9011"/>
      <c r="F9011"/>
      <c r="G9011"/>
      <c r="H9011"/>
      <c r="I9011"/>
      <c r="J9011"/>
      <c r="K9011" s="1"/>
      <c r="L9011" s="2"/>
    </row>
    <row r="9012" spans="1:12" x14ac:dyDescent="0.2">
      <c r="A9012"/>
      <c r="B9012"/>
      <c r="C9012"/>
      <c r="D9012"/>
      <c r="E9012"/>
      <c r="F9012"/>
      <c r="G9012"/>
      <c r="H9012"/>
      <c r="I9012"/>
      <c r="J9012"/>
      <c r="K9012" s="1"/>
      <c r="L9012" s="2"/>
    </row>
    <row r="9013" spans="1:12" x14ac:dyDescent="0.2">
      <c r="A9013"/>
      <c r="B9013"/>
      <c r="C9013"/>
      <c r="D9013"/>
      <c r="E9013"/>
      <c r="F9013"/>
      <c r="G9013"/>
      <c r="H9013"/>
      <c r="I9013"/>
      <c r="J9013"/>
      <c r="K9013" s="1"/>
      <c r="L9013" s="2"/>
    </row>
    <row r="9014" spans="1:12" x14ac:dyDescent="0.2">
      <c r="A9014"/>
      <c r="B9014"/>
      <c r="C9014"/>
      <c r="D9014"/>
      <c r="E9014"/>
      <c r="F9014"/>
      <c r="G9014"/>
      <c r="H9014"/>
      <c r="I9014"/>
      <c r="J9014"/>
      <c r="K9014" s="1"/>
      <c r="L9014" s="2"/>
    </row>
    <row r="9015" spans="1:12" x14ac:dyDescent="0.2">
      <c r="A9015"/>
      <c r="B9015"/>
      <c r="C9015"/>
      <c r="D9015"/>
      <c r="E9015"/>
      <c r="F9015"/>
      <c r="G9015"/>
      <c r="H9015"/>
      <c r="I9015"/>
      <c r="J9015"/>
      <c r="K9015" s="1"/>
      <c r="L9015" s="2"/>
    </row>
    <row r="9016" spans="1:12" x14ac:dyDescent="0.2">
      <c r="A9016"/>
      <c r="B9016"/>
      <c r="C9016"/>
      <c r="D9016"/>
      <c r="E9016"/>
      <c r="F9016"/>
      <c r="G9016"/>
      <c r="H9016"/>
      <c r="I9016"/>
      <c r="J9016"/>
      <c r="K9016" s="1"/>
      <c r="L9016" s="2"/>
    </row>
    <row r="9017" spans="1:12" x14ac:dyDescent="0.2">
      <c r="A9017"/>
      <c r="B9017"/>
      <c r="C9017"/>
      <c r="D9017"/>
      <c r="E9017"/>
      <c r="F9017"/>
      <c r="G9017"/>
      <c r="H9017"/>
      <c r="I9017"/>
      <c r="J9017"/>
      <c r="K9017" s="1"/>
      <c r="L9017" s="2"/>
    </row>
    <row r="9018" spans="1:12" x14ac:dyDescent="0.2">
      <c r="A9018"/>
      <c r="B9018"/>
      <c r="C9018"/>
      <c r="D9018"/>
      <c r="E9018"/>
      <c r="F9018"/>
      <c r="G9018"/>
      <c r="H9018"/>
      <c r="I9018"/>
      <c r="J9018"/>
      <c r="K9018" s="1"/>
      <c r="L9018" s="2"/>
    </row>
    <row r="9019" spans="1:12" x14ac:dyDescent="0.2">
      <c r="A9019"/>
      <c r="B9019"/>
      <c r="C9019"/>
      <c r="D9019"/>
      <c r="E9019"/>
      <c r="F9019"/>
      <c r="G9019"/>
      <c r="H9019"/>
      <c r="I9019"/>
      <c r="J9019"/>
      <c r="K9019" s="1"/>
      <c r="L9019" s="2"/>
    </row>
    <row r="9020" spans="1:12" x14ac:dyDescent="0.2">
      <c r="A9020"/>
      <c r="B9020"/>
      <c r="C9020"/>
      <c r="D9020"/>
      <c r="E9020"/>
      <c r="F9020"/>
      <c r="G9020"/>
      <c r="H9020"/>
      <c r="I9020"/>
      <c r="J9020"/>
      <c r="K9020" s="1"/>
      <c r="L9020" s="2"/>
    </row>
    <row r="9021" spans="1:12" x14ac:dyDescent="0.2">
      <c r="A9021"/>
      <c r="B9021"/>
      <c r="C9021"/>
      <c r="D9021"/>
      <c r="E9021"/>
      <c r="F9021"/>
      <c r="G9021"/>
      <c r="H9021"/>
      <c r="I9021"/>
      <c r="J9021"/>
      <c r="K9021" s="1"/>
      <c r="L9021" s="2"/>
    </row>
    <row r="9022" spans="1:12" x14ac:dyDescent="0.2">
      <c r="A9022"/>
      <c r="B9022"/>
      <c r="C9022"/>
      <c r="D9022"/>
      <c r="E9022"/>
      <c r="F9022"/>
      <c r="G9022"/>
      <c r="H9022"/>
      <c r="I9022"/>
      <c r="J9022"/>
      <c r="K9022" s="1"/>
      <c r="L9022" s="2"/>
    </row>
    <row r="9023" spans="1:12" x14ac:dyDescent="0.2">
      <c r="A9023"/>
      <c r="B9023"/>
      <c r="C9023"/>
      <c r="D9023"/>
      <c r="E9023"/>
      <c r="F9023"/>
      <c r="G9023"/>
      <c r="H9023"/>
      <c r="I9023"/>
      <c r="J9023"/>
      <c r="K9023" s="1"/>
      <c r="L9023" s="2"/>
    </row>
    <row r="9024" spans="1:12" x14ac:dyDescent="0.2">
      <c r="A9024"/>
      <c r="B9024"/>
      <c r="C9024"/>
      <c r="D9024"/>
      <c r="E9024"/>
      <c r="F9024"/>
      <c r="G9024"/>
      <c r="H9024"/>
      <c r="I9024"/>
      <c r="J9024"/>
      <c r="K9024" s="1"/>
      <c r="L9024" s="2"/>
    </row>
    <row r="9025" spans="1:12" x14ac:dyDescent="0.2">
      <c r="A9025"/>
      <c r="B9025"/>
      <c r="C9025"/>
      <c r="D9025"/>
      <c r="E9025"/>
      <c r="F9025"/>
      <c r="G9025"/>
      <c r="H9025"/>
      <c r="I9025"/>
      <c r="J9025"/>
      <c r="K9025" s="1"/>
      <c r="L9025" s="2"/>
    </row>
    <row r="9026" spans="1:12" x14ac:dyDescent="0.2">
      <c r="A9026"/>
      <c r="B9026"/>
      <c r="C9026"/>
      <c r="D9026"/>
      <c r="E9026"/>
      <c r="F9026"/>
      <c r="G9026"/>
      <c r="H9026"/>
      <c r="I9026"/>
      <c r="J9026"/>
      <c r="K9026" s="1"/>
      <c r="L9026" s="2"/>
    </row>
    <row r="9027" spans="1:12" x14ac:dyDescent="0.2">
      <c r="A9027"/>
      <c r="B9027"/>
      <c r="C9027"/>
      <c r="D9027"/>
      <c r="E9027"/>
      <c r="F9027"/>
      <c r="G9027"/>
      <c r="H9027"/>
      <c r="I9027"/>
      <c r="J9027"/>
      <c r="K9027" s="1"/>
      <c r="L9027" s="2"/>
    </row>
    <row r="9028" spans="1:12" x14ac:dyDescent="0.2">
      <c r="A9028"/>
      <c r="B9028"/>
      <c r="C9028"/>
      <c r="D9028"/>
      <c r="E9028"/>
      <c r="F9028"/>
      <c r="G9028"/>
      <c r="H9028"/>
      <c r="I9028"/>
      <c r="J9028"/>
      <c r="K9028" s="1"/>
      <c r="L9028" s="2"/>
    </row>
    <row r="9029" spans="1:12" x14ac:dyDescent="0.2">
      <c r="A9029"/>
      <c r="B9029"/>
      <c r="C9029"/>
      <c r="D9029"/>
      <c r="E9029"/>
      <c r="F9029"/>
      <c r="G9029"/>
      <c r="H9029"/>
      <c r="I9029"/>
      <c r="J9029"/>
      <c r="K9029" s="1"/>
      <c r="L9029" s="2"/>
    </row>
    <row r="9030" spans="1:12" x14ac:dyDescent="0.2">
      <c r="A9030"/>
      <c r="B9030"/>
      <c r="C9030"/>
      <c r="D9030"/>
      <c r="E9030"/>
      <c r="F9030"/>
      <c r="G9030"/>
      <c r="H9030"/>
      <c r="I9030"/>
      <c r="J9030"/>
      <c r="K9030" s="1"/>
      <c r="L9030" s="2"/>
    </row>
    <row r="9031" spans="1:12" x14ac:dyDescent="0.2">
      <c r="A9031"/>
      <c r="B9031"/>
      <c r="C9031"/>
      <c r="D9031"/>
      <c r="E9031"/>
      <c r="F9031"/>
      <c r="G9031"/>
      <c r="H9031"/>
      <c r="I9031"/>
      <c r="J9031"/>
      <c r="K9031" s="1"/>
      <c r="L9031" s="2"/>
    </row>
    <row r="9032" spans="1:12" x14ac:dyDescent="0.2">
      <c r="A9032"/>
      <c r="B9032"/>
      <c r="C9032"/>
      <c r="D9032"/>
      <c r="E9032"/>
      <c r="F9032"/>
      <c r="G9032"/>
      <c r="H9032"/>
      <c r="I9032"/>
      <c r="J9032"/>
      <c r="K9032" s="1"/>
      <c r="L9032" s="2"/>
    </row>
    <row r="9033" spans="1:12" x14ac:dyDescent="0.2">
      <c r="A9033"/>
      <c r="B9033"/>
      <c r="C9033"/>
      <c r="D9033"/>
      <c r="E9033"/>
      <c r="F9033"/>
      <c r="G9033"/>
      <c r="H9033"/>
      <c r="I9033"/>
      <c r="J9033"/>
      <c r="K9033" s="1"/>
      <c r="L9033" s="2"/>
    </row>
    <row r="9034" spans="1:12" x14ac:dyDescent="0.2">
      <c r="A9034"/>
      <c r="B9034"/>
      <c r="C9034"/>
      <c r="D9034"/>
      <c r="E9034"/>
      <c r="F9034"/>
      <c r="G9034"/>
      <c r="H9034"/>
      <c r="I9034"/>
      <c r="J9034"/>
      <c r="K9034" s="1"/>
      <c r="L9034" s="2"/>
    </row>
    <row r="9035" spans="1:12" x14ac:dyDescent="0.2">
      <c r="A9035"/>
      <c r="B9035"/>
      <c r="C9035"/>
      <c r="D9035"/>
      <c r="E9035"/>
      <c r="F9035"/>
      <c r="G9035"/>
      <c r="H9035"/>
      <c r="I9035"/>
      <c r="J9035"/>
      <c r="K9035" s="1"/>
      <c r="L9035" s="2"/>
    </row>
    <row r="9036" spans="1:12" x14ac:dyDescent="0.2">
      <c r="A9036"/>
      <c r="B9036"/>
      <c r="C9036"/>
      <c r="D9036"/>
      <c r="E9036"/>
      <c r="F9036"/>
      <c r="G9036"/>
      <c r="H9036"/>
      <c r="I9036"/>
      <c r="J9036"/>
      <c r="K9036" s="1"/>
      <c r="L9036" s="2"/>
    </row>
    <row r="9037" spans="1:12" x14ac:dyDescent="0.2">
      <c r="A9037"/>
      <c r="B9037"/>
      <c r="C9037"/>
      <c r="D9037"/>
      <c r="E9037"/>
      <c r="F9037"/>
      <c r="G9037"/>
      <c r="H9037"/>
      <c r="I9037"/>
      <c r="J9037"/>
      <c r="K9037" s="1"/>
      <c r="L9037" s="2"/>
    </row>
    <row r="9038" spans="1:12" x14ac:dyDescent="0.2">
      <c r="A9038"/>
      <c r="B9038"/>
      <c r="C9038"/>
      <c r="D9038"/>
      <c r="E9038"/>
      <c r="F9038"/>
      <c r="G9038"/>
      <c r="H9038"/>
      <c r="I9038"/>
      <c r="J9038"/>
      <c r="K9038" s="1"/>
      <c r="L9038" s="2"/>
    </row>
    <row r="9039" spans="1:12" x14ac:dyDescent="0.2">
      <c r="A9039"/>
      <c r="B9039"/>
      <c r="C9039"/>
      <c r="D9039"/>
      <c r="E9039"/>
      <c r="F9039"/>
      <c r="G9039"/>
      <c r="H9039"/>
      <c r="I9039"/>
      <c r="J9039"/>
      <c r="K9039" s="1"/>
      <c r="L9039" s="2"/>
    </row>
    <row r="9040" spans="1:12" x14ac:dyDescent="0.2">
      <c r="A9040"/>
      <c r="B9040"/>
      <c r="C9040"/>
      <c r="D9040"/>
      <c r="E9040"/>
      <c r="F9040"/>
      <c r="G9040"/>
      <c r="H9040"/>
      <c r="I9040"/>
      <c r="J9040"/>
      <c r="K9040" s="1"/>
      <c r="L9040" s="2"/>
    </row>
    <row r="9041" spans="1:12" x14ac:dyDescent="0.2">
      <c r="A9041"/>
      <c r="B9041"/>
      <c r="C9041"/>
      <c r="D9041"/>
      <c r="E9041"/>
      <c r="F9041"/>
      <c r="G9041"/>
      <c r="H9041"/>
      <c r="I9041"/>
      <c r="J9041"/>
      <c r="K9041" s="1"/>
      <c r="L9041" s="2"/>
    </row>
    <row r="9042" spans="1:12" x14ac:dyDescent="0.2">
      <c r="A9042"/>
      <c r="B9042"/>
      <c r="C9042"/>
      <c r="D9042"/>
      <c r="E9042"/>
      <c r="F9042"/>
      <c r="G9042"/>
      <c r="H9042"/>
      <c r="I9042"/>
      <c r="J9042"/>
      <c r="K9042" s="1"/>
      <c r="L9042" s="2"/>
    </row>
    <row r="9043" spans="1:12" x14ac:dyDescent="0.2">
      <c r="A9043"/>
      <c r="B9043"/>
      <c r="C9043"/>
      <c r="D9043"/>
      <c r="E9043"/>
      <c r="F9043"/>
      <c r="G9043"/>
      <c r="H9043"/>
      <c r="I9043"/>
      <c r="J9043"/>
      <c r="K9043" s="1"/>
      <c r="L9043" s="2"/>
    </row>
    <row r="9044" spans="1:12" x14ac:dyDescent="0.2">
      <c r="A9044"/>
      <c r="B9044"/>
      <c r="C9044"/>
      <c r="D9044"/>
      <c r="E9044"/>
      <c r="F9044"/>
      <c r="G9044"/>
      <c r="H9044"/>
      <c r="I9044"/>
      <c r="J9044"/>
      <c r="K9044" s="1"/>
      <c r="L9044" s="2"/>
    </row>
    <row r="9045" spans="1:12" x14ac:dyDescent="0.2">
      <c r="A9045"/>
      <c r="B9045"/>
      <c r="C9045"/>
      <c r="D9045"/>
      <c r="E9045"/>
      <c r="F9045"/>
      <c r="G9045"/>
      <c r="H9045"/>
      <c r="I9045"/>
      <c r="J9045"/>
      <c r="K9045" s="1"/>
      <c r="L9045" s="2"/>
    </row>
    <row r="9046" spans="1:12" x14ac:dyDescent="0.2">
      <c r="A9046"/>
      <c r="B9046"/>
      <c r="C9046"/>
      <c r="D9046"/>
      <c r="E9046"/>
      <c r="F9046"/>
      <c r="G9046"/>
      <c r="H9046"/>
      <c r="I9046"/>
      <c r="J9046"/>
      <c r="K9046" s="1"/>
      <c r="L9046" s="2"/>
    </row>
    <row r="9047" spans="1:12" x14ac:dyDescent="0.2">
      <c r="A9047"/>
      <c r="B9047"/>
      <c r="C9047"/>
      <c r="D9047"/>
      <c r="E9047"/>
      <c r="F9047"/>
      <c r="G9047"/>
      <c r="H9047"/>
      <c r="I9047"/>
      <c r="J9047"/>
      <c r="K9047" s="1"/>
      <c r="L9047" s="2"/>
    </row>
    <row r="9048" spans="1:12" x14ac:dyDescent="0.2">
      <c r="A9048"/>
      <c r="B9048"/>
      <c r="C9048"/>
      <c r="D9048"/>
      <c r="E9048"/>
      <c r="F9048"/>
      <c r="G9048"/>
      <c r="H9048"/>
      <c r="I9048"/>
      <c r="J9048"/>
      <c r="K9048" s="1"/>
      <c r="L9048" s="2"/>
    </row>
    <row r="9049" spans="1:12" x14ac:dyDescent="0.2">
      <c r="A9049"/>
      <c r="B9049"/>
      <c r="C9049"/>
      <c r="D9049"/>
      <c r="E9049"/>
      <c r="F9049"/>
      <c r="G9049"/>
      <c r="H9049"/>
      <c r="I9049"/>
      <c r="J9049"/>
      <c r="K9049" s="1"/>
      <c r="L9049" s="2"/>
    </row>
    <row r="9050" spans="1:12" x14ac:dyDescent="0.2">
      <c r="A9050"/>
      <c r="B9050"/>
      <c r="C9050"/>
      <c r="D9050"/>
      <c r="E9050"/>
      <c r="F9050"/>
      <c r="G9050"/>
      <c r="H9050"/>
      <c r="I9050"/>
      <c r="J9050"/>
      <c r="K9050" s="1"/>
      <c r="L9050" s="2"/>
    </row>
    <row r="9051" spans="1:12" x14ac:dyDescent="0.2">
      <c r="A9051"/>
      <c r="B9051"/>
      <c r="C9051"/>
      <c r="D9051"/>
      <c r="E9051"/>
      <c r="F9051"/>
      <c r="G9051"/>
      <c r="H9051"/>
      <c r="I9051"/>
      <c r="J9051"/>
      <c r="K9051" s="1"/>
      <c r="L9051" s="2"/>
    </row>
    <row r="9052" spans="1:12" x14ac:dyDescent="0.2">
      <c r="A9052"/>
      <c r="B9052"/>
      <c r="C9052"/>
      <c r="D9052"/>
      <c r="E9052"/>
      <c r="F9052"/>
      <c r="G9052"/>
      <c r="H9052"/>
      <c r="I9052"/>
      <c r="J9052"/>
      <c r="K9052" s="1"/>
      <c r="L9052" s="2"/>
    </row>
    <row r="9053" spans="1:12" x14ac:dyDescent="0.2">
      <c r="A9053"/>
      <c r="B9053"/>
      <c r="C9053"/>
      <c r="D9053"/>
      <c r="E9053"/>
      <c r="F9053"/>
      <c r="G9053"/>
      <c r="H9053"/>
      <c r="I9053"/>
      <c r="J9053"/>
      <c r="K9053" s="1"/>
      <c r="L9053" s="2"/>
    </row>
    <row r="9054" spans="1:12" x14ac:dyDescent="0.2">
      <c r="A9054"/>
      <c r="B9054"/>
      <c r="C9054"/>
      <c r="D9054"/>
      <c r="E9054"/>
      <c r="F9054"/>
      <c r="G9054"/>
      <c r="H9054"/>
      <c r="I9054"/>
      <c r="J9054"/>
      <c r="K9054" s="1"/>
      <c r="L9054" s="2"/>
    </row>
    <row r="9055" spans="1:12" x14ac:dyDescent="0.2">
      <c r="A9055"/>
      <c r="B9055"/>
      <c r="C9055"/>
      <c r="D9055"/>
      <c r="E9055"/>
      <c r="F9055"/>
      <c r="G9055"/>
      <c r="H9055"/>
      <c r="I9055"/>
      <c r="J9055"/>
      <c r="K9055" s="1"/>
      <c r="L9055" s="2"/>
    </row>
    <row r="9056" spans="1:12" x14ac:dyDescent="0.2">
      <c r="A9056"/>
      <c r="B9056"/>
      <c r="C9056"/>
      <c r="D9056"/>
      <c r="E9056"/>
      <c r="F9056"/>
      <c r="G9056"/>
      <c r="H9056"/>
      <c r="I9056"/>
      <c r="J9056"/>
      <c r="K9056" s="1"/>
      <c r="L9056" s="2"/>
    </row>
    <row r="9057" spans="1:12" x14ac:dyDescent="0.2">
      <c r="A9057"/>
      <c r="B9057"/>
      <c r="C9057"/>
      <c r="D9057"/>
      <c r="E9057"/>
      <c r="F9057"/>
      <c r="G9057"/>
      <c r="H9057"/>
      <c r="I9057"/>
      <c r="J9057"/>
      <c r="K9057" s="1"/>
      <c r="L9057" s="2"/>
    </row>
    <row r="9058" spans="1:12" x14ac:dyDescent="0.2">
      <c r="A9058"/>
      <c r="B9058"/>
      <c r="C9058"/>
      <c r="D9058"/>
      <c r="E9058"/>
      <c r="F9058"/>
      <c r="G9058"/>
      <c r="H9058"/>
      <c r="I9058"/>
      <c r="J9058"/>
      <c r="K9058" s="1"/>
      <c r="L9058" s="2"/>
    </row>
    <row r="9059" spans="1:12" x14ac:dyDescent="0.2">
      <c r="A9059"/>
      <c r="B9059"/>
      <c r="C9059"/>
      <c r="D9059"/>
      <c r="E9059"/>
      <c r="F9059"/>
      <c r="G9059"/>
      <c r="H9059"/>
      <c r="I9059"/>
      <c r="J9059"/>
      <c r="K9059" s="1"/>
      <c r="L9059" s="2"/>
    </row>
    <row r="9060" spans="1:12" x14ac:dyDescent="0.2">
      <c r="A9060"/>
      <c r="B9060"/>
      <c r="C9060"/>
      <c r="D9060"/>
      <c r="E9060"/>
      <c r="F9060"/>
      <c r="G9060"/>
      <c r="H9060"/>
      <c r="I9060"/>
      <c r="J9060"/>
      <c r="K9060" s="1"/>
      <c r="L9060" s="2"/>
    </row>
    <row r="9061" spans="1:12" x14ac:dyDescent="0.2">
      <c r="A9061"/>
      <c r="B9061"/>
      <c r="C9061"/>
      <c r="D9061"/>
      <c r="E9061"/>
      <c r="F9061"/>
      <c r="G9061"/>
      <c r="H9061"/>
      <c r="I9061"/>
      <c r="J9061"/>
      <c r="K9061" s="1"/>
      <c r="L9061" s="2"/>
    </row>
    <row r="9062" spans="1:12" x14ac:dyDescent="0.2">
      <c r="A9062"/>
      <c r="B9062"/>
      <c r="C9062"/>
      <c r="D9062"/>
      <c r="E9062"/>
      <c r="F9062"/>
      <c r="G9062"/>
      <c r="H9062"/>
      <c r="I9062"/>
      <c r="J9062"/>
      <c r="K9062" s="1"/>
      <c r="L9062" s="2"/>
    </row>
    <row r="9063" spans="1:12" x14ac:dyDescent="0.2">
      <c r="A9063"/>
      <c r="B9063"/>
      <c r="C9063"/>
      <c r="D9063"/>
      <c r="E9063"/>
      <c r="F9063"/>
      <c r="G9063"/>
      <c r="H9063"/>
      <c r="I9063"/>
      <c r="J9063"/>
      <c r="K9063" s="1"/>
      <c r="L9063" s="2"/>
    </row>
    <row r="9064" spans="1:12" x14ac:dyDescent="0.2">
      <c r="A9064"/>
      <c r="B9064"/>
      <c r="C9064"/>
      <c r="D9064"/>
      <c r="E9064"/>
      <c r="F9064"/>
      <c r="G9064"/>
      <c r="H9064"/>
      <c r="I9064"/>
      <c r="J9064"/>
      <c r="K9064" s="1"/>
      <c r="L9064" s="2"/>
    </row>
    <row r="9065" spans="1:12" x14ac:dyDescent="0.2">
      <c r="A9065"/>
      <c r="B9065"/>
      <c r="C9065"/>
      <c r="D9065"/>
      <c r="E9065"/>
      <c r="F9065"/>
      <c r="G9065"/>
      <c r="H9065"/>
      <c r="I9065"/>
      <c r="J9065"/>
      <c r="K9065" s="1"/>
      <c r="L9065" s="2"/>
    </row>
    <row r="9066" spans="1:12" x14ac:dyDescent="0.2">
      <c r="A9066"/>
      <c r="B9066"/>
      <c r="C9066"/>
      <c r="D9066"/>
      <c r="E9066"/>
      <c r="F9066"/>
      <c r="G9066"/>
      <c r="H9066"/>
      <c r="I9066"/>
      <c r="J9066"/>
      <c r="K9066" s="1"/>
      <c r="L9066" s="2"/>
    </row>
    <row r="9067" spans="1:12" x14ac:dyDescent="0.2">
      <c r="A9067"/>
      <c r="B9067"/>
      <c r="C9067"/>
      <c r="D9067"/>
      <c r="E9067"/>
      <c r="F9067"/>
      <c r="G9067"/>
      <c r="H9067"/>
      <c r="I9067"/>
      <c r="J9067"/>
      <c r="K9067" s="1"/>
      <c r="L9067" s="2"/>
    </row>
    <row r="9068" spans="1:12" x14ac:dyDescent="0.2">
      <c r="A9068"/>
      <c r="B9068"/>
      <c r="C9068"/>
      <c r="D9068"/>
      <c r="E9068"/>
      <c r="F9068"/>
      <c r="G9068"/>
      <c r="H9068"/>
      <c r="I9068"/>
      <c r="J9068"/>
      <c r="K9068" s="1"/>
      <c r="L9068" s="2"/>
    </row>
    <row r="9069" spans="1:12" x14ac:dyDescent="0.2">
      <c r="A9069"/>
      <c r="B9069"/>
      <c r="C9069"/>
      <c r="D9069"/>
      <c r="E9069"/>
      <c r="F9069"/>
      <c r="G9069"/>
      <c r="H9069"/>
      <c r="I9069"/>
      <c r="J9069"/>
      <c r="K9069" s="1"/>
      <c r="L9069" s="2"/>
    </row>
    <row r="9070" spans="1:12" x14ac:dyDescent="0.2">
      <c r="A9070"/>
      <c r="B9070"/>
      <c r="C9070"/>
      <c r="D9070"/>
      <c r="E9070"/>
      <c r="F9070"/>
      <c r="G9070"/>
      <c r="H9070"/>
      <c r="I9070"/>
      <c r="J9070"/>
      <c r="K9070" s="1"/>
      <c r="L9070" s="2"/>
    </row>
    <row r="9071" spans="1:12" x14ac:dyDescent="0.2">
      <c r="A9071"/>
      <c r="B9071"/>
      <c r="C9071"/>
      <c r="D9071"/>
      <c r="E9071"/>
      <c r="F9071"/>
      <c r="G9071"/>
      <c r="H9071"/>
      <c r="I9071"/>
      <c r="J9071"/>
      <c r="K9071" s="1"/>
      <c r="L9071" s="2"/>
    </row>
    <row r="9072" spans="1:12" x14ac:dyDescent="0.2">
      <c r="A9072"/>
      <c r="B9072"/>
      <c r="C9072"/>
      <c r="D9072"/>
      <c r="E9072"/>
      <c r="F9072"/>
      <c r="G9072"/>
      <c r="H9072"/>
      <c r="I9072"/>
      <c r="J9072"/>
      <c r="K9072" s="1"/>
      <c r="L9072" s="2"/>
    </row>
    <row r="9073" spans="1:12" x14ac:dyDescent="0.2">
      <c r="A9073"/>
      <c r="B9073"/>
      <c r="C9073"/>
      <c r="D9073"/>
      <c r="E9073"/>
      <c r="F9073"/>
      <c r="G9073"/>
      <c r="H9073"/>
      <c r="I9073"/>
      <c r="J9073"/>
      <c r="K9073" s="1"/>
      <c r="L9073" s="2"/>
    </row>
    <row r="9074" spans="1:12" x14ac:dyDescent="0.2">
      <c r="A9074"/>
      <c r="B9074"/>
      <c r="C9074"/>
      <c r="D9074"/>
      <c r="E9074"/>
      <c r="F9074"/>
      <c r="G9074"/>
      <c r="H9074"/>
      <c r="I9074"/>
      <c r="J9074"/>
      <c r="K9074" s="1"/>
      <c r="L9074" s="2"/>
    </row>
    <row r="9075" spans="1:12" x14ac:dyDescent="0.2">
      <c r="A9075"/>
      <c r="B9075"/>
      <c r="C9075"/>
      <c r="D9075"/>
      <c r="E9075"/>
      <c r="F9075"/>
      <c r="G9075"/>
      <c r="H9075"/>
      <c r="I9075"/>
      <c r="J9075"/>
      <c r="K9075" s="1"/>
      <c r="L9075" s="2"/>
    </row>
    <row r="9076" spans="1:12" x14ac:dyDescent="0.2">
      <c r="A9076"/>
      <c r="B9076"/>
      <c r="C9076"/>
      <c r="D9076"/>
      <c r="E9076"/>
      <c r="F9076"/>
      <c r="G9076"/>
      <c r="H9076"/>
      <c r="I9076"/>
      <c r="J9076"/>
      <c r="K9076" s="1"/>
      <c r="L9076" s="2"/>
    </row>
    <row r="9077" spans="1:12" x14ac:dyDescent="0.2">
      <c r="A9077"/>
      <c r="B9077"/>
      <c r="C9077"/>
      <c r="D9077"/>
      <c r="E9077"/>
      <c r="F9077"/>
      <c r="G9077"/>
      <c r="H9077"/>
      <c r="I9077"/>
      <c r="J9077"/>
      <c r="K9077" s="1"/>
      <c r="L9077" s="2"/>
    </row>
    <row r="9078" spans="1:12" x14ac:dyDescent="0.2">
      <c r="A9078"/>
      <c r="B9078"/>
      <c r="C9078"/>
      <c r="D9078"/>
      <c r="E9078"/>
      <c r="F9078"/>
      <c r="G9078"/>
      <c r="H9078"/>
      <c r="I9078"/>
      <c r="J9078"/>
      <c r="K9078" s="1"/>
      <c r="L9078" s="2"/>
    </row>
    <row r="9079" spans="1:12" x14ac:dyDescent="0.2">
      <c r="A9079"/>
      <c r="B9079"/>
      <c r="C9079"/>
      <c r="D9079"/>
      <c r="E9079"/>
      <c r="F9079"/>
      <c r="G9079"/>
      <c r="H9079"/>
      <c r="I9079"/>
      <c r="J9079"/>
      <c r="K9079" s="1"/>
      <c r="L9079" s="2"/>
    </row>
    <row r="9080" spans="1:12" x14ac:dyDescent="0.2">
      <c r="A9080"/>
      <c r="B9080"/>
      <c r="C9080"/>
      <c r="D9080"/>
      <c r="E9080"/>
      <c r="F9080"/>
      <c r="G9080"/>
      <c r="H9080"/>
      <c r="I9080"/>
      <c r="J9080"/>
      <c r="K9080" s="1"/>
      <c r="L9080" s="2"/>
    </row>
    <row r="9081" spans="1:12" x14ac:dyDescent="0.2">
      <c r="A9081"/>
      <c r="B9081"/>
      <c r="C9081"/>
      <c r="D9081"/>
      <c r="E9081"/>
      <c r="F9081"/>
      <c r="G9081"/>
      <c r="H9081"/>
      <c r="I9081"/>
      <c r="J9081"/>
      <c r="K9081" s="1"/>
      <c r="L9081" s="2"/>
    </row>
    <row r="9082" spans="1:12" x14ac:dyDescent="0.2">
      <c r="A9082"/>
      <c r="B9082"/>
      <c r="C9082"/>
      <c r="D9082"/>
      <c r="E9082"/>
      <c r="F9082"/>
      <c r="G9082"/>
      <c r="H9082"/>
      <c r="I9082"/>
      <c r="J9082"/>
      <c r="K9082" s="1"/>
      <c r="L9082" s="2"/>
    </row>
    <row r="9083" spans="1:12" x14ac:dyDescent="0.2">
      <c r="A9083"/>
      <c r="B9083"/>
      <c r="C9083"/>
      <c r="D9083"/>
      <c r="E9083"/>
      <c r="F9083"/>
      <c r="G9083"/>
      <c r="H9083"/>
      <c r="I9083"/>
      <c r="J9083"/>
      <c r="K9083" s="1"/>
      <c r="L9083" s="2"/>
    </row>
    <row r="9084" spans="1:12" x14ac:dyDescent="0.2">
      <c r="A9084"/>
      <c r="B9084"/>
      <c r="C9084"/>
      <c r="D9084"/>
      <c r="E9084"/>
      <c r="F9084"/>
      <c r="G9084"/>
      <c r="H9084"/>
      <c r="I9084"/>
      <c r="J9084"/>
      <c r="K9084" s="1"/>
      <c r="L9084" s="2"/>
    </row>
    <row r="9085" spans="1:12" x14ac:dyDescent="0.2">
      <c r="A9085"/>
      <c r="B9085"/>
      <c r="C9085"/>
      <c r="D9085"/>
      <c r="E9085"/>
      <c r="F9085"/>
      <c r="G9085"/>
      <c r="H9085"/>
      <c r="I9085"/>
      <c r="J9085"/>
      <c r="K9085" s="1"/>
      <c r="L9085" s="2"/>
    </row>
    <row r="9086" spans="1:12" x14ac:dyDescent="0.2">
      <c r="A9086"/>
      <c r="B9086"/>
      <c r="C9086"/>
      <c r="D9086"/>
      <c r="E9086"/>
      <c r="F9086"/>
      <c r="G9086"/>
      <c r="H9086"/>
      <c r="I9086"/>
      <c r="J9086"/>
      <c r="K9086" s="1"/>
      <c r="L9086" s="2"/>
    </row>
    <row r="9087" spans="1:12" x14ac:dyDescent="0.2">
      <c r="A9087"/>
      <c r="B9087"/>
      <c r="C9087"/>
      <c r="D9087"/>
      <c r="E9087"/>
      <c r="F9087"/>
      <c r="G9087"/>
      <c r="H9087"/>
      <c r="I9087"/>
      <c r="J9087"/>
      <c r="K9087" s="1"/>
      <c r="L9087" s="2"/>
    </row>
    <row r="9088" spans="1:12" x14ac:dyDescent="0.2">
      <c r="A9088"/>
      <c r="B9088"/>
      <c r="C9088"/>
      <c r="D9088"/>
      <c r="E9088"/>
      <c r="F9088"/>
      <c r="G9088"/>
      <c r="H9088"/>
      <c r="I9088"/>
      <c r="J9088"/>
      <c r="K9088" s="1"/>
      <c r="L9088" s="2"/>
    </row>
    <row r="9089" spans="1:12" x14ac:dyDescent="0.2">
      <c r="A9089"/>
      <c r="B9089"/>
      <c r="C9089"/>
      <c r="D9089"/>
      <c r="E9089"/>
      <c r="F9089"/>
      <c r="G9089"/>
      <c r="H9089"/>
      <c r="I9089"/>
      <c r="J9089"/>
      <c r="K9089" s="1"/>
      <c r="L9089" s="2"/>
    </row>
    <row r="9090" spans="1:12" x14ac:dyDescent="0.2">
      <c r="A9090"/>
      <c r="B9090"/>
      <c r="C9090"/>
      <c r="D9090"/>
      <c r="E9090"/>
      <c r="F9090"/>
      <c r="G9090"/>
      <c r="H9090"/>
      <c r="I9090"/>
      <c r="J9090"/>
      <c r="K9090" s="1"/>
      <c r="L9090" s="2"/>
    </row>
    <row r="9091" spans="1:12" x14ac:dyDescent="0.2">
      <c r="A9091"/>
      <c r="B9091"/>
      <c r="C9091"/>
      <c r="D9091"/>
      <c r="E9091"/>
      <c r="F9091"/>
      <c r="G9091"/>
      <c r="H9091"/>
      <c r="I9091"/>
      <c r="J9091"/>
      <c r="K9091" s="1"/>
      <c r="L9091" s="2"/>
    </row>
    <row r="9092" spans="1:12" x14ac:dyDescent="0.2">
      <c r="A9092"/>
      <c r="B9092"/>
      <c r="C9092"/>
      <c r="D9092"/>
      <c r="E9092"/>
      <c r="F9092"/>
      <c r="G9092"/>
      <c r="H9092"/>
      <c r="I9092"/>
      <c r="J9092"/>
      <c r="K9092" s="1"/>
      <c r="L9092" s="2"/>
    </row>
    <row r="9093" spans="1:12" x14ac:dyDescent="0.2">
      <c r="A9093"/>
      <c r="B9093"/>
      <c r="C9093"/>
      <c r="D9093"/>
      <c r="E9093"/>
      <c r="F9093"/>
      <c r="G9093"/>
      <c r="H9093"/>
      <c r="I9093"/>
      <c r="J9093"/>
      <c r="K9093" s="1"/>
      <c r="L9093" s="2"/>
    </row>
    <row r="9094" spans="1:12" x14ac:dyDescent="0.2">
      <c r="A9094"/>
      <c r="B9094"/>
      <c r="C9094"/>
      <c r="D9094"/>
      <c r="E9094"/>
      <c r="F9094"/>
      <c r="G9094"/>
      <c r="H9094"/>
      <c r="I9094"/>
      <c r="J9094"/>
      <c r="K9094" s="1"/>
      <c r="L9094" s="2"/>
    </row>
    <row r="9095" spans="1:12" x14ac:dyDescent="0.2">
      <c r="A9095"/>
      <c r="B9095"/>
      <c r="C9095"/>
      <c r="D9095"/>
      <c r="E9095"/>
      <c r="F9095"/>
      <c r="G9095"/>
      <c r="H9095"/>
      <c r="I9095"/>
      <c r="J9095"/>
      <c r="K9095" s="1"/>
      <c r="L9095" s="2"/>
    </row>
    <row r="9096" spans="1:12" x14ac:dyDescent="0.2">
      <c r="A9096"/>
      <c r="B9096"/>
      <c r="C9096"/>
      <c r="D9096"/>
      <c r="E9096"/>
      <c r="F9096"/>
      <c r="G9096"/>
      <c r="H9096"/>
      <c r="I9096"/>
      <c r="J9096"/>
      <c r="K9096" s="1"/>
      <c r="L9096" s="2"/>
    </row>
    <row r="9097" spans="1:12" x14ac:dyDescent="0.2">
      <c r="A9097"/>
      <c r="B9097"/>
      <c r="C9097"/>
      <c r="D9097"/>
      <c r="E9097"/>
      <c r="F9097"/>
      <c r="G9097"/>
      <c r="H9097"/>
      <c r="I9097"/>
      <c r="J9097"/>
      <c r="K9097" s="1"/>
      <c r="L9097" s="2"/>
    </row>
    <row r="9098" spans="1:12" x14ac:dyDescent="0.2">
      <c r="A9098"/>
      <c r="B9098"/>
      <c r="C9098"/>
      <c r="D9098"/>
      <c r="E9098"/>
      <c r="F9098"/>
      <c r="G9098"/>
      <c r="H9098"/>
      <c r="I9098"/>
      <c r="J9098"/>
      <c r="K9098" s="1"/>
      <c r="L9098" s="2"/>
    </row>
    <row r="9099" spans="1:12" x14ac:dyDescent="0.2">
      <c r="A9099"/>
      <c r="B9099"/>
      <c r="C9099"/>
      <c r="D9099"/>
      <c r="E9099"/>
      <c r="F9099"/>
      <c r="G9099"/>
      <c r="H9099"/>
      <c r="I9099"/>
      <c r="J9099"/>
      <c r="K9099" s="1"/>
      <c r="L9099" s="2"/>
    </row>
    <row r="9100" spans="1:12" x14ac:dyDescent="0.2">
      <c r="A9100"/>
      <c r="B9100"/>
      <c r="C9100"/>
      <c r="D9100"/>
      <c r="E9100"/>
      <c r="F9100"/>
      <c r="G9100"/>
      <c r="H9100"/>
      <c r="I9100"/>
      <c r="J9100"/>
      <c r="K9100" s="1"/>
      <c r="L9100" s="2"/>
    </row>
    <row r="9101" spans="1:12" x14ac:dyDescent="0.2">
      <c r="A9101"/>
      <c r="B9101"/>
      <c r="C9101"/>
      <c r="D9101"/>
      <c r="E9101"/>
      <c r="F9101"/>
      <c r="G9101"/>
      <c r="H9101"/>
      <c r="I9101"/>
      <c r="J9101"/>
      <c r="K9101" s="1"/>
      <c r="L9101" s="2"/>
    </row>
    <row r="9102" spans="1:12" x14ac:dyDescent="0.2">
      <c r="A9102"/>
      <c r="B9102"/>
      <c r="C9102"/>
      <c r="D9102"/>
      <c r="E9102"/>
      <c r="F9102"/>
      <c r="G9102"/>
      <c r="H9102"/>
      <c r="I9102"/>
      <c r="J9102"/>
      <c r="K9102" s="1"/>
      <c r="L9102" s="2"/>
    </row>
    <row r="9103" spans="1:12" x14ac:dyDescent="0.2">
      <c r="A9103"/>
      <c r="B9103"/>
      <c r="C9103"/>
      <c r="D9103"/>
      <c r="E9103"/>
      <c r="F9103"/>
      <c r="G9103"/>
      <c r="H9103"/>
      <c r="I9103"/>
      <c r="J9103"/>
      <c r="K9103" s="1"/>
      <c r="L9103" s="2"/>
    </row>
    <row r="9104" spans="1:12" x14ac:dyDescent="0.2">
      <c r="A9104"/>
      <c r="B9104"/>
      <c r="C9104"/>
      <c r="D9104"/>
      <c r="E9104"/>
      <c r="F9104"/>
      <c r="G9104"/>
      <c r="H9104"/>
      <c r="I9104"/>
      <c r="J9104"/>
      <c r="K9104" s="1"/>
      <c r="L9104" s="2"/>
    </row>
    <row r="9105" spans="1:12" x14ac:dyDescent="0.2">
      <c r="A9105"/>
      <c r="B9105"/>
      <c r="C9105"/>
      <c r="D9105"/>
      <c r="E9105"/>
      <c r="F9105"/>
      <c r="G9105"/>
      <c r="H9105"/>
      <c r="I9105"/>
      <c r="J9105"/>
      <c r="K9105" s="1"/>
      <c r="L9105" s="2"/>
    </row>
    <row r="9106" spans="1:12" x14ac:dyDescent="0.2">
      <c r="A9106"/>
      <c r="B9106"/>
      <c r="C9106"/>
      <c r="D9106"/>
      <c r="E9106"/>
      <c r="F9106"/>
      <c r="G9106"/>
      <c r="H9106"/>
      <c r="I9106"/>
      <c r="J9106"/>
      <c r="K9106" s="1"/>
      <c r="L9106" s="2"/>
    </row>
    <row r="9107" spans="1:12" x14ac:dyDescent="0.2">
      <c r="A9107"/>
      <c r="B9107"/>
      <c r="C9107"/>
      <c r="D9107"/>
      <c r="E9107"/>
      <c r="F9107"/>
      <c r="G9107"/>
      <c r="H9107"/>
      <c r="I9107"/>
      <c r="J9107"/>
      <c r="K9107" s="1"/>
      <c r="L9107" s="2"/>
    </row>
    <row r="9108" spans="1:12" x14ac:dyDescent="0.2">
      <c r="A9108"/>
      <c r="B9108"/>
      <c r="C9108"/>
      <c r="D9108"/>
      <c r="E9108"/>
      <c r="F9108"/>
      <c r="G9108"/>
      <c r="H9108"/>
      <c r="I9108"/>
      <c r="J9108"/>
      <c r="K9108" s="1"/>
      <c r="L9108" s="2"/>
    </row>
    <row r="9109" spans="1:12" x14ac:dyDescent="0.2">
      <c r="A9109"/>
      <c r="B9109"/>
      <c r="C9109"/>
      <c r="D9109"/>
      <c r="E9109"/>
      <c r="F9109"/>
      <c r="G9109"/>
      <c r="H9109"/>
      <c r="I9109"/>
      <c r="J9109"/>
      <c r="K9109" s="1"/>
      <c r="L9109" s="2"/>
    </row>
    <row r="9110" spans="1:12" x14ac:dyDescent="0.2">
      <c r="A9110"/>
      <c r="B9110"/>
      <c r="C9110"/>
      <c r="D9110"/>
      <c r="E9110"/>
      <c r="F9110"/>
      <c r="G9110"/>
      <c r="H9110"/>
      <c r="I9110"/>
      <c r="J9110"/>
      <c r="K9110" s="1"/>
      <c r="L9110" s="2"/>
    </row>
    <row r="9111" spans="1:12" x14ac:dyDescent="0.2">
      <c r="A9111"/>
      <c r="B9111"/>
      <c r="C9111"/>
      <c r="D9111"/>
      <c r="E9111"/>
      <c r="F9111"/>
      <c r="G9111"/>
      <c r="H9111"/>
      <c r="I9111"/>
      <c r="J9111"/>
      <c r="K9111" s="1"/>
      <c r="L9111" s="2"/>
    </row>
    <row r="9112" spans="1:12" x14ac:dyDescent="0.2">
      <c r="A9112"/>
      <c r="B9112"/>
      <c r="C9112"/>
      <c r="D9112"/>
      <c r="E9112"/>
      <c r="F9112"/>
      <c r="G9112"/>
      <c r="H9112"/>
      <c r="I9112"/>
      <c r="J9112"/>
      <c r="K9112" s="1"/>
      <c r="L9112" s="2"/>
    </row>
    <row r="9113" spans="1:12" x14ac:dyDescent="0.2">
      <c r="A9113"/>
      <c r="B9113"/>
      <c r="C9113"/>
      <c r="D9113"/>
      <c r="E9113"/>
      <c r="F9113"/>
      <c r="G9113"/>
      <c r="H9113"/>
      <c r="I9113"/>
      <c r="J9113"/>
      <c r="K9113" s="1"/>
      <c r="L9113" s="2"/>
    </row>
    <row r="9114" spans="1:12" x14ac:dyDescent="0.2">
      <c r="A9114"/>
      <c r="B9114"/>
      <c r="C9114"/>
      <c r="D9114"/>
      <c r="E9114"/>
      <c r="F9114"/>
      <c r="G9114"/>
      <c r="H9114"/>
      <c r="I9114"/>
      <c r="J9114"/>
      <c r="K9114" s="1"/>
      <c r="L9114" s="2"/>
    </row>
    <row r="9115" spans="1:12" x14ac:dyDescent="0.2">
      <c r="A9115"/>
      <c r="B9115"/>
      <c r="C9115"/>
      <c r="D9115"/>
      <c r="E9115"/>
      <c r="F9115"/>
      <c r="G9115"/>
      <c r="H9115"/>
      <c r="I9115"/>
      <c r="J9115"/>
      <c r="K9115" s="1"/>
      <c r="L9115" s="2"/>
    </row>
    <row r="9116" spans="1:12" x14ac:dyDescent="0.2">
      <c r="A9116"/>
      <c r="B9116"/>
      <c r="C9116"/>
      <c r="D9116"/>
      <c r="E9116"/>
      <c r="F9116"/>
      <c r="G9116"/>
      <c r="H9116"/>
      <c r="I9116"/>
      <c r="J9116"/>
      <c r="K9116" s="1"/>
      <c r="L9116" s="2"/>
    </row>
    <row r="9117" spans="1:12" x14ac:dyDescent="0.2">
      <c r="A9117"/>
      <c r="B9117"/>
      <c r="C9117"/>
      <c r="D9117"/>
      <c r="E9117"/>
      <c r="F9117"/>
      <c r="G9117"/>
      <c r="H9117"/>
      <c r="I9117"/>
      <c r="J9117"/>
      <c r="K9117" s="1"/>
      <c r="L9117" s="2"/>
    </row>
    <row r="9118" spans="1:12" x14ac:dyDescent="0.2">
      <c r="A9118"/>
      <c r="B9118"/>
      <c r="C9118"/>
      <c r="D9118"/>
      <c r="E9118"/>
      <c r="F9118"/>
      <c r="G9118"/>
      <c r="H9118"/>
      <c r="I9118"/>
      <c r="J9118"/>
      <c r="K9118" s="1"/>
      <c r="L9118" s="2"/>
    </row>
    <row r="9119" spans="1:12" x14ac:dyDescent="0.2">
      <c r="A9119"/>
      <c r="B9119"/>
      <c r="C9119"/>
      <c r="D9119"/>
      <c r="E9119"/>
      <c r="F9119"/>
      <c r="G9119"/>
      <c r="H9119"/>
      <c r="I9119"/>
      <c r="J9119"/>
      <c r="K9119" s="1"/>
      <c r="L9119" s="2"/>
    </row>
    <row r="9120" spans="1:12" x14ac:dyDescent="0.2">
      <c r="A9120"/>
      <c r="B9120"/>
      <c r="C9120"/>
      <c r="D9120"/>
      <c r="E9120"/>
      <c r="F9120"/>
      <c r="G9120"/>
      <c r="H9120"/>
      <c r="I9120"/>
      <c r="J9120"/>
      <c r="K9120" s="1"/>
      <c r="L9120" s="2"/>
    </row>
    <row r="9121" spans="1:12" x14ac:dyDescent="0.2">
      <c r="A9121"/>
      <c r="B9121"/>
      <c r="C9121"/>
      <c r="D9121"/>
      <c r="E9121"/>
      <c r="F9121"/>
      <c r="G9121"/>
      <c r="H9121"/>
      <c r="I9121"/>
      <c r="J9121"/>
      <c r="K9121" s="1"/>
      <c r="L9121" s="2"/>
    </row>
    <row r="9122" spans="1:12" x14ac:dyDescent="0.2">
      <c r="A9122"/>
      <c r="B9122"/>
      <c r="C9122"/>
      <c r="D9122"/>
      <c r="E9122"/>
      <c r="F9122"/>
      <c r="G9122"/>
      <c r="H9122"/>
      <c r="I9122"/>
      <c r="J9122"/>
      <c r="K9122" s="1"/>
      <c r="L9122" s="2"/>
    </row>
    <row r="9123" spans="1:12" x14ac:dyDescent="0.2">
      <c r="A9123"/>
      <c r="B9123"/>
      <c r="C9123"/>
      <c r="D9123"/>
      <c r="E9123"/>
      <c r="F9123"/>
      <c r="G9123"/>
      <c r="H9123"/>
      <c r="I9123"/>
      <c r="J9123"/>
      <c r="K9123" s="1"/>
      <c r="L9123" s="2"/>
    </row>
    <row r="9124" spans="1:12" x14ac:dyDescent="0.2">
      <c r="A9124"/>
      <c r="B9124"/>
      <c r="C9124"/>
      <c r="D9124"/>
      <c r="E9124"/>
      <c r="F9124"/>
      <c r="G9124"/>
      <c r="H9124"/>
      <c r="I9124"/>
      <c r="J9124"/>
      <c r="K9124" s="1"/>
      <c r="L9124" s="2"/>
    </row>
    <row r="9125" spans="1:12" x14ac:dyDescent="0.2">
      <c r="A9125"/>
      <c r="B9125"/>
      <c r="C9125"/>
      <c r="D9125"/>
      <c r="E9125"/>
      <c r="F9125"/>
      <c r="G9125"/>
      <c r="H9125"/>
      <c r="I9125"/>
      <c r="J9125"/>
      <c r="K9125" s="1"/>
      <c r="L9125" s="2"/>
    </row>
    <row r="9126" spans="1:12" x14ac:dyDescent="0.2">
      <c r="A9126"/>
      <c r="B9126"/>
      <c r="C9126"/>
      <c r="D9126"/>
      <c r="E9126"/>
      <c r="F9126"/>
      <c r="G9126"/>
      <c r="H9126"/>
      <c r="I9126"/>
      <c r="J9126"/>
      <c r="K9126" s="1"/>
      <c r="L9126" s="2"/>
    </row>
    <row r="9127" spans="1:12" x14ac:dyDescent="0.2">
      <c r="A9127"/>
      <c r="B9127"/>
      <c r="C9127"/>
      <c r="D9127"/>
      <c r="E9127"/>
      <c r="F9127"/>
      <c r="G9127"/>
      <c r="H9127"/>
      <c r="I9127"/>
      <c r="J9127"/>
      <c r="K9127" s="1"/>
      <c r="L9127" s="2"/>
    </row>
    <row r="9128" spans="1:12" x14ac:dyDescent="0.2">
      <c r="A9128"/>
      <c r="B9128"/>
      <c r="C9128"/>
      <c r="D9128"/>
      <c r="E9128"/>
      <c r="F9128"/>
      <c r="G9128"/>
      <c r="H9128"/>
      <c r="I9128"/>
      <c r="J9128"/>
      <c r="K9128" s="1"/>
      <c r="L9128" s="2"/>
    </row>
    <row r="9129" spans="1:12" x14ac:dyDescent="0.2">
      <c r="A9129"/>
      <c r="B9129"/>
      <c r="C9129"/>
      <c r="D9129"/>
      <c r="E9129"/>
      <c r="F9129"/>
      <c r="G9129"/>
      <c r="H9129"/>
      <c r="I9129"/>
      <c r="J9129"/>
      <c r="K9129" s="1"/>
      <c r="L9129" s="2"/>
    </row>
    <row r="9130" spans="1:12" x14ac:dyDescent="0.2">
      <c r="A9130"/>
      <c r="B9130"/>
      <c r="C9130"/>
      <c r="D9130"/>
      <c r="E9130"/>
      <c r="F9130"/>
      <c r="G9130"/>
      <c r="H9130"/>
      <c r="I9130"/>
      <c r="J9130"/>
      <c r="K9130" s="1"/>
      <c r="L9130" s="2"/>
    </row>
    <row r="9131" spans="1:12" x14ac:dyDescent="0.2">
      <c r="A9131"/>
      <c r="B9131"/>
      <c r="C9131"/>
      <c r="D9131"/>
      <c r="E9131"/>
      <c r="F9131"/>
      <c r="G9131"/>
      <c r="H9131"/>
      <c r="I9131"/>
      <c r="J9131"/>
      <c r="K9131" s="1"/>
      <c r="L9131" s="2"/>
    </row>
    <row r="9132" spans="1:12" x14ac:dyDescent="0.2">
      <c r="A9132"/>
      <c r="B9132"/>
      <c r="C9132"/>
      <c r="D9132"/>
      <c r="E9132"/>
      <c r="F9132"/>
      <c r="G9132"/>
      <c r="H9132"/>
      <c r="I9132"/>
      <c r="J9132"/>
      <c r="K9132" s="1"/>
      <c r="L9132" s="2"/>
    </row>
    <row r="9133" spans="1:12" x14ac:dyDescent="0.2">
      <c r="A9133"/>
      <c r="B9133"/>
      <c r="C9133"/>
      <c r="D9133"/>
      <c r="E9133"/>
      <c r="F9133"/>
      <c r="G9133"/>
      <c r="H9133"/>
      <c r="I9133"/>
      <c r="J9133"/>
      <c r="K9133" s="1"/>
      <c r="L9133" s="2"/>
    </row>
    <row r="9134" spans="1:12" x14ac:dyDescent="0.2">
      <c r="A9134"/>
      <c r="B9134"/>
      <c r="C9134"/>
      <c r="D9134"/>
      <c r="E9134"/>
      <c r="F9134"/>
      <c r="G9134"/>
      <c r="H9134"/>
      <c r="I9134"/>
      <c r="J9134"/>
      <c r="K9134" s="1"/>
      <c r="L9134" s="2"/>
    </row>
    <row r="9135" spans="1:12" x14ac:dyDescent="0.2">
      <c r="A9135"/>
      <c r="B9135"/>
      <c r="C9135"/>
      <c r="D9135"/>
      <c r="E9135"/>
      <c r="F9135"/>
      <c r="G9135"/>
      <c r="H9135"/>
      <c r="I9135"/>
      <c r="J9135"/>
      <c r="K9135" s="1"/>
      <c r="L9135" s="2"/>
    </row>
    <row r="9136" spans="1:12" x14ac:dyDescent="0.2">
      <c r="A9136"/>
      <c r="B9136"/>
      <c r="C9136"/>
      <c r="D9136"/>
      <c r="E9136"/>
      <c r="F9136"/>
      <c r="G9136"/>
      <c r="H9136"/>
      <c r="I9136"/>
      <c r="J9136"/>
      <c r="K9136" s="1"/>
      <c r="L9136" s="2"/>
    </row>
    <row r="9137" spans="1:12" x14ac:dyDescent="0.2">
      <c r="A9137"/>
      <c r="B9137"/>
      <c r="C9137"/>
      <c r="D9137"/>
      <c r="E9137"/>
      <c r="F9137"/>
      <c r="G9137"/>
      <c r="H9137"/>
      <c r="I9137"/>
      <c r="J9137"/>
      <c r="K9137" s="1"/>
      <c r="L9137" s="2"/>
    </row>
    <row r="9138" spans="1:12" x14ac:dyDescent="0.2">
      <c r="A9138"/>
      <c r="B9138"/>
      <c r="C9138"/>
      <c r="D9138"/>
      <c r="E9138"/>
      <c r="F9138"/>
      <c r="G9138"/>
      <c r="H9138"/>
      <c r="I9138"/>
      <c r="J9138"/>
      <c r="K9138" s="1"/>
      <c r="L9138" s="2"/>
    </row>
    <row r="9139" spans="1:12" x14ac:dyDescent="0.2">
      <c r="A9139"/>
      <c r="B9139"/>
      <c r="C9139"/>
      <c r="D9139"/>
      <c r="E9139"/>
      <c r="F9139"/>
      <c r="G9139"/>
      <c r="H9139"/>
      <c r="I9139"/>
      <c r="J9139"/>
      <c r="K9139" s="1"/>
      <c r="L9139" s="2"/>
    </row>
    <row r="9140" spans="1:12" x14ac:dyDescent="0.2">
      <c r="A9140"/>
      <c r="B9140"/>
      <c r="C9140"/>
      <c r="D9140"/>
      <c r="E9140"/>
      <c r="F9140"/>
      <c r="G9140"/>
      <c r="H9140"/>
      <c r="I9140"/>
      <c r="J9140"/>
      <c r="K9140" s="1"/>
      <c r="L9140" s="2"/>
    </row>
    <row r="9141" spans="1:12" x14ac:dyDescent="0.2">
      <c r="A9141"/>
      <c r="B9141"/>
      <c r="C9141"/>
      <c r="D9141"/>
      <c r="E9141"/>
      <c r="F9141"/>
      <c r="G9141"/>
      <c r="H9141"/>
      <c r="I9141"/>
      <c r="J9141"/>
      <c r="K9141" s="1"/>
      <c r="L9141" s="2"/>
    </row>
    <row r="9142" spans="1:12" x14ac:dyDescent="0.2">
      <c r="A9142"/>
      <c r="B9142"/>
      <c r="C9142"/>
      <c r="D9142"/>
      <c r="E9142"/>
      <c r="F9142"/>
      <c r="G9142"/>
      <c r="H9142"/>
      <c r="I9142"/>
      <c r="J9142"/>
      <c r="K9142" s="1"/>
      <c r="L9142" s="2"/>
    </row>
    <row r="9143" spans="1:12" x14ac:dyDescent="0.2">
      <c r="A9143"/>
      <c r="B9143"/>
      <c r="C9143"/>
      <c r="D9143"/>
      <c r="E9143"/>
      <c r="F9143"/>
      <c r="G9143"/>
      <c r="H9143"/>
      <c r="I9143"/>
      <c r="J9143"/>
      <c r="K9143" s="1"/>
      <c r="L9143" s="2"/>
    </row>
    <row r="9144" spans="1:12" x14ac:dyDescent="0.2">
      <c r="A9144"/>
      <c r="B9144"/>
      <c r="C9144"/>
      <c r="D9144"/>
      <c r="E9144"/>
      <c r="F9144"/>
      <c r="G9144"/>
      <c r="H9144"/>
      <c r="I9144"/>
      <c r="J9144"/>
      <c r="K9144" s="1"/>
      <c r="L9144" s="2"/>
    </row>
    <row r="9145" spans="1:12" x14ac:dyDescent="0.2">
      <c r="A9145"/>
      <c r="B9145"/>
      <c r="C9145"/>
      <c r="D9145"/>
      <c r="E9145"/>
      <c r="F9145"/>
      <c r="G9145"/>
      <c r="H9145"/>
      <c r="I9145"/>
      <c r="J9145"/>
      <c r="K9145" s="1"/>
      <c r="L9145" s="2"/>
    </row>
    <row r="9146" spans="1:12" x14ac:dyDescent="0.2">
      <c r="A9146"/>
      <c r="B9146"/>
      <c r="C9146"/>
      <c r="D9146"/>
      <c r="E9146"/>
      <c r="F9146"/>
      <c r="G9146"/>
      <c r="H9146"/>
      <c r="I9146"/>
      <c r="J9146"/>
      <c r="K9146" s="1"/>
      <c r="L9146" s="2"/>
    </row>
    <row r="9147" spans="1:12" x14ac:dyDescent="0.2">
      <c r="A9147"/>
      <c r="B9147"/>
      <c r="C9147"/>
      <c r="D9147"/>
      <c r="E9147"/>
      <c r="F9147"/>
      <c r="G9147"/>
      <c r="H9147"/>
      <c r="I9147"/>
      <c r="J9147"/>
      <c r="K9147" s="1"/>
      <c r="L9147" s="2"/>
    </row>
    <row r="9148" spans="1:12" x14ac:dyDescent="0.2">
      <c r="A9148"/>
      <c r="B9148"/>
      <c r="C9148"/>
      <c r="D9148"/>
      <c r="E9148"/>
      <c r="F9148"/>
      <c r="G9148"/>
      <c r="H9148"/>
      <c r="I9148"/>
      <c r="J9148"/>
      <c r="K9148" s="1"/>
      <c r="L9148" s="2"/>
    </row>
    <row r="9149" spans="1:12" x14ac:dyDescent="0.2">
      <c r="A9149"/>
      <c r="B9149"/>
      <c r="C9149"/>
      <c r="D9149"/>
      <c r="E9149"/>
      <c r="F9149"/>
      <c r="G9149"/>
      <c r="H9149"/>
      <c r="I9149"/>
      <c r="J9149"/>
      <c r="K9149" s="1"/>
      <c r="L9149" s="2"/>
    </row>
    <row r="9150" spans="1:12" x14ac:dyDescent="0.2">
      <c r="A9150"/>
      <c r="B9150"/>
      <c r="C9150"/>
      <c r="D9150"/>
      <c r="E9150"/>
      <c r="F9150"/>
      <c r="G9150"/>
      <c r="H9150"/>
      <c r="I9150"/>
      <c r="J9150"/>
      <c r="K9150" s="1"/>
      <c r="L9150" s="2"/>
    </row>
    <row r="9151" spans="1:12" x14ac:dyDescent="0.2">
      <c r="A9151"/>
      <c r="B9151"/>
      <c r="C9151"/>
      <c r="D9151"/>
      <c r="E9151"/>
      <c r="F9151"/>
      <c r="G9151"/>
      <c r="H9151"/>
      <c r="I9151"/>
      <c r="J9151"/>
      <c r="K9151" s="1"/>
      <c r="L9151" s="2"/>
    </row>
    <row r="9152" spans="1:12" x14ac:dyDescent="0.2">
      <c r="A9152"/>
      <c r="B9152"/>
      <c r="C9152"/>
      <c r="D9152"/>
      <c r="E9152"/>
      <c r="F9152"/>
      <c r="G9152"/>
      <c r="H9152"/>
      <c r="I9152"/>
      <c r="J9152"/>
      <c r="K9152" s="1"/>
      <c r="L9152" s="2"/>
    </row>
    <row r="9153" spans="1:12" x14ac:dyDescent="0.2">
      <c r="A9153"/>
      <c r="B9153"/>
      <c r="C9153"/>
      <c r="D9153"/>
      <c r="E9153"/>
      <c r="F9153"/>
      <c r="G9153"/>
      <c r="H9153"/>
      <c r="I9153"/>
      <c r="J9153"/>
      <c r="K9153" s="1"/>
      <c r="L9153" s="2"/>
    </row>
    <row r="9154" spans="1:12" x14ac:dyDescent="0.2">
      <c r="A9154"/>
      <c r="B9154"/>
      <c r="C9154"/>
      <c r="D9154"/>
      <c r="E9154"/>
      <c r="F9154"/>
      <c r="G9154"/>
      <c r="H9154"/>
      <c r="I9154"/>
      <c r="J9154"/>
      <c r="K9154" s="1"/>
      <c r="L9154" s="2"/>
    </row>
    <row r="9155" spans="1:12" x14ac:dyDescent="0.2">
      <c r="A9155"/>
      <c r="B9155"/>
      <c r="C9155"/>
      <c r="D9155"/>
      <c r="E9155"/>
      <c r="F9155"/>
      <c r="G9155"/>
      <c r="H9155"/>
      <c r="I9155"/>
      <c r="J9155"/>
      <c r="K9155" s="1"/>
      <c r="L9155" s="2"/>
    </row>
    <row r="9156" spans="1:12" x14ac:dyDescent="0.2">
      <c r="A9156"/>
      <c r="B9156"/>
      <c r="C9156"/>
      <c r="D9156"/>
      <c r="E9156"/>
      <c r="F9156"/>
      <c r="G9156"/>
      <c r="H9156"/>
      <c r="I9156"/>
      <c r="J9156"/>
      <c r="K9156" s="1"/>
      <c r="L9156" s="2"/>
    </row>
    <row r="9157" spans="1:12" x14ac:dyDescent="0.2">
      <c r="A9157"/>
      <c r="B9157"/>
      <c r="C9157"/>
      <c r="D9157"/>
      <c r="E9157"/>
      <c r="F9157"/>
      <c r="G9157"/>
      <c r="H9157"/>
      <c r="I9157"/>
      <c r="J9157"/>
      <c r="K9157" s="1"/>
      <c r="L9157" s="2"/>
    </row>
    <row r="9158" spans="1:12" x14ac:dyDescent="0.2">
      <c r="A9158"/>
      <c r="B9158"/>
      <c r="C9158"/>
      <c r="D9158"/>
      <c r="E9158"/>
      <c r="F9158"/>
      <c r="G9158"/>
      <c r="H9158"/>
      <c r="I9158"/>
      <c r="J9158"/>
      <c r="K9158" s="1"/>
      <c r="L9158" s="2"/>
    </row>
    <row r="9159" spans="1:12" x14ac:dyDescent="0.2">
      <c r="A9159"/>
      <c r="B9159"/>
      <c r="C9159"/>
      <c r="D9159"/>
      <c r="E9159"/>
      <c r="F9159"/>
      <c r="G9159"/>
      <c r="H9159"/>
      <c r="I9159"/>
      <c r="J9159"/>
      <c r="K9159" s="1"/>
      <c r="L9159" s="2"/>
    </row>
    <row r="9160" spans="1:12" x14ac:dyDescent="0.2">
      <c r="A9160"/>
      <c r="B9160"/>
      <c r="C9160"/>
      <c r="D9160"/>
      <c r="E9160"/>
      <c r="F9160"/>
      <c r="G9160"/>
      <c r="H9160"/>
      <c r="I9160"/>
      <c r="J9160"/>
      <c r="K9160" s="1"/>
      <c r="L9160" s="2"/>
    </row>
    <row r="9161" spans="1:12" x14ac:dyDescent="0.2">
      <c r="A9161"/>
      <c r="B9161"/>
      <c r="C9161"/>
      <c r="D9161"/>
      <c r="E9161"/>
      <c r="F9161"/>
      <c r="G9161"/>
      <c r="H9161"/>
      <c r="I9161"/>
      <c r="J9161"/>
      <c r="K9161" s="1"/>
      <c r="L9161" s="2"/>
    </row>
    <row r="9162" spans="1:12" x14ac:dyDescent="0.2">
      <c r="A9162"/>
      <c r="B9162"/>
      <c r="C9162"/>
      <c r="D9162"/>
      <c r="E9162"/>
      <c r="F9162"/>
      <c r="G9162"/>
      <c r="H9162"/>
      <c r="I9162"/>
      <c r="J9162"/>
      <c r="K9162" s="1"/>
      <c r="L9162" s="2"/>
    </row>
    <row r="9163" spans="1:12" x14ac:dyDescent="0.2">
      <c r="A9163"/>
      <c r="B9163"/>
      <c r="C9163"/>
      <c r="D9163"/>
      <c r="E9163"/>
      <c r="F9163"/>
      <c r="G9163"/>
      <c r="H9163"/>
      <c r="I9163"/>
      <c r="J9163"/>
      <c r="K9163" s="1"/>
      <c r="L9163" s="2"/>
    </row>
    <row r="9164" spans="1:12" x14ac:dyDescent="0.2">
      <c r="A9164"/>
      <c r="B9164"/>
      <c r="C9164"/>
      <c r="D9164"/>
      <c r="E9164"/>
      <c r="F9164"/>
      <c r="G9164"/>
      <c r="H9164"/>
      <c r="I9164"/>
      <c r="J9164"/>
      <c r="K9164" s="1"/>
      <c r="L9164" s="2"/>
    </row>
    <row r="9165" spans="1:12" x14ac:dyDescent="0.2">
      <c r="A9165"/>
      <c r="B9165"/>
      <c r="C9165"/>
      <c r="D9165"/>
      <c r="E9165"/>
      <c r="F9165"/>
      <c r="G9165"/>
      <c r="H9165"/>
      <c r="I9165"/>
      <c r="J9165"/>
      <c r="K9165" s="1"/>
      <c r="L9165" s="2"/>
    </row>
    <row r="9166" spans="1:12" x14ac:dyDescent="0.2">
      <c r="A9166"/>
      <c r="B9166"/>
      <c r="C9166"/>
      <c r="D9166"/>
      <c r="E9166"/>
      <c r="F9166"/>
      <c r="G9166"/>
      <c r="H9166"/>
      <c r="I9166"/>
      <c r="J9166"/>
      <c r="K9166" s="1"/>
      <c r="L9166" s="2"/>
    </row>
    <row r="9167" spans="1:12" x14ac:dyDescent="0.2">
      <c r="A9167"/>
      <c r="B9167"/>
      <c r="C9167"/>
      <c r="D9167"/>
      <c r="E9167"/>
      <c r="F9167"/>
      <c r="G9167"/>
      <c r="H9167"/>
      <c r="I9167"/>
      <c r="J9167"/>
      <c r="K9167" s="1"/>
      <c r="L9167" s="2"/>
    </row>
    <row r="9168" spans="1:12" x14ac:dyDescent="0.2">
      <c r="A9168"/>
      <c r="B9168"/>
      <c r="C9168"/>
      <c r="D9168"/>
      <c r="E9168"/>
      <c r="F9168"/>
      <c r="G9168"/>
      <c r="H9168"/>
      <c r="I9168"/>
      <c r="J9168"/>
      <c r="K9168" s="1"/>
      <c r="L9168" s="2"/>
    </row>
    <row r="9169" spans="1:12" x14ac:dyDescent="0.2">
      <c r="A9169"/>
      <c r="B9169"/>
      <c r="C9169"/>
      <c r="D9169"/>
      <c r="E9169"/>
      <c r="F9169"/>
      <c r="G9169"/>
      <c r="H9169"/>
      <c r="I9169"/>
      <c r="J9169"/>
      <c r="K9169" s="1"/>
      <c r="L9169" s="2"/>
    </row>
    <row r="9170" spans="1:12" x14ac:dyDescent="0.2">
      <c r="A9170"/>
      <c r="B9170"/>
      <c r="C9170"/>
      <c r="D9170"/>
      <c r="E9170"/>
      <c r="F9170"/>
      <c r="G9170"/>
      <c r="H9170"/>
      <c r="I9170"/>
      <c r="J9170"/>
      <c r="K9170" s="1"/>
      <c r="L9170" s="2"/>
    </row>
    <row r="9171" spans="1:12" x14ac:dyDescent="0.2">
      <c r="A9171"/>
      <c r="B9171"/>
      <c r="C9171"/>
      <c r="D9171"/>
      <c r="E9171"/>
      <c r="F9171"/>
      <c r="G9171"/>
      <c r="H9171"/>
      <c r="I9171"/>
      <c r="J9171"/>
      <c r="K9171" s="1"/>
      <c r="L9171" s="2"/>
    </row>
    <row r="9172" spans="1:12" x14ac:dyDescent="0.2">
      <c r="A9172"/>
      <c r="B9172"/>
      <c r="C9172"/>
      <c r="D9172"/>
      <c r="E9172"/>
      <c r="F9172"/>
      <c r="G9172"/>
      <c r="H9172"/>
      <c r="I9172"/>
      <c r="J9172"/>
      <c r="K9172" s="1"/>
      <c r="L9172" s="2"/>
    </row>
    <row r="9173" spans="1:12" x14ac:dyDescent="0.2">
      <c r="A9173"/>
      <c r="B9173"/>
      <c r="C9173"/>
      <c r="D9173"/>
      <c r="E9173"/>
      <c r="F9173"/>
      <c r="G9173"/>
      <c r="H9173"/>
      <c r="I9173"/>
      <c r="J9173"/>
      <c r="K9173" s="1"/>
      <c r="L9173" s="2"/>
    </row>
    <row r="9174" spans="1:12" x14ac:dyDescent="0.2">
      <c r="A9174"/>
      <c r="B9174"/>
      <c r="C9174"/>
      <c r="D9174"/>
      <c r="E9174"/>
      <c r="F9174"/>
      <c r="G9174"/>
      <c r="H9174"/>
      <c r="I9174"/>
      <c r="J9174"/>
      <c r="K9174" s="1"/>
      <c r="L9174" s="2"/>
    </row>
    <row r="9175" spans="1:12" x14ac:dyDescent="0.2">
      <c r="A9175"/>
      <c r="B9175"/>
      <c r="C9175"/>
      <c r="D9175"/>
      <c r="E9175"/>
      <c r="F9175"/>
      <c r="G9175"/>
      <c r="H9175"/>
      <c r="I9175"/>
      <c r="J9175"/>
      <c r="K9175" s="1"/>
      <c r="L9175" s="2"/>
    </row>
    <row r="9176" spans="1:12" x14ac:dyDescent="0.2">
      <c r="A9176"/>
      <c r="B9176"/>
      <c r="C9176"/>
      <c r="D9176"/>
      <c r="E9176"/>
      <c r="F9176"/>
      <c r="G9176"/>
      <c r="H9176"/>
      <c r="I9176"/>
      <c r="J9176"/>
      <c r="K9176" s="1"/>
      <c r="L9176" s="2"/>
    </row>
    <row r="9177" spans="1:12" x14ac:dyDescent="0.2">
      <c r="A9177"/>
      <c r="B9177"/>
      <c r="C9177"/>
      <c r="D9177"/>
      <c r="E9177"/>
      <c r="F9177"/>
      <c r="G9177"/>
      <c r="H9177"/>
      <c r="I9177"/>
      <c r="J9177"/>
      <c r="K9177" s="1"/>
      <c r="L9177" s="2"/>
    </row>
    <row r="9178" spans="1:12" x14ac:dyDescent="0.2">
      <c r="A9178"/>
      <c r="B9178"/>
      <c r="C9178"/>
      <c r="D9178"/>
      <c r="E9178"/>
      <c r="F9178"/>
      <c r="G9178"/>
      <c r="H9178"/>
      <c r="I9178"/>
      <c r="J9178"/>
      <c r="K9178" s="1"/>
      <c r="L9178" s="2"/>
    </row>
    <row r="9179" spans="1:12" x14ac:dyDescent="0.2">
      <c r="A9179"/>
      <c r="B9179"/>
      <c r="C9179"/>
      <c r="D9179"/>
      <c r="E9179"/>
      <c r="F9179"/>
      <c r="G9179"/>
      <c r="H9179"/>
      <c r="I9179"/>
      <c r="J9179"/>
      <c r="K9179" s="1"/>
      <c r="L9179" s="2"/>
    </row>
    <row r="9180" spans="1:12" x14ac:dyDescent="0.2">
      <c r="A9180"/>
      <c r="B9180"/>
      <c r="C9180"/>
      <c r="D9180"/>
      <c r="E9180"/>
      <c r="F9180"/>
      <c r="G9180"/>
      <c r="H9180"/>
      <c r="I9180"/>
      <c r="J9180"/>
      <c r="K9180" s="1"/>
      <c r="L9180" s="2"/>
    </row>
    <row r="9181" spans="1:12" x14ac:dyDescent="0.2">
      <c r="A9181"/>
      <c r="B9181"/>
      <c r="C9181"/>
      <c r="D9181"/>
      <c r="E9181"/>
      <c r="F9181"/>
      <c r="G9181"/>
      <c r="H9181"/>
      <c r="I9181"/>
      <c r="J9181"/>
      <c r="K9181" s="1"/>
      <c r="L9181" s="2"/>
    </row>
    <row r="9182" spans="1:12" x14ac:dyDescent="0.2">
      <c r="A9182"/>
      <c r="B9182"/>
      <c r="C9182"/>
      <c r="D9182"/>
      <c r="E9182"/>
      <c r="F9182"/>
      <c r="G9182"/>
      <c r="H9182"/>
      <c r="I9182"/>
      <c r="J9182"/>
      <c r="K9182" s="1"/>
      <c r="L9182" s="2"/>
    </row>
    <row r="9183" spans="1:12" x14ac:dyDescent="0.2">
      <c r="A9183"/>
      <c r="B9183"/>
      <c r="C9183"/>
      <c r="D9183"/>
      <c r="E9183"/>
      <c r="F9183"/>
      <c r="G9183"/>
      <c r="H9183"/>
      <c r="I9183"/>
      <c r="J9183"/>
      <c r="K9183" s="1"/>
      <c r="L9183" s="2"/>
    </row>
    <row r="9184" spans="1:12" x14ac:dyDescent="0.2">
      <c r="A9184"/>
      <c r="B9184"/>
      <c r="C9184"/>
      <c r="D9184"/>
      <c r="E9184"/>
      <c r="F9184"/>
      <c r="G9184"/>
      <c r="H9184"/>
      <c r="I9184"/>
      <c r="J9184"/>
      <c r="K9184" s="1"/>
      <c r="L9184" s="2"/>
    </row>
    <row r="9185" spans="1:12" x14ac:dyDescent="0.2">
      <c r="A9185"/>
      <c r="B9185"/>
      <c r="C9185"/>
      <c r="D9185"/>
      <c r="E9185"/>
      <c r="F9185"/>
      <c r="G9185"/>
      <c r="H9185"/>
      <c r="I9185"/>
      <c r="J9185"/>
      <c r="K9185" s="1"/>
      <c r="L9185" s="2"/>
    </row>
    <row r="9186" spans="1:12" x14ac:dyDescent="0.2">
      <c r="A9186"/>
      <c r="B9186"/>
      <c r="C9186"/>
      <c r="D9186"/>
      <c r="E9186"/>
      <c r="F9186"/>
      <c r="G9186"/>
      <c r="H9186"/>
      <c r="I9186"/>
      <c r="J9186"/>
      <c r="K9186" s="1"/>
      <c r="L9186" s="2"/>
    </row>
    <row r="9187" spans="1:12" x14ac:dyDescent="0.2">
      <c r="A9187"/>
      <c r="B9187"/>
      <c r="C9187"/>
      <c r="D9187"/>
      <c r="E9187"/>
      <c r="F9187"/>
      <c r="G9187"/>
      <c r="H9187"/>
      <c r="I9187"/>
      <c r="J9187"/>
      <c r="K9187" s="1"/>
      <c r="L9187" s="2"/>
    </row>
    <row r="9188" spans="1:12" x14ac:dyDescent="0.2">
      <c r="A9188"/>
      <c r="B9188"/>
      <c r="C9188"/>
      <c r="D9188"/>
      <c r="E9188"/>
      <c r="F9188"/>
      <c r="G9188"/>
      <c r="H9188"/>
      <c r="I9188"/>
      <c r="J9188"/>
      <c r="K9188" s="1"/>
      <c r="L9188" s="2"/>
    </row>
    <row r="9189" spans="1:12" x14ac:dyDescent="0.2">
      <c r="A9189"/>
      <c r="B9189"/>
      <c r="C9189"/>
      <c r="D9189"/>
      <c r="E9189"/>
      <c r="F9189"/>
      <c r="G9189"/>
      <c r="H9189"/>
      <c r="I9189"/>
      <c r="J9189"/>
      <c r="K9189" s="1"/>
      <c r="L9189" s="2"/>
    </row>
    <row r="9190" spans="1:12" x14ac:dyDescent="0.2">
      <c r="A9190"/>
      <c r="B9190"/>
      <c r="C9190"/>
      <c r="D9190"/>
      <c r="E9190"/>
      <c r="F9190"/>
      <c r="G9190"/>
      <c r="H9190"/>
      <c r="I9190"/>
      <c r="J9190"/>
      <c r="K9190" s="1"/>
      <c r="L9190" s="2"/>
    </row>
    <row r="9191" spans="1:12" x14ac:dyDescent="0.2">
      <c r="A9191"/>
      <c r="B9191"/>
      <c r="C9191"/>
      <c r="D9191"/>
      <c r="E9191"/>
      <c r="F9191"/>
      <c r="G9191"/>
      <c r="H9191"/>
      <c r="I9191"/>
      <c r="J9191"/>
      <c r="K9191" s="1"/>
      <c r="L9191" s="2"/>
    </row>
    <row r="9192" spans="1:12" x14ac:dyDescent="0.2">
      <c r="A9192"/>
      <c r="B9192"/>
      <c r="C9192"/>
      <c r="D9192"/>
      <c r="E9192"/>
      <c r="F9192"/>
      <c r="G9192"/>
      <c r="H9192"/>
      <c r="I9192"/>
      <c r="J9192"/>
      <c r="K9192" s="1"/>
      <c r="L9192" s="2"/>
    </row>
    <row r="9193" spans="1:12" x14ac:dyDescent="0.2">
      <c r="A9193"/>
      <c r="B9193"/>
      <c r="C9193"/>
      <c r="D9193"/>
      <c r="E9193"/>
      <c r="F9193"/>
      <c r="G9193"/>
      <c r="H9193"/>
      <c r="I9193"/>
      <c r="J9193"/>
      <c r="K9193" s="1"/>
      <c r="L9193" s="2"/>
    </row>
    <row r="9194" spans="1:12" x14ac:dyDescent="0.2">
      <c r="A9194"/>
      <c r="B9194"/>
      <c r="C9194"/>
      <c r="D9194"/>
      <c r="E9194"/>
      <c r="F9194"/>
      <c r="G9194"/>
      <c r="H9194"/>
      <c r="I9194"/>
      <c r="J9194"/>
      <c r="K9194" s="1"/>
      <c r="L9194" s="2"/>
    </row>
    <row r="9195" spans="1:12" x14ac:dyDescent="0.2">
      <c r="A9195"/>
      <c r="B9195"/>
      <c r="C9195"/>
      <c r="D9195"/>
      <c r="E9195"/>
      <c r="F9195"/>
      <c r="G9195"/>
      <c r="H9195"/>
      <c r="I9195"/>
      <c r="J9195"/>
      <c r="K9195" s="1"/>
      <c r="L9195" s="2"/>
    </row>
    <row r="9196" spans="1:12" x14ac:dyDescent="0.2">
      <c r="A9196"/>
      <c r="B9196"/>
      <c r="C9196"/>
      <c r="D9196"/>
      <c r="E9196"/>
      <c r="F9196"/>
      <c r="G9196"/>
      <c r="H9196"/>
      <c r="I9196"/>
      <c r="J9196"/>
      <c r="K9196" s="1"/>
      <c r="L9196" s="2"/>
    </row>
    <row r="9197" spans="1:12" x14ac:dyDescent="0.2">
      <c r="A9197"/>
      <c r="B9197"/>
      <c r="C9197"/>
      <c r="D9197"/>
      <c r="E9197"/>
      <c r="F9197"/>
      <c r="G9197"/>
      <c r="H9197"/>
      <c r="I9197"/>
      <c r="J9197"/>
      <c r="K9197" s="1"/>
      <c r="L9197" s="2"/>
    </row>
    <row r="9198" spans="1:12" x14ac:dyDescent="0.2">
      <c r="A9198"/>
      <c r="B9198"/>
      <c r="C9198"/>
      <c r="D9198"/>
      <c r="E9198"/>
      <c r="F9198"/>
      <c r="G9198"/>
      <c r="H9198"/>
      <c r="I9198"/>
      <c r="J9198"/>
      <c r="K9198" s="1"/>
      <c r="L9198" s="2"/>
    </row>
    <row r="9199" spans="1:12" x14ac:dyDescent="0.2">
      <c r="A9199"/>
      <c r="B9199"/>
      <c r="C9199"/>
      <c r="D9199"/>
      <c r="E9199"/>
      <c r="F9199"/>
      <c r="G9199"/>
      <c r="H9199"/>
      <c r="I9199"/>
      <c r="J9199"/>
      <c r="K9199" s="1"/>
      <c r="L9199" s="2"/>
    </row>
    <row r="9200" spans="1:12" x14ac:dyDescent="0.2">
      <c r="A9200"/>
      <c r="B9200"/>
      <c r="C9200"/>
      <c r="D9200"/>
      <c r="E9200"/>
      <c r="F9200"/>
      <c r="G9200"/>
      <c r="H9200"/>
      <c r="I9200"/>
      <c r="J9200"/>
      <c r="K9200" s="1"/>
      <c r="L9200" s="2"/>
    </row>
    <row r="9201" spans="1:12" x14ac:dyDescent="0.2">
      <c r="A9201"/>
      <c r="B9201"/>
      <c r="C9201"/>
      <c r="D9201"/>
      <c r="E9201"/>
      <c r="F9201"/>
      <c r="G9201"/>
      <c r="H9201"/>
      <c r="I9201"/>
      <c r="J9201"/>
      <c r="K9201" s="1"/>
      <c r="L9201" s="2"/>
    </row>
    <row r="9202" spans="1:12" x14ac:dyDescent="0.2">
      <c r="A9202"/>
      <c r="B9202"/>
      <c r="C9202"/>
      <c r="D9202"/>
      <c r="E9202"/>
      <c r="F9202"/>
      <c r="G9202"/>
      <c r="H9202"/>
      <c r="I9202"/>
      <c r="J9202"/>
      <c r="K9202" s="1"/>
      <c r="L9202" s="2"/>
    </row>
    <row r="9203" spans="1:12" x14ac:dyDescent="0.2">
      <c r="A9203"/>
      <c r="B9203"/>
      <c r="C9203"/>
      <c r="D9203"/>
      <c r="E9203"/>
      <c r="F9203"/>
      <c r="G9203"/>
      <c r="H9203"/>
      <c r="I9203"/>
      <c r="J9203"/>
      <c r="K9203" s="1"/>
      <c r="L9203" s="2"/>
    </row>
    <row r="9204" spans="1:12" x14ac:dyDescent="0.2">
      <c r="A9204"/>
      <c r="B9204"/>
      <c r="C9204"/>
      <c r="D9204"/>
      <c r="E9204"/>
      <c r="F9204"/>
      <c r="G9204"/>
      <c r="H9204"/>
      <c r="I9204"/>
      <c r="J9204"/>
      <c r="K9204" s="1"/>
      <c r="L9204" s="2"/>
    </row>
    <row r="9205" spans="1:12" x14ac:dyDescent="0.2">
      <c r="A9205"/>
      <c r="B9205"/>
      <c r="C9205"/>
      <c r="D9205"/>
      <c r="E9205"/>
      <c r="F9205"/>
      <c r="G9205"/>
      <c r="H9205"/>
      <c r="I9205"/>
      <c r="J9205"/>
      <c r="K9205" s="1"/>
      <c r="L9205" s="2"/>
    </row>
    <row r="9206" spans="1:12" x14ac:dyDescent="0.2">
      <c r="A9206"/>
      <c r="B9206"/>
      <c r="C9206"/>
      <c r="D9206"/>
      <c r="E9206"/>
      <c r="F9206"/>
      <c r="G9206"/>
      <c r="H9206"/>
      <c r="I9206"/>
      <c r="J9206"/>
      <c r="K9206" s="1"/>
      <c r="L9206" s="2"/>
    </row>
    <row r="9207" spans="1:12" x14ac:dyDescent="0.2">
      <c r="A9207"/>
      <c r="B9207"/>
      <c r="C9207"/>
      <c r="D9207"/>
      <c r="E9207"/>
      <c r="F9207"/>
      <c r="G9207"/>
      <c r="H9207"/>
      <c r="I9207"/>
      <c r="J9207"/>
      <c r="K9207" s="1"/>
      <c r="L9207" s="2"/>
    </row>
    <row r="9208" spans="1:12" x14ac:dyDescent="0.2">
      <c r="A9208"/>
      <c r="B9208"/>
      <c r="C9208"/>
      <c r="D9208"/>
      <c r="E9208"/>
      <c r="F9208"/>
      <c r="G9208"/>
      <c r="H9208"/>
      <c r="I9208"/>
      <c r="J9208"/>
      <c r="K9208" s="1"/>
      <c r="L9208" s="2"/>
    </row>
    <row r="9209" spans="1:12" x14ac:dyDescent="0.2">
      <c r="A9209"/>
      <c r="B9209"/>
      <c r="C9209"/>
      <c r="D9209"/>
      <c r="E9209"/>
      <c r="F9209"/>
      <c r="G9209"/>
      <c r="H9209"/>
      <c r="I9209"/>
      <c r="J9209"/>
      <c r="K9209" s="1"/>
      <c r="L9209" s="2"/>
    </row>
    <row r="9210" spans="1:12" x14ac:dyDescent="0.2">
      <c r="A9210"/>
      <c r="B9210"/>
      <c r="C9210"/>
      <c r="D9210"/>
      <c r="E9210"/>
      <c r="F9210"/>
      <c r="G9210"/>
      <c r="H9210"/>
      <c r="I9210"/>
      <c r="J9210"/>
      <c r="K9210" s="1"/>
      <c r="L9210" s="2"/>
    </row>
    <row r="9211" spans="1:12" x14ac:dyDescent="0.2">
      <c r="A9211"/>
      <c r="B9211"/>
      <c r="C9211"/>
      <c r="D9211"/>
      <c r="E9211"/>
      <c r="F9211"/>
      <c r="G9211"/>
      <c r="H9211"/>
      <c r="I9211"/>
      <c r="J9211"/>
      <c r="K9211" s="1"/>
      <c r="L9211" s="2"/>
    </row>
    <row r="9212" spans="1:12" x14ac:dyDescent="0.2">
      <c r="A9212"/>
      <c r="B9212"/>
      <c r="C9212"/>
      <c r="D9212"/>
      <c r="E9212"/>
      <c r="F9212"/>
      <c r="G9212"/>
      <c r="H9212"/>
      <c r="I9212"/>
      <c r="J9212"/>
      <c r="K9212" s="1"/>
      <c r="L9212" s="2"/>
    </row>
    <row r="9213" spans="1:12" x14ac:dyDescent="0.2">
      <c r="A9213"/>
      <c r="B9213"/>
      <c r="C9213"/>
      <c r="D9213"/>
      <c r="E9213"/>
      <c r="F9213"/>
      <c r="G9213"/>
      <c r="H9213"/>
      <c r="I9213"/>
      <c r="J9213"/>
      <c r="K9213" s="1"/>
      <c r="L9213" s="2"/>
    </row>
    <row r="9214" spans="1:12" x14ac:dyDescent="0.2">
      <c r="A9214"/>
      <c r="B9214"/>
      <c r="C9214"/>
      <c r="D9214"/>
      <c r="E9214"/>
      <c r="F9214"/>
      <c r="G9214"/>
      <c r="H9214"/>
      <c r="I9214"/>
      <c r="J9214"/>
      <c r="K9214" s="1"/>
      <c r="L9214" s="2"/>
    </row>
    <row r="9215" spans="1:12" x14ac:dyDescent="0.2">
      <c r="A9215"/>
      <c r="B9215"/>
      <c r="C9215"/>
      <c r="D9215"/>
      <c r="E9215"/>
      <c r="F9215"/>
      <c r="G9215"/>
      <c r="H9215"/>
      <c r="I9215"/>
      <c r="J9215"/>
      <c r="K9215" s="1"/>
      <c r="L9215" s="2"/>
    </row>
    <row r="9216" spans="1:12" x14ac:dyDescent="0.2">
      <c r="A9216"/>
      <c r="B9216"/>
      <c r="C9216"/>
      <c r="D9216"/>
      <c r="E9216"/>
      <c r="F9216"/>
      <c r="G9216"/>
      <c r="H9216"/>
      <c r="I9216"/>
      <c r="J9216"/>
      <c r="K9216" s="1"/>
      <c r="L9216" s="2"/>
    </row>
    <row r="9217" spans="1:12" x14ac:dyDescent="0.2">
      <c r="A9217"/>
      <c r="B9217"/>
      <c r="C9217"/>
      <c r="D9217"/>
      <c r="E9217"/>
      <c r="F9217"/>
      <c r="G9217"/>
      <c r="H9217"/>
      <c r="I9217"/>
      <c r="J9217"/>
      <c r="K9217" s="1"/>
      <c r="L9217" s="2"/>
    </row>
    <row r="9218" spans="1:12" x14ac:dyDescent="0.2">
      <c r="A9218"/>
      <c r="B9218"/>
      <c r="C9218"/>
      <c r="D9218"/>
      <c r="E9218"/>
      <c r="F9218"/>
      <c r="G9218"/>
      <c r="H9218"/>
      <c r="I9218"/>
      <c r="J9218"/>
      <c r="K9218" s="1"/>
      <c r="L9218" s="2"/>
    </row>
    <row r="9219" spans="1:12" x14ac:dyDescent="0.2">
      <c r="A9219"/>
      <c r="B9219"/>
      <c r="C9219"/>
      <c r="D9219"/>
      <c r="E9219"/>
      <c r="F9219"/>
      <c r="G9219"/>
      <c r="H9219"/>
      <c r="I9219"/>
      <c r="J9219"/>
      <c r="K9219" s="1"/>
      <c r="L9219" s="2"/>
    </row>
    <row r="9220" spans="1:12" x14ac:dyDescent="0.2">
      <c r="A9220"/>
      <c r="B9220"/>
      <c r="C9220"/>
      <c r="D9220"/>
      <c r="E9220"/>
      <c r="F9220"/>
      <c r="G9220"/>
      <c r="H9220"/>
      <c r="I9220"/>
      <c r="J9220"/>
      <c r="K9220" s="1"/>
      <c r="L9220" s="2"/>
    </row>
    <row r="9221" spans="1:12" x14ac:dyDescent="0.2">
      <c r="A9221"/>
      <c r="B9221"/>
      <c r="C9221"/>
      <c r="D9221"/>
      <c r="E9221"/>
      <c r="F9221"/>
      <c r="G9221"/>
      <c r="H9221"/>
      <c r="I9221"/>
      <c r="J9221"/>
      <c r="K9221" s="1"/>
      <c r="L9221" s="2"/>
    </row>
    <row r="9222" spans="1:12" x14ac:dyDescent="0.2">
      <c r="A9222"/>
      <c r="B9222"/>
      <c r="C9222"/>
      <c r="D9222"/>
      <c r="E9222"/>
      <c r="F9222"/>
      <c r="G9222"/>
      <c r="H9222"/>
      <c r="I9222"/>
      <c r="J9222"/>
      <c r="K9222" s="1"/>
      <c r="L9222" s="2"/>
    </row>
    <row r="9223" spans="1:12" x14ac:dyDescent="0.2">
      <c r="A9223"/>
      <c r="B9223"/>
      <c r="C9223"/>
      <c r="D9223"/>
      <c r="E9223"/>
      <c r="F9223"/>
      <c r="G9223"/>
      <c r="H9223"/>
      <c r="I9223"/>
      <c r="J9223"/>
      <c r="K9223" s="1"/>
      <c r="L9223" s="2"/>
    </row>
    <row r="9224" spans="1:12" x14ac:dyDescent="0.2">
      <c r="A9224"/>
      <c r="B9224"/>
      <c r="C9224"/>
      <c r="D9224"/>
      <c r="E9224"/>
      <c r="F9224"/>
      <c r="G9224"/>
      <c r="H9224"/>
      <c r="I9224"/>
      <c r="J9224"/>
      <c r="K9224" s="1"/>
      <c r="L9224" s="2"/>
    </row>
    <row r="9225" spans="1:12" x14ac:dyDescent="0.2">
      <c r="A9225"/>
      <c r="B9225"/>
      <c r="C9225"/>
      <c r="D9225"/>
      <c r="E9225"/>
      <c r="F9225"/>
      <c r="G9225"/>
      <c r="H9225"/>
      <c r="I9225"/>
      <c r="J9225"/>
      <c r="K9225" s="1"/>
      <c r="L9225" s="2"/>
    </row>
    <row r="9226" spans="1:12" x14ac:dyDescent="0.2">
      <c r="A9226"/>
      <c r="B9226"/>
      <c r="C9226"/>
      <c r="D9226"/>
      <c r="E9226"/>
      <c r="F9226"/>
      <c r="G9226"/>
      <c r="H9226"/>
      <c r="I9226"/>
      <c r="J9226"/>
      <c r="K9226" s="1"/>
      <c r="L9226" s="2"/>
    </row>
    <row r="9227" spans="1:12" x14ac:dyDescent="0.2">
      <c r="A9227"/>
      <c r="B9227"/>
      <c r="C9227"/>
      <c r="D9227"/>
      <c r="E9227"/>
      <c r="F9227"/>
      <c r="G9227"/>
      <c r="H9227"/>
      <c r="I9227"/>
      <c r="J9227"/>
      <c r="K9227" s="1"/>
      <c r="L9227" s="2"/>
    </row>
    <row r="9228" spans="1:12" x14ac:dyDescent="0.2">
      <c r="A9228"/>
      <c r="B9228"/>
      <c r="C9228"/>
      <c r="D9228"/>
      <c r="E9228"/>
      <c r="F9228"/>
      <c r="G9228"/>
      <c r="H9228"/>
      <c r="I9228"/>
      <c r="J9228"/>
      <c r="K9228" s="1"/>
      <c r="L9228" s="2"/>
    </row>
    <row r="9229" spans="1:12" x14ac:dyDescent="0.2">
      <c r="A9229"/>
      <c r="B9229"/>
      <c r="C9229"/>
      <c r="D9229"/>
      <c r="E9229"/>
      <c r="F9229"/>
      <c r="G9229"/>
      <c r="H9229"/>
      <c r="I9229"/>
      <c r="J9229"/>
      <c r="K9229" s="1"/>
      <c r="L9229" s="2"/>
    </row>
    <row r="9230" spans="1:12" x14ac:dyDescent="0.2">
      <c r="A9230"/>
      <c r="B9230"/>
      <c r="C9230"/>
      <c r="D9230"/>
      <c r="E9230"/>
      <c r="F9230"/>
      <c r="G9230"/>
      <c r="H9230"/>
      <c r="I9230"/>
      <c r="J9230"/>
      <c r="K9230" s="1"/>
      <c r="L9230" s="2"/>
    </row>
    <row r="9231" spans="1:12" x14ac:dyDescent="0.2">
      <c r="A9231"/>
      <c r="B9231"/>
      <c r="C9231"/>
      <c r="D9231"/>
      <c r="E9231"/>
      <c r="F9231"/>
      <c r="G9231"/>
      <c r="H9231"/>
      <c r="I9231"/>
      <c r="J9231"/>
      <c r="K9231" s="1"/>
      <c r="L9231" s="2"/>
    </row>
    <row r="9232" spans="1:12" x14ac:dyDescent="0.2">
      <c r="A9232"/>
      <c r="B9232"/>
      <c r="C9232"/>
      <c r="D9232"/>
      <c r="E9232"/>
      <c r="F9232"/>
      <c r="G9232"/>
      <c r="H9232"/>
      <c r="I9232"/>
      <c r="J9232"/>
      <c r="K9232" s="1"/>
      <c r="L9232" s="2"/>
    </row>
    <row r="9233" spans="1:12" x14ac:dyDescent="0.2">
      <c r="A9233"/>
      <c r="B9233"/>
      <c r="C9233"/>
      <c r="D9233"/>
      <c r="E9233"/>
      <c r="F9233"/>
      <c r="G9233"/>
      <c r="H9233"/>
      <c r="I9233"/>
      <c r="J9233"/>
      <c r="K9233" s="1"/>
      <c r="L9233" s="2"/>
    </row>
    <row r="9234" spans="1:12" x14ac:dyDescent="0.2">
      <c r="A9234"/>
      <c r="B9234"/>
      <c r="C9234"/>
      <c r="D9234"/>
      <c r="E9234"/>
      <c r="F9234"/>
      <c r="G9234"/>
      <c r="H9234"/>
      <c r="I9234"/>
      <c r="J9234"/>
      <c r="K9234" s="1"/>
      <c r="L9234" s="2"/>
    </row>
    <row r="9235" spans="1:12" x14ac:dyDescent="0.2">
      <c r="A9235"/>
      <c r="B9235"/>
      <c r="C9235"/>
      <c r="D9235"/>
      <c r="E9235"/>
      <c r="F9235"/>
      <c r="G9235"/>
      <c r="H9235"/>
      <c r="I9235"/>
      <c r="J9235"/>
      <c r="K9235" s="1"/>
      <c r="L9235" s="2"/>
    </row>
    <row r="9236" spans="1:12" x14ac:dyDescent="0.2">
      <c r="A9236"/>
      <c r="B9236"/>
      <c r="C9236"/>
      <c r="D9236"/>
      <c r="E9236"/>
      <c r="F9236"/>
      <c r="G9236"/>
      <c r="H9236"/>
      <c r="I9236"/>
      <c r="J9236"/>
      <c r="K9236" s="1"/>
      <c r="L9236" s="2"/>
    </row>
    <row r="9237" spans="1:12" x14ac:dyDescent="0.2">
      <c r="A9237"/>
      <c r="B9237"/>
      <c r="C9237"/>
      <c r="D9237"/>
      <c r="E9237"/>
      <c r="F9237"/>
      <c r="G9237"/>
      <c r="H9237"/>
      <c r="I9237"/>
      <c r="J9237"/>
      <c r="K9237" s="1"/>
      <c r="L9237" s="2"/>
    </row>
    <row r="9238" spans="1:12" x14ac:dyDescent="0.2">
      <c r="A9238"/>
      <c r="B9238"/>
      <c r="C9238"/>
      <c r="D9238"/>
      <c r="E9238"/>
      <c r="F9238"/>
      <c r="G9238"/>
      <c r="H9238"/>
      <c r="I9238"/>
      <c r="J9238"/>
      <c r="K9238" s="1"/>
      <c r="L9238" s="2"/>
    </row>
    <row r="9239" spans="1:12" x14ac:dyDescent="0.2">
      <c r="A9239"/>
      <c r="B9239"/>
      <c r="C9239"/>
      <c r="D9239"/>
      <c r="E9239"/>
      <c r="F9239"/>
      <c r="G9239"/>
      <c r="H9239"/>
      <c r="I9239"/>
      <c r="J9239"/>
      <c r="K9239" s="1"/>
      <c r="L9239" s="2"/>
    </row>
    <row r="9240" spans="1:12" x14ac:dyDescent="0.2">
      <c r="A9240"/>
      <c r="B9240"/>
      <c r="C9240"/>
      <c r="D9240"/>
      <c r="E9240"/>
      <c r="F9240"/>
      <c r="G9240"/>
      <c r="H9240"/>
      <c r="I9240"/>
      <c r="J9240"/>
      <c r="K9240" s="1"/>
      <c r="L9240" s="2"/>
    </row>
    <row r="9241" spans="1:12" x14ac:dyDescent="0.2">
      <c r="A9241"/>
      <c r="B9241"/>
      <c r="C9241"/>
      <c r="D9241"/>
      <c r="E9241"/>
      <c r="F9241"/>
      <c r="G9241"/>
      <c r="H9241"/>
      <c r="I9241"/>
      <c r="J9241"/>
      <c r="K9241" s="1"/>
      <c r="L9241" s="2"/>
    </row>
    <row r="9242" spans="1:12" x14ac:dyDescent="0.2">
      <c r="A9242"/>
      <c r="B9242"/>
      <c r="C9242"/>
      <c r="D9242"/>
      <c r="E9242"/>
      <c r="F9242"/>
      <c r="G9242"/>
      <c r="H9242"/>
      <c r="I9242"/>
      <c r="J9242"/>
      <c r="K9242" s="1"/>
      <c r="L9242" s="2"/>
    </row>
    <row r="9243" spans="1:12" x14ac:dyDescent="0.2">
      <c r="A9243"/>
      <c r="B9243"/>
      <c r="C9243"/>
      <c r="D9243"/>
      <c r="E9243"/>
      <c r="F9243"/>
      <c r="G9243"/>
      <c r="H9243"/>
      <c r="I9243"/>
      <c r="J9243"/>
      <c r="K9243" s="1"/>
      <c r="L9243" s="2"/>
    </row>
    <row r="9244" spans="1:12" x14ac:dyDescent="0.2">
      <c r="A9244"/>
      <c r="B9244"/>
      <c r="C9244"/>
      <c r="D9244"/>
      <c r="E9244"/>
      <c r="F9244"/>
      <c r="G9244"/>
      <c r="H9244"/>
      <c r="I9244"/>
      <c r="J9244"/>
      <c r="K9244" s="1"/>
      <c r="L9244" s="2"/>
    </row>
    <row r="9245" spans="1:12" x14ac:dyDescent="0.2">
      <c r="A9245"/>
      <c r="B9245"/>
      <c r="C9245"/>
      <c r="D9245"/>
      <c r="E9245"/>
      <c r="F9245"/>
      <c r="G9245"/>
      <c r="H9245"/>
      <c r="I9245"/>
      <c r="J9245"/>
      <c r="K9245" s="1"/>
      <c r="L9245" s="2"/>
    </row>
    <row r="9246" spans="1:12" x14ac:dyDescent="0.2">
      <c r="A9246"/>
      <c r="B9246"/>
      <c r="C9246"/>
      <c r="D9246"/>
      <c r="E9246"/>
      <c r="F9246"/>
      <c r="G9246"/>
      <c r="H9246"/>
      <c r="I9246"/>
      <c r="J9246"/>
      <c r="K9246" s="1"/>
      <c r="L9246" s="2"/>
    </row>
    <row r="9247" spans="1:12" x14ac:dyDescent="0.2">
      <c r="A9247"/>
      <c r="B9247"/>
      <c r="C9247"/>
      <c r="D9247"/>
      <c r="E9247"/>
      <c r="F9247"/>
      <c r="G9247"/>
      <c r="H9247"/>
      <c r="I9247"/>
      <c r="J9247"/>
      <c r="K9247" s="1"/>
      <c r="L9247" s="2"/>
    </row>
    <row r="9248" spans="1:12" x14ac:dyDescent="0.2">
      <c r="A9248"/>
      <c r="B9248"/>
      <c r="C9248"/>
      <c r="D9248"/>
      <c r="E9248"/>
      <c r="F9248"/>
      <c r="G9248"/>
      <c r="H9248"/>
      <c r="I9248"/>
      <c r="J9248"/>
      <c r="K9248" s="1"/>
      <c r="L9248" s="2"/>
    </row>
    <row r="9249" spans="1:12" x14ac:dyDescent="0.2">
      <c r="A9249"/>
      <c r="B9249"/>
      <c r="C9249"/>
      <c r="D9249"/>
      <c r="E9249"/>
      <c r="F9249"/>
      <c r="G9249"/>
      <c r="H9249"/>
      <c r="I9249"/>
      <c r="J9249"/>
      <c r="K9249" s="1"/>
      <c r="L9249" s="2"/>
    </row>
    <row r="9250" spans="1:12" x14ac:dyDescent="0.2">
      <c r="A9250"/>
      <c r="B9250"/>
      <c r="C9250"/>
      <c r="D9250"/>
      <c r="E9250"/>
      <c r="F9250"/>
      <c r="G9250"/>
      <c r="H9250"/>
      <c r="I9250"/>
      <c r="J9250"/>
      <c r="K9250" s="1"/>
      <c r="L9250" s="2"/>
    </row>
    <row r="9251" spans="1:12" x14ac:dyDescent="0.2">
      <c r="A9251"/>
      <c r="B9251"/>
      <c r="C9251"/>
      <c r="D9251"/>
      <c r="E9251"/>
      <c r="F9251"/>
      <c r="G9251"/>
      <c r="H9251"/>
      <c r="I9251"/>
      <c r="J9251"/>
      <c r="K9251" s="1"/>
      <c r="L9251" s="2"/>
    </row>
    <row r="9252" spans="1:12" x14ac:dyDescent="0.2">
      <c r="A9252"/>
      <c r="B9252"/>
      <c r="C9252"/>
      <c r="D9252"/>
      <c r="E9252"/>
      <c r="F9252"/>
      <c r="G9252"/>
      <c r="H9252"/>
      <c r="I9252"/>
      <c r="J9252"/>
      <c r="K9252" s="1"/>
      <c r="L9252" s="2"/>
    </row>
    <row r="9253" spans="1:12" x14ac:dyDescent="0.2">
      <c r="A9253"/>
      <c r="B9253"/>
      <c r="C9253"/>
      <c r="D9253"/>
      <c r="E9253"/>
      <c r="F9253"/>
      <c r="G9253"/>
      <c r="H9253"/>
      <c r="I9253"/>
      <c r="J9253"/>
      <c r="K9253" s="1"/>
      <c r="L9253" s="2"/>
    </row>
    <row r="9254" spans="1:12" x14ac:dyDescent="0.2">
      <c r="A9254"/>
      <c r="B9254"/>
      <c r="C9254"/>
      <c r="D9254"/>
      <c r="E9254"/>
      <c r="F9254"/>
      <c r="G9254"/>
      <c r="H9254"/>
      <c r="I9254"/>
      <c r="J9254"/>
      <c r="K9254" s="1"/>
      <c r="L9254" s="2"/>
    </row>
    <row r="9255" spans="1:12" x14ac:dyDescent="0.2">
      <c r="A9255"/>
      <c r="B9255"/>
      <c r="C9255"/>
      <c r="D9255"/>
      <c r="E9255"/>
      <c r="F9255"/>
      <c r="G9255"/>
      <c r="H9255"/>
      <c r="I9255"/>
      <c r="J9255"/>
      <c r="K9255" s="1"/>
      <c r="L9255" s="2"/>
    </row>
    <row r="9256" spans="1:12" x14ac:dyDescent="0.2">
      <c r="A9256"/>
      <c r="B9256"/>
      <c r="C9256"/>
      <c r="D9256"/>
      <c r="E9256"/>
      <c r="F9256"/>
      <c r="G9256"/>
      <c r="H9256"/>
      <c r="I9256"/>
      <c r="J9256"/>
      <c r="K9256" s="1"/>
      <c r="L9256" s="2"/>
    </row>
    <row r="9257" spans="1:12" x14ac:dyDescent="0.2">
      <c r="A9257"/>
      <c r="B9257"/>
      <c r="C9257"/>
      <c r="D9257"/>
      <c r="E9257"/>
      <c r="F9257"/>
      <c r="G9257"/>
      <c r="H9257"/>
      <c r="I9257"/>
      <c r="J9257"/>
      <c r="K9257" s="1"/>
      <c r="L9257" s="2"/>
    </row>
    <row r="9258" spans="1:12" x14ac:dyDescent="0.2">
      <c r="A9258"/>
      <c r="B9258"/>
      <c r="C9258"/>
      <c r="D9258"/>
      <c r="E9258"/>
      <c r="F9258"/>
      <c r="G9258"/>
      <c r="H9258"/>
      <c r="I9258"/>
      <c r="J9258"/>
      <c r="K9258" s="1"/>
      <c r="L9258" s="2"/>
    </row>
    <row r="9259" spans="1:12" x14ac:dyDescent="0.2">
      <c r="A9259"/>
      <c r="B9259"/>
      <c r="C9259"/>
      <c r="D9259"/>
      <c r="E9259"/>
      <c r="F9259"/>
      <c r="G9259"/>
      <c r="H9259"/>
      <c r="I9259"/>
      <c r="J9259"/>
      <c r="K9259" s="1"/>
      <c r="L9259" s="2"/>
    </row>
    <row r="9260" spans="1:12" x14ac:dyDescent="0.2">
      <c r="A9260"/>
      <c r="B9260"/>
      <c r="C9260"/>
      <c r="D9260"/>
      <c r="E9260"/>
      <c r="F9260"/>
      <c r="G9260"/>
      <c r="H9260"/>
      <c r="I9260"/>
      <c r="J9260"/>
      <c r="K9260" s="1"/>
      <c r="L9260" s="2"/>
    </row>
    <row r="9261" spans="1:12" x14ac:dyDescent="0.2">
      <c r="A9261"/>
      <c r="B9261"/>
      <c r="C9261"/>
      <c r="D9261"/>
      <c r="E9261"/>
      <c r="F9261"/>
      <c r="G9261"/>
      <c r="H9261"/>
      <c r="I9261"/>
      <c r="J9261"/>
      <c r="K9261" s="1"/>
      <c r="L9261" s="2"/>
    </row>
    <row r="9262" spans="1:12" x14ac:dyDescent="0.2">
      <c r="A9262"/>
      <c r="B9262"/>
      <c r="C9262"/>
      <c r="D9262"/>
      <c r="E9262"/>
      <c r="F9262"/>
      <c r="G9262"/>
      <c r="H9262"/>
      <c r="I9262"/>
      <c r="J9262"/>
      <c r="K9262" s="1"/>
      <c r="L9262" s="2"/>
    </row>
    <row r="9263" spans="1:12" x14ac:dyDescent="0.2">
      <c r="A9263"/>
      <c r="B9263"/>
      <c r="C9263"/>
      <c r="D9263"/>
      <c r="E9263"/>
      <c r="F9263"/>
      <c r="G9263"/>
      <c r="H9263"/>
      <c r="I9263"/>
      <c r="J9263"/>
      <c r="K9263" s="1"/>
      <c r="L9263" s="2"/>
    </row>
    <row r="9264" spans="1:12" x14ac:dyDescent="0.2">
      <c r="A9264"/>
      <c r="B9264"/>
      <c r="C9264"/>
      <c r="D9264"/>
      <c r="E9264"/>
      <c r="F9264"/>
      <c r="G9264"/>
      <c r="H9264"/>
      <c r="I9264"/>
      <c r="J9264"/>
      <c r="K9264" s="1"/>
      <c r="L9264" s="2"/>
    </row>
    <row r="9265" spans="1:12" x14ac:dyDescent="0.2">
      <c r="A9265"/>
      <c r="B9265"/>
      <c r="C9265"/>
      <c r="D9265"/>
      <c r="E9265"/>
      <c r="F9265"/>
      <c r="G9265"/>
      <c r="H9265"/>
      <c r="I9265"/>
      <c r="J9265"/>
      <c r="K9265" s="1"/>
      <c r="L9265" s="2"/>
    </row>
    <row r="9266" spans="1:12" x14ac:dyDescent="0.2">
      <c r="A9266"/>
      <c r="B9266"/>
      <c r="C9266"/>
      <c r="D9266"/>
      <c r="E9266"/>
      <c r="F9266"/>
      <c r="G9266"/>
      <c r="H9266"/>
      <c r="I9266"/>
      <c r="J9266"/>
      <c r="K9266" s="1"/>
      <c r="L9266" s="2"/>
    </row>
    <row r="9267" spans="1:12" x14ac:dyDescent="0.2">
      <c r="A9267"/>
      <c r="B9267"/>
      <c r="C9267"/>
      <c r="D9267"/>
      <c r="E9267"/>
      <c r="F9267"/>
      <c r="G9267"/>
      <c r="H9267"/>
      <c r="I9267"/>
      <c r="J9267"/>
      <c r="K9267" s="1"/>
      <c r="L9267" s="2"/>
    </row>
    <row r="9268" spans="1:12" x14ac:dyDescent="0.2">
      <c r="A9268"/>
      <c r="B9268"/>
      <c r="C9268"/>
      <c r="D9268"/>
      <c r="E9268"/>
      <c r="F9268"/>
      <c r="G9268"/>
      <c r="H9268"/>
      <c r="I9268"/>
      <c r="J9268"/>
      <c r="K9268" s="1"/>
      <c r="L9268" s="2"/>
    </row>
    <row r="9269" spans="1:12" x14ac:dyDescent="0.2">
      <c r="A9269"/>
      <c r="B9269"/>
      <c r="C9269"/>
      <c r="D9269"/>
      <c r="E9269"/>
      <c r="F9269"/>
      <c r="G9269"/>
      <c r="H9269"/>
      <c r="I9269"/>
      <c r="J9269"/>
      <c r="K9269" s="1"/>
      <c r="L9269" s="2"/>
    </row>
    <row r="9270" spans="1:12" x14ac:dyDescent="0.2">
      <c r="A9270"/>
      <c r="B9270"/>
      <c r="C9270"/>
      <c r="D9270"/>
      <c r="E9270"/>
      <c r="F9270"/>
      <c r="G9270"/>
      <c r="H9270"/>
      <c r="I9270"/>
      <c r="J9270"/>
      <c r="K9270" s="1"/>
      <c r="L9270" s="2"/>
    </row>
    <row r="9271" spans="1:12" x14ac:dyDescent="0.2">
      <c r="A9271"/>
      <c r="B9271"/>
      <c r="C9271"/>
      <c r="D9271"/>
      <c r="E9271"/>
      <c r="F9271"/>
      <c r="G9271"/>
      <c r="H9271"/>
      <c r="I9271"/>
      <c r="J9271"/>
      <c r="K9271" s="1"/>
      <c r="L9271" s="2"/>
    </row>
    <row r="9272" spans="1:12" x14ac:dyDescent="0.2">
      <c r="A9272"/>
      <c r="B9272"/>
      <c r="C9272"/>
      <c r="D9272"/>
      <c r="E9272"/>
      <c r="F9272"/>
      <c r="G9272"/>
      <c r="H9272"/>
      <c r="I9272"/>
      <c r="J9272"/>
      <c r="K9272" s="1"/>
      <c r="L9272" s="2"/>
    </row>
    <row r="9273" spans="1:12" x14ac:dyDescent="0.2">
      <c r="A9273"/>
      <c r="B9273"/>
      <c r="C9273"/>
      <c r="D9273"/>
      <c r="E9273"/>
      <c r="F9273"/>
      <c r="G9273"/>
      <c r="H9273"/>
      <c r="I9273"/>
      <c r="J9273"/>
      <c r="K9273" s="1"/>
      <c r="L9273" s="2"/>
    </row>
    <row r="9274" spans="1:12" x14ac:dyDescent="0.2">
      <c r="A9274"/>
      <c r="B9274"/>
      <c r="C9274"/>
      <c r="D9274"/>
      <c r="E9274"/>
      <c r="F9274"/>
      <c r="G9274"/>
      <c r="H9274"/>
      <c r="I9274"/>
      <c r="J9274"/>
      <c r="K9274" s="1"/>
      <c r="L9274" s="2"/>
    </row>
    <row r="9275" spans="1:12" x14ac:dyDescent="0.2">
      <c r="A9275"/>
      <c r="B9275"/>
      <c r="C9275"/>
      <c r="D9275"/>
      <c r="E9275"/>
      <c r="F9275"/>
      <c r="G9275"/>
      <c r="H9275"/>
      <c r="I9275"/>
      <c r="J9275"/>
      <c r="K9275" s="1"/>
      <c r="L9275" s="2"/>
    </row>
    <row r="9276" spans="1:12" x14ac:dyDescent="0.2">
      <c r="A9276"/>
      <c r="B9276"/>
      <c r="C9276"/>
      <c r="D9276"/>
      <c r="E9276"/>
      <c r="F9276"/>
      <c r="G9276"/>
      <c r="H9276"/>
      <c r="I9276"/>
      <c r="J9276"/>
      <c r="K9276" s="1"/>
      <c r="L9276" s="2"/>
    </row>
    <row r="9277" spans="1:12" x14ac:dyDescent="0.2">
      <c r="A9277"/>
      <c r="B9277"/>
      <c r="C9277"/>
      <c r="D9277"/>
      <c r="E9277"/>
      <c r="F9277"/>
      <c r="G9277"/>
      <c r="H9277"/>
      <c r="I9277"/>
      <c r="J9277"/>
      <c r="K9277" s="1"/>
      <c r="L9277" s="2"/>
    </row>
    <row r="9278" spans="1:12" x14ac:dyDescent="0.2">
      <c r="A9278"/>
      <c r="B9278"/>
      <c r="C9278"/>
      <c r="D9278"/>
      <c r="E9278"/>
      <c r="F9278"/>
      <c r="G9278"/>
      <c r="H9278"/>
      <c r="I9278"/>
      <c r="J9278"/>
      <c r="K9278" s="1"/>
      <c r="L9278" s="2"/>
    </row>
    <row r="9279" spans="1:12" x14ac:dyDescent="0.2">
      <c r="A9279"/>
      <c r="B9279"/>
      <c r="C9279"/>
      <c r="D9279"/>
      <c r="E9279"/>
      <c r="F9279"/>
      <c r="G9279"/>
      <c r="H9279"/>
      <c r="I9279"/>
      <c r="J9279"/>
      <c r="K9279" s="1"/>
      <c r="L9279" s="2"/>
    </row>
    <row r="9280" spans="1:12" x14ac:dyDescent="0.2">
      <c r="A9280"/>
      <c r="B9280"/>
      <c r="C9280"/>
      <c r="D9280"/>
      <c r="E9280"/>
      <c r="F9280"/>
      <c r="G9280"/>
      <c r="H9280"/>
      <c r="I9280"/>
      <c r="J9280"/>
      <c r="K9280" s="1"/>
      <c r="L9280" s="2"/>
    </row>
    <row r="9281" spans="1:12" x14ac:dyDescent="0.2">
      <c r="A9281"/>
      <c r="B9281"/>
      <c r="C9281"/>
      <c r="D9281"/>
      <c r="E9281"/>
      <c r="F9281"/>
      <c r="G9281"/>
      <c r="H9281"/>
      <c r="I9281"/>
      <c r="J9281"/>
      <c r="K9281" s="1"/>
      <c r="L9281" s="2"/>
    </row>
    <row r="9282" spans="1:12" x14ac:dyDescent="0.2">
      <c r="A9282"/>
      <c r="B9282"/>
      <c r="C9282"/>
      <c r="D9282"/>
      <c r="E9282"/>
      <c r="F9282"/>
      <c r="G9282"/>
      <c r="H9282"/>
      <c r="I9282"/>
      <c r="J9282"/>
      <c r="K9282" s="1"/>
      <c r="L9282" s="2"/>
    </row>
    <row r="9283" spans="1:12" x14ac:dyDescent="0.2">
      <c r="A9283"/>
      <c r="B9283"/>
      <c r="C9283"/>
      <c r="D9283"/>
      <c r="E9283"/>
      <c r="F9283"/>
      <c r="G9283"/>
      <c r="H9283"/>
      <c r="I9283"/>
      <c r="J9283"/>
      <c r="K9283" s="1"/>
      <c r="L9283" s="2"/>
    </row>
    <row r="9284" spans="1:12" x14ac:dyDescent="0.2">
      <c r="A9284"/>
      <c r="B9284"/>
      <c r="C9284"/>
      <c r="D9284"/>
      <c r="E9284"/>
      <c r="F9284"/>
      <c r="G9284"/>
      <c r="H9284"/>
      <c r="I9284"/>
      <c r="J9284"/>
      <c r="K9284" s="1"/>
      <c r="L9284" s="2"/>
    </row>
    <row r="9285" spans="1:12" x14ac:dyDescent="0.2">
      <c r="A9285"/>
      <c r="B9285"/>
      <c r="C9285"/>
      <c r="D9285"/>
      <c r="E9285"/>
      <c r="F9285"/>
      <c r="G9285"/>
      <c r="H9285"/>
      <c r="I9285"/>
      <c r="J9285"/>
      <c r="K9285" s="1"/>
      <c r="L9285" s="2"/>
    </row>
    <row r="9286" spans="1:12" x14ac:dyDescent="0.2">
      <c r="A9286"/>
      <c r="B9286"/>
      <c r="C9286"/>
      <c r="D9286"/>
      <c r="E9286"/>
      <c r="F9286"/>
      <c r="G9286"/>
      <c r="H9286"/>
      <c r="I9286"/>
      <c r="J9286"/>
      <c r="K9286" s="1"/>
      <c r="L9286" s="2"/>
    </row>
    <row r="9287" spans="1:12" x14ac:dyDescent="0.2">
      <c r="A9287"/>
      <c r="B9287"/>
      <c r="C9287"/>
      <c r="D9287"/>
      <c r="E9287"/>
      <c r="F9287"/>
      <c r="G9287"/>
      <c r="H9287"/>
      <c r="I9287"/>
      <c r="J9287"/>
      <c r="K9287" s="1"/>
      <c r="L9287" s="2"/>
    </row>
    <row r="9288" spans="1:12" x14ac:dyDescent="0.2">
      <c r="A9288"/>
      <c r="B9288"/>
      <c r="C9288"/>
      <c r="D9288"/>
      <c r="E9288"/>
      <c r="F9288"/>
      <c r="G9288"/>
      <c r="H9288"/>
      <c r="I9288"/>
      <c r="J9288"/>
      <c r="K9288" s="1"/>
      <c r="L9288" s="2"/>
    </row>
    <row r="9289" spans="1:12" x14ac:dyDescent="0.2">
      <c r="A9289"/>
      <c r="B9289"/>
      <c r="C9289"/>
      <c r="D9289"/>
      <c r="E9289"/>
      <c r="F9289"/>
      <c r="G9289"/>
      <c r="H9289"/>
      <c r="I9289"/>
      <c r="J9289"/>
      <c r="K9289" s="1"/>
      <c r="L9289" s="2"/>
    </row>
    <row r="9290" spans="1:12" x14ac:dyDescent="0.2">
      <c r="A9290"/>
      <c r="B9290"/>
      <c r="C9290"/>
      <c r="D9290"/>
      <c r="E9290"/>
      <c r="F9290"/>
      <c r="G9290"/>
      <c r="H9290"/>
      <c r="I9290"/>
      <c r="J9290"/>
      <c r="K9290" s="1"/>
      <c r="L9290" s="2"/>
    </row>
    <row r="9291" spans="1:12" x14ac:dyDescent="0.2">
      <c r="A9291"/>
      <c r="B9291"/>
      <c r="C9291"/>
      <c r="D9291"/>
      <c r="E9291"/>
      <c r="F9291"/>
      <c r="G9291"/>
      <c r="H9291"/>
      <c r="I9291"/>
      <c r="J9291"/>
      <c r="K9291" s="1"/>
      <c r="L9291" s="2"/>
    </row>
    <row r="9292" spans="1:12" x14ac:dyDescent="0.2">
      <c r="A9292"/>
      <c r="B9292"/>
      <c r="C9292"/>
      <c r="D9292"/>
      <c r="E9292"/>
      <c r="F9292"/>
      <c r="G9292"/>
      <c r="H9292"/>
      <c r="I9292"/>
      <c r="J9292"/>
      <c r="K9292" s="1"/>
      <c r="L9292" s="2"/>
    </row>
    <row r="9293" spans="1:12" x14ac:dyDescent="0.2">
      <c r="A9293"/>
      <c r="B9293"/>
      <c r="C9293"/>
      <c r="D9293"/>
      <c r="E9293"/>
      <c r="F9293"/>
      <c r="G9293"/>
      <c r="H9293"/>
      <c r="I9293"/>
      <c r="J9293"/>
      <c r="K9293" s="1"/>
      <c r="L9293" s="2"/>
    </row>
    <row r="9294" spans="1:12" x14ac:dyDescent="0.2">
      <c r="A9294"/>
      <c r="B9294"/>
      <c r="C9294"/>
      <c r="D9294"/>
      <c r="E9294"/>
      <c r="F9294"/>
      <c r="G9294"/>
      <c r="H9294"/>
      <c r="I9294"/>
      <c r="J9294"/>
      <c r="K9294" s="1"/>
      <c r="L9294" s="2"/>
    </row>
    <row r="9295" spans="1:12" x14ac:dyDescent="0.2">
      <c r="A9295"/>
      <c r="B9295"/>
      <c r="C9295"/>
      <c r="D9295"/>
      <c r="E9295"/>
      <c r="F9295"/>
      <c r="G9295"/>
      <c r="H9295"/>
      <c r="I9295"/>
      <c r="J9295"/>
      <c r="K9295" s="1"/>
      <c r="L9295" s="2"/>
    </row>
    <row r="9296" spans="1:12" x14ac:dyDescent="0.2">
      <c r="A9296"/>
      <c r="B9296"/>
      <c r="C9296"/>
      <c r="D9296"/>
      <c r="E9296"/>
      <c r="F9296"/>
      <c r="G9296"/>
      <c r="H9296"/>
      <c r="I9296"/>
      <c r="J9296"/>
      <c r="K9296" s="1"/>
      <c r="L9296" s="2"/>
    </row>
    <row r="9297" spans="1:12" x14ac:dyDescent="0.2">
      <c r="A9297"/>
      <c r="B9297"/>
      <c r="C9297"/>
      <c r="D9297"/>
      <c r="E9297"/>
      <c r="F9297"/>
      <c r="G9297"/>
      <c r="H9297"/>
      <c r="I9297"/>
      <c r="J9297"/>
      <c r="K9297" s="1"/>
      <c r="L9297" s="2"/>
    </row>
    <row r="9298" spans="1:12" x14ac:dyDescent="0.2">
      <c r="A9298"/>
      <c r="B9298"/>
      <c r="C9298"/>
      <c r="D9298"/>
      <c r="E9298"/>
      <c r="F9298"/>
      <c r="G9298"/>
      <c r="H9298"/>
      <c r="I9298"/>
      <c r="J9298"/>
      <c r="K9298" s="1"/>
      <c r="L9298" s="2"/>
    </row>
    <row r="9299" spans="1:12" x14ac:dyDescent="0.2">
      <c r="A9299"/>
      <c r="B9299"/>
      <c r="C9299"/>
      <c r="D9299"/>
      <c r="E9299"/>
      <c r="F9299"/>
      <c r="G9299"/>
      <c r="H9299"/>
      <c r="I9299"/>
      <c r="J9299"/>
      <c r="K9299" s="1"/>
      <c r="L9299" s="2"/>
    </row>
    <row r="9300" spans="1:12" x14ac:dyDescent="0.2">
      <c r="A9300"/>
      <c r="B9300"/>
      <c r="C9300"/>
      <c r="D9300"/>
      <c r="E9300"/>
      <c r="F9300"/>
      <c r="G9300"/>
      <c r="H9300"/>
      <c r="I9300"/>
      <c r="J9300"/>
      <c r="K9300" s="1"/>
      <c r="L9300" s="2"/>
    </row>
    <row r="9301" spans="1:12" x14ac:dyDescent="0.2">
      <c r="A9301"/>
      <c r="B9301"/>
      <c r="C9301"/>
      <c r="D9301"/>
      <c r="E9301"/>
      <c r="F9301"/>
      <c r="G9301"/>
      <c r="H9301"/>
      <c r="I9301"/>
      <c r="J9301"/>
      <c r="K9301" s="1"/>
      <c r="L9301" s="2"/>
    </row>
    <row r="9302" spans="1:12" x14ac:dyDescent="0.2">
      <c r="A9302"/>
      <c r="B9302"/>
      <c r="C9302"/>
      <c r="D9302"/>
      <c r="E9302"/>
      <c r="F9302"/>
      <c r="G9302"/>
      <c r="H9302"/>
      <c r="I9302"/>
      <c r="J9302"/>
      <c r="K9302" s="1"/>
      <c r="L9302" s="2"/>
    </row>
    <row r="9303" spans="1:12" x14ac:dyDescent="0.2">
      <c r="A9303"/>
      <c r="B9303"/>
      <c r="C9303"/>
      <c r="D9303"/>
      <c r="E9303"/>
      <c r="F9303"/>
      <c r="G9303"/>
      <c r="H9303"/>
      <c r="I9303"/>
      <c r="J9303"/>
      <c r="K9303" s="1"/>
      <c r="L9303" s="2"/>
    </row>
    <row r="9304" spans="1:12" x14ac:dyDescent="0.2">
      <c r="A9304"/>
      <c r="B9304"/>
      <c r="C9304"/>
      <c r="D9304"/>
      <c r="E9304"/>
      <c r="F9304"/>
      <c r="G9304"/>
      <c r="H9304"/>
      <c r="I9304"/>
      <c r="J9304"/>
      <c r="K9304" s="1"/>
      <c r="L9304" s="2"/>
    </row>
    <row r="9305" spans="1:12" x14ac:dyDescent="0.2">
      <c r="A9305"/>
      <c r="B9305"/>
      <c r="C9305"/>
      <c r="D9305"/>
      <c r="E9305"/>
      <c r="F9305"/>
      <c r="G9305"/>
      <c r="H9305"/>
      <c r="I9305"/>
      <c r="J9305"/>
      <c r="K9305" s="1"/>
      <c r="L9305" s="2"/>
    </row>
    <row r="9306" spans="1:12" x14ac:dyDescent="0.2">
      <c r="A9306"/>
      <c r="B9306"/>
      <c r="C9306"/>
      <c r="D9306"/>
      <c r="E9306"/>
      <c r="F9306"/>
      <c r="G9306"/>
      <c r="H9306"/>
      <c r="I9306"/>
      <c r="J9306"/>
      <c r="K9306" s="1"/>
      <c r="L9306" s="2"/>
    </row>
    <row r="9307" spans="1:12" x14ac:dyDescent="0.2">
      <c r="A9307"/>
      <c r="B9307"/>
      <c r="C9307"/>
      <c r="D9307"/>
      <c r="E9307"/>
      <c r="F9307"/>
      <c r="G9307"/>
      <c r="H9307"/>
      <c r="I9307"/>
      <c r="J9307"/>
      <c r="K9307" s="1"/>
      <c r="L9307" s="2"/>
    </row>
    <row r="9308" spans="1:12" x14ac:dyDescent="0.2">
      <c r="A9308"/>
      <c r="B9308"/>
      <c r="C9308"/>
      <c r="D9308"/>
      <c r="E9308"/>
      <c r="F9308"/>
      <c r="G9308"/>
      <c r="H9308"/>
      <c r="I9308"/>
      <c r="J9308"/>
      <c r="K9308" s="1"/>
      <c r="L9308" s="2"/>
    </row>
    <row r="9309" spans="1:12" x14ac:dyDescent="0.2">
      <c r="A9309"/>
      <c r="B9309"/>
      <c r="C9309"/>
      <c r="D9309"/>
      <c r="E9309"/>
      <c r="F9309"/>
      <c r="G9309"/>
      <c r="H9309"/>
      <c r="I9309"/>
      <c r="J9309"/>
      <c r="K9309" s="1"/>
      <c r="L9309" s="2"/>
    </row>
    <row r="9310" spans="1:12" x14ac:dyDescent="0.2">
      <c r="A9310"/>
      <c r="B9310"/>
      <c r="C9310"/>
      <c r="D9310"/>
      <c r="E9310"/>
      <c r="F9310"/>
      <c r="G9310"/>
      <c r="H9310"/>
      <c r="I9310"/>
      <c r="J9310"/>
      <c r="K9310" s="1"/>
      <c r="L9310" s="2"/>
    </row>
    <row r="9311" spans="1:12" x14ac:dyDescent="0.2">
      <c r="A9311"/>
      <c r="B9311"/>
      <c r="C9311"/>
      <c r="D9311"/>
      <c r="E9311"/>
      <c r="F9311"/>
      <c r="G9311"/>
      <c r="H9311"/>
      <c r="I9311"/>
      <c r="J9311"/>
      <c r="K9311" s="1"/>
      <c r="L9311" s="2"/>
    </row>
    <row r="9312" spans="1:12" x14ac:dyDescent="0.2">
      <c r="A9312"/>
      <c r="B9312"/>
      <c r="C9312"/>
      <c r="D9312"/>
      <c r="E9312"/>
      <c r="F9312"/>
      <c r="G9312"/>
      <c r="H9312"/>
      <c r="I9312"/>
      <c r="J9312"/>
      <c r="K9312" s="1"/>
      <c r="L9312" s="2"/>
    </row>
    <row r="9313" spans="1:12" x14ac:dyDescent="0.2">
      <c r="A9313"/>
      <c r="B9313"/>
      <c r="C9313"/>
      <c r="D9313"/>
      <c r="E9313"/>
      <c r="F9313"/>
      <c r="G9313"/>
      <c r="H9313"/>
      <c r="I9313"/>
      <c r="J9313"/>
      <c r="K9313" s="1"/>
      <c r="L9313" s="2"/>
    </row>
    <row r="9314" spans="1:12" x14ac:dyDescent="0.2">
      <c r="A9314"/>
      <c r="B9314"/>
      <c r="C9314"/>
      <c r="D9314"/>
      <c r="E9314"/>
      <c r="F9314"/>
      <c r="G9314"/>
      <c r="H9314"/>
      <c r="I9314"/>
      <c r="J9314"/>
      <c r="K9314" s="1"/>
      <c r="L9314" s="2"/>
    </row>
    <row r="9315" spans="1:12" x14ac:dyDescent="0.2">
      <c r="A9315"/>
      <c r="B9315"/>
      <c r="C9315"/>
      <c r="D9315"/>
      <c r="E9315"/>
      <c r="F9315"/>
      <c r="G9315"/>
      <c r="H9315"/>
      <c r="I9315"/>
      <c r="J9315"/>
      <c r="K9315" s="1"/>
      <c r="L9315" s="2"/>
    </row>
    <row r="9316" spans="1:12" x14ac:dyDescent="0.2">
      <c r="A9316"/>
      <c r="B9316"/>
      <c r="C9316"/>
      <c r="D9316"/>
      <c r="E9316"/>
      <c r="F9316"/>
      <c r="G9316"/>
      <c r="H9316"/>
      <c r="I9316"/>
      <c r="J9316"/>
      <c r="K9316" s="1"/>
      <c r="L9316" s="2"/>
    </row>
    <row r="9317" spans="1:12" x14ac:dyDescent="0.2">
      <c r="A9317"/>
      <c r="B9317"/>
      <c r="C9317"/>
      <c r="D9317"/>
      <c r="E9317"/>
      <c r="F9317"/>
      <c r="G9317"/>
      <c r="H9317"/>
      <c r="I9317"/>
      <c r="J9317"/>
      <c r="K9317" s="1"/>
      <c r="L9317" s="2"/>
    </row>
    <row r="9318" spans="1:12" x14ac:dyDescent="0.2">
      <c r="A9318"/>
      <c r="B9318"/>
      <c r="C9318"/>
      <c r="D9318"/>
      <c r="E9318"/>
      <c r="F9318"/>
      <c r="G9318"/>
      <c r="H9318"/>
      <c r="I9318"/>
      <c r="J9318"/>
      <c r="K9318" s="1"/>
      <c r="L9318" s="2"/>
    </row>
    <row r="9319" spans="1:12" x14ac:dyDescent="0.2">
      <c r="A9319"/>
      <c r="B9319"/>
      <c r="C9319"/>
      <c r="D9319"/>
      <c r="E9319"/>
      <c r="F9319"/>
      <c r="G9319"/>
      <c r="H9319"/>
      <c r="I9319"/>
      <c r="J9319"/>
      <c r="K9319" s="1"/>
      <c r="L9319" s="2"/>
    </row>
    <row r="9320" spans="1:12" x14ac:dyDescent="0.2">
      <c r="A9320"/>
      <c r="B9320"/>
      <c r="C9320"/>
      <c r="D9320"/>
      <c r="E9320"/>
      <c r="F9320"/>
      <c r="G9320"/>
      <c r="H9320"/>
      <c r="I9320"/>
      <c r="J9320"/>
      <c r="K9320" s="1"/>
      <c r="L9320" s="2"/>
    </row>
    <row r="9321" spans="1:12" x14ac:dyDescent="0.2">
      <c r="A9321"/>
      <c r="B9321"/>
      <c r="C9321"/>
      <c r="D9321"/>
      <c r="E9321"/>
      <c r="F9321"/>
      <c r="G9321"/>
      <c r="H9321"/>
      <c r="I9321"/>
      <c r="J9321"/>
      <c r="K9321" s="1"/>
      <c r="L9321" s="2"/>
    </row>
    <row r="9322" spans="1:12" x14ac:dyDescent="0.2">
      <c r="A9322"/>
      <c r="B9322"/>
      <c r="C9322"/>
      <c r="D9322"/>
      <c r="E9322"/>
      <c r="F9322"/>
      <c r="G9322"/>
      <c r="H9322"/>
      <c r="I9322"/>
      <c r="J9322"/>
      <c r="K9322" s="1"/>
      <c r="L9322" s="2"/>
    </row>
    <row r="9323" spans="1:12" x14ac:dyDescent="0.2">
      <c r="A9323"/>
      <c r="B9323"/>
      <c r="C9323"/>
      <c r="D9323"/>
      <c r="E9323"/>
      <c r="F9323"/>
      <c r="G9323"/>
      <c r="H9323"/>
      <c r="I9323"/>
      <c r="J9323"/>
      <c r="K9323" s="1"/>
      <c r="L9323" s="2"/>
    </row>
    <row r="9324" spans="1:12" x14ac:dyDescent="0.2">
      <c r="A9324"/>
      <c r="B9324"/>
      <c r="C9324"/>
      <c r="D9324"/>
      <c r="E9324"/>
      <c r="F9324"/>
      <c r="G9324"/>
      <c r="H9324"/>
      <c r="I9324"/>
      <c r="J9324"/>
      <c r="K9324" s="1"/>
      <c r="L9324" s="2"/>
    </row>
    <row r="9325" spans="1:12" x14ac:dyDescent="0.2">
      <c r="A9325"/>
      <c r="B9325"/>
      <c r="C9325"/>
      <c r="D9325"/>
      <c r="E9325"/>
      <c r="F9325"/>
      <c r="G9325"/>
      <c r="H9325"/>
      <c r="I9325"/>
      <c r="J9325"/>
      <c r="K9325" s="1"/>
      <c r="L9325" s="2"/>
    </row>
    <row r="9326" spans="1:12" x14ac:dyDescent="0.2">
      <c r="A9326"/>
      <c r="B9326"/>
      <c r="C9326"/>
      <c r="D9326"/>
      <c r="E9326"/>
      <c r="F9326"/>
      <c r="G9326"/>
      <c r="H9326"/>
      <c r="I9326"/>
      <c r="J9326"/>
      <c r="K9326" s="1"/>
      <c r="L9326" s="2"/>
    </row>
    <row r="9327" spans="1:12" x14ac:dyDescent="0.2">
      <c r="A9327"/>
      <c r="B9327"/>
      <c r="C9327"/>
      <c r="D9327"/>
      <c r="E9327"/>
      <c r="F9327"/>
      <c r="G9327"/>
      <c r="H9327"/>
      <c r="I9327"/>
      <c r="J9327"/>
      <c r="K9327" s="1"/>
      <c r="L9327" s="2"/>
    </row>
    <row r="9328" spans="1:12" x14ac:dyDescent="0.2">
      <c r="A9328"/>
      <c r="B9328"/>
      <c r="C9328"/>
      <c r="D9328"/>
      <c r="E9328"/>
      <c r="F9328"/>
      <c r="G9328"/>
      <c r="H9328"/>
      <c r="I9328"/>
      <c r="J9328"/>
      <c r="K9328" s="1"/>
      <c r="L9328" s="2"/>
    </row>
    <row r="9329" spans="1:12" x14ac:dyDescent="0.2">
      <c r="A9329"/>
      <c r="B9329"/>
      <c r="C9329"/>
      <c r="D9329"/>
      <c r="E9329"/>
      <c r="F9329"/>
      <c r="G9329"/>
      <c r="H9329"/>
      <c r="I9329"/>
      <c r="J9329"/>
      <c r="K9329" s="1"/>
      <c r="L9329" s="2"/>
    </row>
    <row r="9330" spans="1:12" x14ac:dyDescent="0.2">
      <c r="A9330"/>
      <c r="B9330"/>
      <c r="C9330"/>
      <c r="D9330"/>
      <c r="E9330"/>
      <c r="F9330"/>
      <c r="G9330"/>
      <c r="H9330"/>
      <c r="I9330"/>
      <c r="J9330"/>
      <c r="K9330" s="1"/>
      <c r="L9330" s="2"/>
    </row>
    <row r="9331" spans="1:12" x14ac:dyDescent="0.2">
      <c r="A9331"/>
      <c r="B9331"/>
      <c r="C9331"/>
      <c r="D9331"/>
      <c r="E9331"/>
      <c r="F9331"/>
      <c r="G9331"/>
      <c r="H9331"/>
      <c r="I9331"/>
      <c r="J9331"/>
      <c r="K9331" s="1"/>
      <c r="L9331" s="2"/>
    </row>
    <row r="9332" spans="1:12" x14ac:dyDescent="0.2">
      <c r="A9332"/>
      <c r="B9332"/>
      <c r="C9332"/>
      <c r="D9332"/>
      <c r="E9332"/>
      <c r="F9332"/>
      <c r="G9332"/>
      <c r="H9332"/>
      <c r="I9332"/>
      <c r="J9332"/>
      <c r="K9332" s="1"/>
      <c r="L9332" s="2"/>
    </row>
    <row r="9333" spans="1:12" x14ac:dyDescent="0.2">
      <c r="A9333"/>
      <c r="B9333"/>
      <c r="C9333"/>
      <c r="D9333"/>
      <c r="E9333"/>
      <c r="F9333"/>
      <c r="G9333"/>
      <c r="H9333"/>
      <c r="I9333"/>
      <c r="J9333"/>
      <c r="K9333" s="1"/>
      <c r="L9333" s="2"/>
    </row>
    <row r="9334" spans="1:12" x14ac:dyDescent="0.2">
      <c r="A9334"/>
      <c r="B9334"/>
      <c r="C9334"/>
      <c r="D9334"/>
      <c r="E9334"/>
      <c r="F9334"/>
      <c r="G9334"/>
      <c r="H9334"/>
      <c r="I9334"/>
      <c r="J9334"/>
      <c r="K9334" s="1"/>
      <c r="L9334" s="2"/>
    </row>
    <row r="9335" spans="1:12" x14ac:dyDescent="0.2">
      <c r="A9335"/>
      <c r="B9335"/>
      <c r="C9335"/>
      <c r="D9335"/>
      <c r="E9335"/>
      <c r="F9335"/>
      <c r="G9335"/>
      <c r="H9335"/>
      <c r="I9335"/>
      <c r="J9335"/>
      <c r="K9335" s="1"/>
      <c r="L9335" s="2"/>
    </row>
    <row r="9336" spans="1:12" x14ac:dyDescent="0.2">
      <c r="A9336"/>
      <c r="B9336"/>
      <c r="C9336"/>
      <c r="D9336"/>
      <c r="E9336"/>
      <c r="F9336"/>
      <c r="G9336"/>
      <c r="H9336"/>
      <c r="I9336"/>
      <c r="J9336"/>
      <c r="K9336" s="1"/>
      <c r="L9336" s="2"/>
    </row>
    <row r="9337" spans="1:12" x14ac:dyDescent="0.2">
      <c r="A9337"/>
      <c r="B9337"/>
      <c r="C9337"/>
      <c r="D9337"/>
      <c r="E9337"/>
      <c r="F9337"/>
      <c r="G9337"/>
      <c r="H9337"/>
      <c r="I9337"/>
      <c r="J9337"/>
      <c r="K9337" s="1"/>
      <c r="L9337" s="2"/>
    </row>
    <row r="9338" spans="1:12" x14ac:dyDescent="0.2">
      <c r="A9338"/>
      <c r="B9338"/>
      <c r="C9338"/>
      <c r="D9338"/>
      <c r="E9338"/>
      <c r="F9338"/>
      <c r="G9338"/>
      <c r="H9338"/>
      <c r="I9338"/>
      <c r="J9338"/>
      <c r="K9338" s="1"/>
      <c r="L9338" s="2"/>
    </row>
    <row r="9339" spans="1:12" x14ac:dyDescent="0.2">
      <c r="A9339"/>
      <c r="B9339"/>
      <c r="C9339"/>
      <c r="D9339"/>
      <c r="E9339"/>
      <c r="F9339"/>
      <c r="G9339"/>
      <c r="H9339"/>
      <c r="I9339"/>
      <c r="J9339"/>
      <c r="K9339" s="1"/>
      <c r="L9339" s="2"/>
    </row>
    <row r="9340" spans="1:12" x14ac:dyDescent="0.2">
      <c r="A9340"/>
      <c r="B9340"/>
      <c r="C9340"/>
      <c r="D9340"/>
      <c r="E9340"/>
      <c r="F9340"/>
      <c r="G9340"/>
      <c r="H9340"/>
      <c r="I9340"/>
      <c r="J9340"/>
      <c r="K9340" s="1"/>
      <c r="L9340" s="2"/>
    </row>
    <row r="9341" spans="1:12" x14ac:dyDescent="0.2">
      <c r="A9341"/>
      <c r="B9341"/>
      <c r="C9341"/>
      <c r="D9341"/>
      <c r="E9341"/>
      <c r="F9341"/>
      <c r="G9341"/>
      <c r="H9341"/>
      <c r="I9341"/>
      <c r="J9341"/>
      <c r="K9341" s="1"/>
      <c r="L9341" s="2"/>
    </row>
    <row r="9342" spans="1:12" x14ac:dyDescent="0.2">
      <c r="A9342"/>
      <c r="B9342"/>
      <c r="C9342"/>
      <c r="D9342"/>
      <c r="E9342"/>
      <c r="F9342"/>
      <c r="G9342"/>
      <c r="H9342"/>
      <c r="I9342"/>
      <c r="J9342"/>
      <c r="K9342" s="1"/>
      <c r="L9342" s="2"/>
    </row>
    <row r="9343" spans="1:12" x14ac:dyDescent="0.2">
      <c r="A9343"/>
      <c r="B9343"/>
      <c r="C9343"/>
      <c r="D9343"/>
      <c r="E9343"/>
      <c r="F9343"/>
      <c r="G9343"/>
      <c r="H9343"/>
      <c r="I9343"/>
      <c r="J9343"/>
      <c r="K9343" s="1"/>
      <c r="L9343" s="2"/>
    </row>
    <row r="9344" spans="1:12" x14ac:dyDescent="0.2">
      <c r="A9344"/>
      <c r="B9344"/>
      <c r="C9344"/>
      <c r="D9344"/>
      <c r="E9344"/>
      <c r="F9344"/>
      <c r="G9344"/>
      <c r="H9344"/>
      <c r="I9344"/>
      <c r="J9344"/>
      <c r="K9344" s="1"/>
      <c r="L9344" s="2"/>
    </row>
    <row r="9345" spans="1:12" x14ac:dyDescent="0.2">
      <c r="A9345"/>
      <c r="B9345"/>
      <c r="C9345"/>
      <c r="D9345"/>
      <c r="E9345"/>
      <c r="F9345"/>
      <c r="G9345"/>
      <c r="H9345"/>
      <c r="I9345"/>
      <c r="J9345"/>
      <c r="K9345" s="1"/>
      <c r="L9345" s="2"/>
    </row>
    <row r="9346" spans="1:12" x14ac:dyDescent="0.2">
      <c r="A9346"/>
      <c r="B9346"/>
      <c r="C9346"/>
      <c r="D9346"/>
      <c r="E9346"/>
      <c r="F9346"/>
      <c r="G9346"/>
      <c r="H9346"/>
      <c r="I9346"/>
      <c r="J9346"/>
      <c r="K9346" s="1"/>
      <c r="L9346" s="2"/>
    </row>
    <row r="9347" spans="1:12" x14ac:dyDescent="0.2">
      <c r="A9347"/>
      <c r="B9347"/>
      <c r="C9347"/>
      <c r="D9347"/>
      <c r="E9347"/>
      <c r="F9347"/>
      <c r="G9347"/>
      <c r="H9347"/>
      <c r="I9347"/>
      <c r="J9347"/>
      <c r="K9347" s="1"/>
      <c r="L9347" s="2"/>
    </row>
    <row r="9348" spans="1:12" x14ac:dyDescent="0.2">
      <c r="A9348"/>
      <c r="B9348"/>
      <c r="C9348"/>
      <c r="D9348"/>
      <c r="E9348"/>
      <c r="F9348"/>
      <c r="G9348"/>
      <c r="H9348"/>
      <c r="I9348"/>
      <c r="J9348"/>
      <c r="K9348" s="1"/>
      <c r="L9348" s="2"/>
    </row>
    <row r="9349" spans="1:12" x14ac:dyDescent="0.2">
      <c r="A9349"/>
      <c r="B9349"/>
      <c r="C9349"/>
      <c r="D9349"/>
      <c r="E9349"/>
      <c r="F9349"/>
      <c r="G9349"/>
      <c r="H9349"/>
      <c r="I9349"/>
      <c r="J9349"/>
      <c r="K9349" s="1"/>
      <c r="L9349" s="2"/>
    </row>
    <row r="9350" spans="1:12" x14ac:dyDescent="0.2">
      <c r="A9350"/>
      <c r="B9350"/>
      <c r="C9350"/>
      <c r="D9350"/>
      <c r="E9350"/>
      <c r="F9350"/>
      <c r="G9350"/>
      <c r="H9350"/>
      <c r="I9350"/>
      <c r="J9350"/>
      <c r="K9350" s="1"/>
      <c r="L9350" s="2"/>
    </row>
    <row r="9351" spans="1:12" x14ac:dyDescent="0.2">
      <c r="A9351"/>
      <c r="B9351"/>
      <c r="C9351"/>
      <c r="D9351"/>
      <c r="E9351"/>
      <c r="F9351"/>
      <c r="G9351"/>
      <c r="H9351"/>
      <c r="I9351"/>
      <c r="J9351"/>
      <c r="K9351" s="1"/>
      <c r="L9351" s="2"/>
    </row>
    <row r="9352" spans="1:12" x14ac:dyDescent="0.2">
      <c r="A9352"/>
      <c r="B9352"/>
      <c r="C9352"/>
      <c r="D9352"/>
      <c r="E9352"/>
      <c r="F9352"/>
      <c r="G9352"/>
      <c r="H9352"/>
      <c r="I9352"/>
      <c r="J9352"/>
      <c r="K9352" s="1"/>
      <c r="L9352" s="2"/>
    </row>
    <row r="9353" spans="1:12" x14ac:dyDescent="0.2">
      <c r="A9353"/>
      <c r="B9353"/>
      <c r="C9353"/>
      <c r="D9353"/>
      <c r="E9353"/>
      <c r="F9353"/>
      <c r="G9353"/>
      <c r="H9353"/>
      <c r="I9353"/>
      <c r="J9353"/>
      <c r="K9353" s="1"/>
      <c r="L9353" s="2"/>
    </row>
    <row r="9354" spans="1:12" x14ac:dyDescent="0.2">
      <c r="A9354"/>
      <c r="B9354"/>
      <c r="C9354"/>
      <c r="D9354"/>
      <c r="E9354"/>
      <c r="F9354"/>
      <c r="G9354"/>
      <c r="H9354"/>
      <c r="I9354"/>
      <c r="J9354"/>
      <c r="K9354" s="1"/>
      <c r="L9354" s="2"/>
    </row>
    <row r="9355" spans="1:12" x14ac:dyDescent="0.2">
      <c r="A9355"/>
      <c r="B9355"/>
      <c r="C9355"/>
      <c r="D9355"/>
      <c r="E9355"/>
      <c r="F9355"/>
      <c r="G9355"/>
      <c r="H9355"/>
      <c r="I9355"/>
      <c r="J9355"/>
      <c r="K9355" s="1"/>
      <c r="L9355" s="2"/>
    </row>
    <row r="9356" spans="1:12" x14ac:dyDescent="0.2">
      <c r="A9356"/>
      <c r="B9356"/>
      <c r="C9356"/>
      <c r="D9356"/>
      <c r="E9356"/>
      <c r="F9356"/>
      <c r="G9356"/>
      <c r="H9356"/>
      <c r="I9356"/>
      <c r="J9356"/>
      <c r="K9356" s="1"/>
      <c r="L9356" s="2"/>
    </row>
    <row r="9357" spans="1:12" x14ac:dyDescent="0.2">
      <c r="A9357"/>
      <c r="B9357"/>
      <c r="C9357"/>
      <c r="D9357"/>
      <c r="E9357"/>
      <c r="F9357"/>
      <c r="G9357"/>
      <c r="H9357"/>
      <c r="I9357"/>
      <c r="J9357"/>
      <c r="K9357" s="1"/>
      <c r="L9357" s="2"/>
    </row>
    <row r="9358" spans="1:12" x14ac:dyDescent="0.2">
      <c r="A9358"/>
      <c r="B9358"/>
      <c r="C9358"/>
      <c r="D9358"/>
      <c r="E9358"/>
      <c r="F9358"/>
      <c r="G9358"/>
      <c r="H9358"/>
      <c r="I9358"/>
      <c r="J9358"/>
      <c r="K9358" s="1"/>
      <c r="L9358" s="2"/>
    </row>
    <row r="9359" spans="1:12" x14ac:dyDescent="0.2">
      <c r="A9359"/>
      <c r="B9359"/>
      <c r="C9359"/>
      <c r="D9359"/>
      <c r="E9359"/>
      <c r="F9359"/>
      <c r="G9359"/>
      <c r="H9359"/>
      <c r="I9359"/>
      <c r="J9359"/>
      <c r="K9359" s="1"/>
      <c r="L9359" s="2"/>
    </row>
    <row r="9360" spans="1:12" x14ac:dyDescent="0.2">
      <c r="A9360"/>
      <c r="B9360"/>
      <c r="C9360"/>
      <c r="D9360"/>
      <c r="E9360"/>
      <c r="F9360"/>
      <c r="G9360"/>
      <c r="H9360"/>
      <c r="I9360"/>
      <c r="J9360"/>
      <c r="K9360" s="1"/>
      <c r="L9360" s="2"/>
    </row>
    <row r="9361" spans="1:12" x14ac:dyDescent="0.2">
      <c r="A9361"/>
      <c r="B9361"/>
      <c r="C9361"/>
      <c r="D9361"/>
      <c r="E9361"/>
      <c r="F9361"/>
      <c r="G9361"/>
      <c r="H9361"/>
      <c r="I9361"/>
      <c r="J9361"/>
      <c r="K9361" s="1"/>
      <c r="L9361" s="2"/>
    </row>
    <row r="9362" spans="1:12" x14ac:dyDescent="0.2">
      <c r="A9362"/>
      <c r="B9362"/>
      <c r="C9362"/>
      <c r="D9362"/>
      <c r="E9362"/>
      <c r="F9362"/>
      <c r="G9362"/>
      <c r="H9362"/>
      <c r="I9362"/>
      <c r="J9362"/>
      <c r="K9362" s="1"/>
      <c r="L9362" s="2"/>
    </row>
    <row r="9363" spans="1:12" x14ac:dyDescent="0.2">
      <c r="A9363"/>
      <c r="B9363"/>
      <c r="C9363"/>
      <c r="D9363"/>
      <c r="E9363"/>
      <c r="F9363"/>
      <c r="G9363"/>
      <c r="H9363"/>
      <c r="I9363"/>
      <c r="J9363"/>
      <c r="K9363" s="1"/>
      <c r="L9363" s="2"/>
    </row>
    <row r="9364" spans="1:12" x14ac:dyDescent="0.2">
      <c r="A9364"/>
      <c r="B9364"/>
      <c r="C9364"/>
      <c r="D9364"/>
      <c r="E9364"/>
      <c r="F9364"/>
      <c r="G9364"/>
      <c r="H9364"/>
      <c r="I9364"/>
      <c r="J9364"/>
      <c r="K9364" s="1"/>
      <c r="L9364" s="2"/>
    </row>
    <row r="9365" spans="1:12" x14ac:dyDescent="0.2">
      <c r="A9365"/>
      <c r="B9365"/>
      <c r="C9365"/>
      <c r="D9365"/>
      <c r="E9365"/>
      <c r="F9365"/>
      <c r="G9365"/>
      <c r="H9365"/>
      <c r="I9365"/>
      <c r="J9365"/>
      <c r="K9365" s="1"/>
      <c r="L9365" s="2"/>
    </row>
    <row r="9366" spans="1:12" x14ac:dyDescent="0.2">
      <c r="A9366"/>
      <c r="B9366"/>
      <c r="C9366"/>
      <c r="D9366"/>
      <c r="E9366"/>
      <c r="F9366"/>
      <c r="G9366"/>
      <c r="H9366"/>
      <c r="I9366"/>
      <c r="J9366"/>
      <c r="K9366" s="1"/>
      <c r="L9366" s="2"/>
    </row>
    <row r="9367" spans="1:12" x14ac:dyDescent="0.2">
      <c r="A9367"/>
      <c r="B9367"/>
      <c r="C9367"/>
      <c r="D9367"/>
      <c r="E9367"/>
      <c r="F9367"/>
      <c r="G9367"/>
      <c r="H9367"/>
      <c r="I9367"/>
      <c r="J9367"/>
      <c r="K9367" s="1"/>
      <c r="L9367" s="2"/>
    </row>
    <row r="9368" spans="1:12" x14ac:dyDescent="0.2">
      <c r="A9368"/>
      <c r="B9368"/>
      <c r="C9368"/>
      <c r="D9368"/>
      <c r="E9368"/>
      <c r="F9368"/>
      <c r="G9368"/>
      <c r="H9368"/>
      <c r="I9368"/>
      <c r="J9368"/>
      <c r="K9368" s="1"/>
      <c r="L9368" s="2"/>
    </row>
    <row r="9369" spans="1:12" x14ac:dyDescent="0.2">
      <c r="A9369"/>
      <c r="B9369"/>
      <c r="C9369"/>
      <c r="D9369"/>
      <c r="E9369"/>
      <c r="F9369"/>
      <c r="G9369"/>
      <c r="H9369"/>
      <c r="I9369"/>
      <c r="J9369"/>
      <c r="K9369" s="1"/>
      <c r="L9369" s="2"/>
    </row>
    <row r="9370" spans="1:12" x14ac:dyDescent="0.2">
      <c r="A9370"/>
      <c r="B9370"/>
      <c r="C9370"/>
      <c r="D9370"/>
      <c r="E9370"/>
      <c r="F9370"/>
      <c r="G9370"/>
      <c r="H9370"/>
      <c r="I9370"/>
      <c r="J9370"/>
      <c r="K9370" s="1"/>
      <c r="L9370" s="2"/>
    </row>
    <row r="9371" spans="1:12" x14ac:dyDescent="0.2">
      <c r="A9371"/>
      <c r="B9371"/>
      <c r="C9371"/>
      <c r="D9371"/>
      <c r="E9371"/>
      <c r="F9371"/>
      <c r="G9371"/>
      <c r="H9371"/>
      <c r="I9371"/>
      <c r="J9371"/>
      <c r="K9371" s="1"/>
      <c r="L9371" s="2"/>
    </row>
    <row r="9372" spans="1:12" x14ac:dyDescent="0.2">
      <c r="A9372"/>
      <c r="B9372"/>
      <c r="C9372"/>
      <c r="D9372"/>
      <c r="E9372"/>
      <c r="F9372"/>
      <c r="G9372"/>
      <c r="H9372"/>
      <c r="I9372"/>
      <c r="J9372"/>
      <c r="K9372" s="1"/>
      <c r="L9372" s="2"/>
    </row>
    <row r="9373" spans="1:12" x14ac:dyDescent="0.2">
      <c r="A9373"/>
      <c r="B9373"/>
      <c r="C9373"/>
      <c r="D9373"/>
      <c r="E9373"/>
      <c r="F9373"/>
      <c r="G9373"/>
      <c r="H9373"/>
      <c r="I9373"/>
      <c r="J9373"/>
      <c r="K9373" s="1"/>
      <c r="L9373" s="2"/>
    </row>
    <row r="9374" spans="1:12" x14ac:dyDescent="0.2">
      <c r="A9374"/>
      <c r="B9374"/>
      <c r="C9374"/>
      <c r="D9374"/>
      <c r="E9374"/>
      <c r="F9374"/>
      <c r="G9374"/>
      <c r="H9374"/>
      <c r="I9374"/>
      <c r="J9374"/>
      <c r="K9374" s="1"/>
      <c r="L9374" s="2"/>
    </row>
    <row r="9375" spans="1:12" x14ac:dyDescent="0.2">
      <c r="A9375"/>
      <c r="B9375"/>
      <c r="C9375"/>
      <c r="D9375"/>
      <c r="E9375"/>
      <c r="F9375"/>
      <c r="G9375"/>
      <c r="H9375"/>
      <c r="I9375"/>
      <c r="J9375"/>
      <c r="K9375" s="1"/>
      <c r="L9375" s="2"/>
    </row>
    <row r="9376" spans="1:12" x14ac:dyDescent="0.2">
      <c r="A9376"/>
      <c r="B9376"/>
      <c r="C9376"/>
      <c r="D9376"/>
      <c r="E9376"/>
      <c r="F9376"/>
      <c r="G9376"/>
      <c r="H9376"/>
      <c r="I9376"/>
      <c r="J9376"/>
      <c r="K9376" s="1"/>
      <c r="L9376" s="2"/>
    </row>
    <row r="9377" spans="1:12" x14ac:dyDescent="0.2">
      <c r="A9377"/>
      <c r="B9377"/>
      <c r="C9377"/>
      <c r="D9377"/>
      <c r="E9377"/>
      <c r="F9377"/>
      <c r="G9377"/>
      <c r="H9377"/>
      <c r="I9377"/>
      <c r="J9377"/>
      <c r="K9377" s="1"/>
      <c r="L9377" s="2"/>
    </row>
    <row r="9378" spans="1:12" x14ac:dyDescent="0.2">
      <c r="A9378"/>
      <c r="B9378"/>
      <c r="C9378"/>
      <c r="D9378"/>
      <c r="E9378"/>
      <c r="F9378"/>
      <c r="G9378"/>
      <c r="H9378"/>
      <c r="I9378"/>
      <c r="J9378"/>
      <c r="K9378" s="1"/>
      <c r="L9378" s="2"/>
    </row>
    <row r="9379" spans="1:12" x14ac:dyDescent="0.2">
      <c r="A9379"/>
      <c r="B9379"/>
      <c r="C9379"/>
      <c r="D9379"/>
      <c r="E9379"/>
      <c r="F9379"/>
      <c r="G9379"/>
      <c r="H9379"/>
      <c r="I9379"/>
      <c r="J9379"/>
      <c r="K9379" s="1"/>
      <c r="L9379" s="2"/>
    </row>
    <row r="9380" spans="1:12" x14ac:dyDescent="0.2">
      <c r="A9380"/>
      <c r="B9380"/>
      <c r="C9380"/>
      <c r="D9380"/>
      <c r="E9380"/>
      <c r="F9380"/>
      <c r="G9380"/>
      <c r="H9380"/>
      <c r="I9380"/>
      <c r="J9380"/>
      <c r="K9380" s="1"/>
      <c r="L9380" s="2"/>
    </row>
    <row r="9381" spans="1:12" x14ac:dyDescent="0.2">
      <c r="A9381"/>
      <c r="B9381"/>
      <c r="C9381"/>
      <c r="D9381"/>
      <c r="E9381"/>
      <c r="F9381"/>
      <c r="G9381"/>
      <c r="H9381"/>
      <c r="I9381"/>
      <c r="J9381"/>
      <c r="K9381" s="1"/>
      <c r="L9381" s="2"/>
    </row>
    <row r="9382" spans="1:12" x14ac:dyDescent="0.2">
      <c r="A9382"/>
      <c r="B9382"/>
      <c r="C9382"/>
      <c r="D9382"/>
      <c r="E9382"/>
      <c r="F9382"/>
      <c r="G9382"/>
      <c r="H9382"/>
      <c r="I9382"/>
      <c r="J9382"/>
      <c r="K9382" s="1"/>
      <c r="L9382" s="2"/>
    </row>
    <row r="9383" spans="1:12" x14ac:dyDescent="0.2">
      <c r="A9383"/>
      <c r="B9383"/>
      <c r="C9383"/>
      <c r="D9383"/>
      <c r="E9383"/>
      <c r="F9383"/>
      <c r="G9383"/>
      <c r="H9383"/>
      <c r="I9383"/>
      <c r="J9383"/>
      <c r="K9383" s="1"/>
      <c r="L9383" s="2"/>
    </row>
    <row r="9384" spans="1:12" x14ac:dyDescent="0.2">
      <c r="A9384"/>
      <c r="B9384"/>
      <c r="C9384"/>
      <c r="D9384"/>
      <c r="E9384"/>
      <c r="F9384"/>
      <c r="G9384"/>
      <c r="H9384"/>
      <c r="I9384"/>
      <c r="J9384"/>
      <c r="K9384" s="1"/>
      <c r="L9384" s="2"/>
    </row>
    <row r="9385" spans="1:12" x14ac:dyDescent="0.2">
      <c r="A9385"/>
      <c r="B9385"/>
      <c r="C9385"/>
      <c r="D9385"/>
      <c r="E9385"/>
      <c r="F9385"/>
      <c r="G9385"/>
      <c r="H9385"/>
      <c r="I9385"/>
      <c r="J9385"/>
      <c r="K9385" s="1"/>
      <c r="L9385" s="2"/>
    </row>
    <row r="9386" spans="1:12" x14ac:dyDescent="0.2">
      <c r="A9386"/>
      <c r="B9386"/>
      <c r="C9386"/>
      <c r="D9386"/>
      <c r="E9386"/>
      <c r="F9386"/>
      <c r="G9386"/>
      <c r="H9386"/>
      <c r="I9386"/>
      <c r="J9386"/>
      <c r="K9386" s="1"/>
      <c r="L9386" s="2"/>
    </row>
    <row r="9387" spans="1:12" x14ac:dyDescent="0.2">
      <c r="A9387"/>
      <c r="B9387"/>
      <c r="C9387"/>
      <c r="D9387"/>
      <c r="E9387"/>
      <c r="F9387"/>
      <c r="G9387"/>
      <c r="H9387"/>
      <c r="I9387"/>
      <c r="J9387"/>
      <c r="K9387" s="1"/>
      <c r="L9387" s="2"/>
    </row>
    <row r="9388" spans="1:12" x14ac:dyDescent="0.2">
      <c r="A9388"/>
      <c r="B9388"/>
      <c r="C9388"/>
      <c r="D9388"/>
      <c r="E9388"/>
      <c r="F9388"/>
      <c r="G9388"/>
      <c r="H9388"/>
      <c r="I9388"/>
      <c r="J9388"/>
      <c r="K9388" s="1"/>
      <c r="L9388" s="2"/>
    </row>
    <row r="9389" spans="1:12" x14ac:dyDescent="0.2">
      <c r="A9389"/>
      <c r="B9389"/>
      <c r="C9389"/>
      <c r="D9389"/>
      <c r="E9389"/>
      <c r="F9389"/>
      <c r="G9389"/>
      <c r="H9389"/>
      <c r="I9389"/>
      <c r="J9389"/>
      <c r="K9389" s="1"/>
      <c r="L9389" s="2"/>
    </row>
    <row r="9390" spans="1:12" x14ac:dyDescent="0.2">
      <c r="A9390"/>
      <c r="B9390"/>
      <c r="C9390"/>
      <c r="D9390"/>
      <c r="E9390"/>
      <c r="F9390"/>
      <c r="G9390"/>
      <c r="H9390"/>
      <c r="I9390"/>
      <c r="J9390"/>
      <c r="K9390" s="1"/>
      <c r="L9390" s="2"/>
    </row>
    <row r="9391" spans="1:12" x14ac:dyDescent="0.2">
      <c r="A9391"/>
      <c r="B9391"/>
      <c r="C9391"/>
      <c r="D9391"/>
      <c r="E9391"/>
      <c r="F9391"/>
      <c r="G9391"/>
      <c r="H9391"/>
      <c r="I9391"/>
      <c r="J9391"/>
      <c r="K9391" s="1"/>
      <c r="L9391" s="2"/>
    </row>
    <row r="9392" spans="1:12" x14ac:dyDescent="0.2">
      <c r="A9392"/>
      <c r="B9392"/>
      <c r="C9392"/>
      <c r="D9392"/>
      <c r="E9392"/>
      <c r="F9392"/>
      <c r="G9392"/>
      <c r="H9392"/>
      <c r="I9392"/>
      <c r="J9392"/>
      <c r="K9392" s="1"/>
      <c r="L9392" s="2"/>
    </row>
    <row r="9393" spans="1:12" x14ac:dyDescent="0.2">
      <c r="A9393"/>
      <c r="B9393"/>
      <c r="C9393"/>
      <c r="D9393"/>
      <c r="E9393"/>
      <c r="F9393"/>
      <c r="G9393"/>
      <c r="H9393"/>
      <c r="I9393"/>
      <c r="J9393"/>
      <c r="K9393" s="1"/>
      <c r="L9393" s="2"/>
    </row>
    <row r="9394" spans="1:12" x14ac:dyDescent="0.2">
      <c r="A9394"/>
      <c r="B9394"/>
      <c r="C9394"/>
      <c r="D9394"/>
      <c r="E9394"/>
      <c r="F9394"/>
      <c r="G9394"/>
      <c r="H9394"/>
      <c r="I9394"/>
      <c r="J9394"/>
      <c r="K9394" s="1"/>
      <c r="L9394" s="2"/>
    </row>
    <row r="9395" spans="1:12" x14ac:dyDescent="0.2">
      <c r="A9395"/>
      <c r="B9395"/>
      <c r="C9395"/>
      <c r="D9395"/>
      <c r="E9395"/>
      <c r="F9395"/>
      <c r="G9395"/>
      <c r="H9395"/>
      <c r="I9395"/>
      <c r="J9395"/>
      <c r="K9395" s="1"/>
      <c r="L9395" s="2"/>
    </row>
    <row r="9396" spans="1:12" x14ac:dyDescent="0.2">
      <c r="A9396"/>
      <c r="B9396"/>
      <c r="C9396"/>
      <c r="D9396"/>
      <c r="E9396"/>
      <c r="F9396"/>
      <c r="G9396"/>
      <c r="H9396"/>
      <c r="I9396"/>
      <c r="J9396"/>
      <c r="K9396" s="1"/>
      <c r="L9396" s="2"/>
    </row>
    <row r="9397" spans="1:12" x14ac:dyDescent="0.2">
      <c r="A9397"/>
      <c r="B9397"/>
      <c r="C9397"/>
      <c r="D9397"/>
      <c r="E9397"/>
      <c r="F9397"/>
      <c r="G9397"/>
      <c r="H9397"/>
      <c r="I9397"/>
      <c r="J9397"/>
      <c r="K9397" s="1"/>
      <c r="L9397" s="2"/>
    </row>
    <row r="9398" spans="1:12" x14ac:dyDescent="0.2">
      <c r="A9398"/>
      <c r="B9398"/>
      <c r="C9398"/>
      <c r="D9398"/>
      <c r="E9398"/>
      <c r="F9398"/>
      <c r="G9398"/>
      <c r="H9398"/>
      <c r="I9398"/>
      <c r="J9398"/>
      <c r="K9398" s="1"/>
      <c r="L9398" s="2"/>
    </row>
    <row r="9399" spans="1:12" x14ac:dyDescent="0.2">
      <c r="A9399"/>
      <c r="B9399"/>
      <c r="C9399"/>
      <c r="D9399"/>
      <c r="E9399"/>
      <c r="F9399"/>
      <c r="G9399"/>
      <c r="H9399"/>
      <c r="I9399"/>
      <c r="J9399"/>
      <c r="K9399" s="1"/>
      <c r="L9399" s="2"/>
    </row>
    <row r="9400" spans="1:12" x14ac:dyDescent="0.2">
      <c r="A9400"/>
      <c r="B9400"/>
      <c r="C9400"/>
      <c r="D9400"/>
      <c r="E9400"/>
      <c r="F9400"/>
      <c r="G9400"/>
      <c r="H9400"/>
      <c r="I9400"/>
      <c r="J9400"/>
      <c r="K9400" s="1"/>
      <c r="L9400" s="2"/>
    </row>
    <row r="9401" spans="1:12" x14ac:dyDescent="0.2">
      <c r="A9401"/>
      <c r="B9401"/>
      <c r="C9401"/>
      <c r="D9401"/>
      <c r="E9401"/>
      <c r="F9401"/>
      <c r="G9401"/>
      <c r="H9401"/>
      <c r="I9401"/>
      <c r="J9401"/>
      <c r="K9401" s="1"/>
      <c r="L9401" s="2"/>
    </row>
    <row r="9402" spans="1:12" x14ac:dyDescent="0.2">
      <c r="A9402"/>
      <c r="B9402"/>
      <c r="C9402"/>
      <c r="D9402"/>
      <c r="E9402"/>
      <c r="F9402"/>
      <c r="G9402"/>
      <c r="H9402"/>
      <c r="I9402"/>
      <c r="J9402"/>
      <c r="K9402" s="1"/>
      <c r="L9402" s="2"/>
    </row>
    <row r="9403" spans="1:12" x14ac:dyDescent="0.2">
      <c r="A9403"/>
      <c r="B9403"/>
      <c r="C9403"/>
      <c r="D9403"/>
      <c r="E9403"/>
      <c r="F9403"/>
      <c r="G9403"/>
      <c r="H9403"/>
      <c r="I9403"/>
      <c r="J9403"/>
      <c r="K9403" s="1"/>
      <c r="L9403" s="2"/>
    </row>
    <row r="9404" spans="1:12" x14ac:dyDescent="0.2">
      <c r="A9404"/>
      <c r="B9404"/>
      <c r="C9404"/>
      <c r="D9404"/>
      <c r="E9404"/>
      <c r="F9404"/>
      <c r="G9404"/>
      <c r="H9404"/>
      <c r="I9404"/>
      <c r="J9404"/>
      <c r="K9404" s="1"/>
      <c r="L9404" s="2"/>
    </row>
    <row r="9405" spans="1:12" x14ac:dyDescent="0.2">
      <c r="A9405"/>
      <c r="B9405"/>
      <c r="C9405"/>
      <c r="D9405"/>
      <c r="E9405"/>
      <c r="F9405"/>
      <c r="G9405"/>
      <c r="H9405"/>
      <c r="I9405"/>
      <c r="J9405"/>
      <c r="K9405" s="1"/>
      <c r="L9405" s="2"/>
    </row>
    <row r="9406" spans="1:12" x14ac:dyDescent="0.2">
      <c r="A9406"/>
      <c r="B9406"/>
      <c r="C9406"/>
      <c r="D9406"/>
      <c r="E9406"/>
      <c r="F9406"/>
      <c r="G9406"/>
      <c r="H9406"/>
      <c r="I9406"/>
      <c r="J9406"/>
      <c r="K9406" s="1"/>
      <c r="L9406" s="2"/>
    </row>
    <row r="9407" spans="1:12" x14ac:dyDescent="0.2">
      <c r="A9407"/>
      <c r="B9407"/>
      <c r="C9407"/>
      <c r="D9407"/>
      <c r="E9407"/>
      <c r="F9407"/>
      <c r="G9407"/>
      <c r="H9407"/>
      <c r="I9407"/>
      <c r="J9407"/>
      <c r="K9407" s="1"/>
      <c r="L9407" s="2"/>
    </row>
    <row r="9408" spans="1:12" x14ac:dyDescent="0.2">
      <c r="A9408"/>
      <c r="B9408"/>
      <c r="C9408"/>
      <c r="D9408"/>
      <c r="E9408"/>
      <c r="F9408"/>
      <c r="G9408"/>
      <c r="H9408"/>
      <c r="I9408"/>
      <c r="J9408"/>
      <c r="K9408" s="1"/>
      <c r="L9408" s="2"/>
    </row>
    <row r="9409" spans="1:12" x14ac:dyDescent="0.2">
      <c r="A9409"/>
      <c r="B9409"/>
      <c r="C9409"/>
      <c r="D9409"/>
      <c r="E9409"/>
      <c r="F9409"/>
      <c r="G9409"/>
      <c r="H9409"/>
      <c r="I9409"/>
      <c r="J9409"/>
      <c r="K9409" s="1"/>
      <c r="L9409" s="2"/>
    </row>
    <row r="9410" spans="1:12" x14ac:dyDescent="0.2">
      <c r="A9410"/>
      <c r="B9410"/>
      <c r="C9410"/>
      <c r="D9410"/>
      <c r="E9410"/>
      <c r="F9410"/>
      <c r="G9410"/>
      <c r="H9410"/>
      <c r="I9410"/>
      <c r="J9410"/>
      <c r="K9410" s="1"/>
      <c r="L9410" s="2"/>
    </row>
    <row r="9411" spans="1:12" x14ac:dyDescent="0.2">
      <c r="A9411"/>
      <c r="B9411"/>
      <c r="C9411"/>
      <c r="D9411"/>
      <c r="E9411"/>
      <c r="F9411"/>
      <c r="G9411"/>
      <c r="H9411"/>
      <c r="I9411"/>
      <c r="J9411"/>
      <c r="K9411" s="1"/>
      <c r="L9411" s="2"/>
    </row>
    <row r="9412" spans="1:12" x14ac:dyDescent="0.2">
      <c r="A9412"/>
      <c r="B9412"/>
      <c r="C9412"/>
      <c r="D9412"/>
      <c r="E9412"/>
      <c r="F9412"/>
      <c r="G9412"/>
      <c r="H9412"/>
      <c r="I9412"/>
      <c r="J9412"/>
      <c r="K9412" s="1"/>
      <c r="L9412" s="2"/>
    </row>
    <row r="9413" spans="1:12" x14ac:dyDescent="0.2">
      <c r="A9413"/>
      <c r="B9413"/>
      <c r="C9413"/>
      <c r="D9413"/>
      <c r="E9413"/>
      <c r="F9413"/>
      <c r="G9413"/>
      <c r="H9413"/>
      <c r="I9413"/>
      <c r="J9413"/>
      <c r="K9413" s="1"/>
      <c r="L9413" s="2"/>
    </row>
    <row r="9414" spans="1:12" x14ac:dyDescent="0.2">
      <c r="A9414"/>
      <c r="B9414"/>
      <c r="C9414"/>
      <c r="D9414"/>
      <c r="E9414"/>
      <c r="F9414"/>
      <c r="G9414"/>
      <c r="H9414"/>
      <c r="I9414"/>
      <c r="J9414"/>
      <c r="K9414" s="1"/>
      <c r="L9414" s="2"/>
    </row>
    <row r="9415" spans="1:12" x14ac:dyDescent="0.2">
      <c r="A9415"/>
      <c r="B9415"/>
      <c r="C9415"/>
      <c r="D9415"/>
      <c r="E9415"/>
      <c r="F9415"/>
      <c r="G9415"/>
      <c r="H9415"/>
      <c r="I9415"/>
      <c r="J9415"/>
      <c r="K9415" s="1"/>
      <c r="L9415" s="2"/>
    </row>
    <row r="9416" spans="1:12" x14ac:dyDescent="0.2">
      <c r="A9416"/>
      <c r="B9416"/>
      <c r="C9416"/>
      <c r="D9416"/>
      <c r="E9416"/>
      <c r="F9416"/>
      <c r="G9416"/>
      <c r="H9416"/>
      <c r="I9416"/>
      <c r="J9416"/>
      <c r="K9416" s="1"/>
      <c r="L9416" s="2"/>
    </row>
    <row r="9417" spans="1:12" x14ac:dyDescent="0.2">
      <c r="A9417"/>
      <c r="B9417"/>
      <c r="C9417"/>
      <c r="D9417"/>
      <c r="E9417"/>
      <c r="F9417"/>
      <c r="G9417"/>
      <c r="H9417"/>
      <c r="I9417"/>
      <c r="J9417"/>
      <c r="K9417" s="1"/>
      <c r="L9417" s="2"/>
    </row>
    <row r="9418" spans="1:12" x14ac:dyDescent="0.2">
      <c r="A9418"/>
      <c r="B9418"/>
      <c r="C9418"/>
      <c r="D9418"/>
      <c r="E9418"/>
      <c r="F9418"/>
      <c r="G9418"/>
      <c r="H9418"/>
      <c r="I9418"/>
      <c r="J9418"/>
      <c r="K9418" s="1"/>
      <c r="L9418" s="2"/>
    </row>
    <row r="9419" spans="1:12" x14ac:dyDescent="0.2">
      <c r="A9419"/>
      <c r="B9419"/>
      <c r="C9419"/>
      <c r="D9419"/>
      <c r="E9419"/>
      <c r="F9419"/>
      <c r="G9419"/>
      <c r="H9419"/>
      <c r="I9419"/>
      <c r="J9419"/>
      <c r="K9419" s="1"/>
      <c r="L9419" s="2"/>
    </row>
    <row r="9420" spans="1:12" x14ac:dyDescent="0.2">
      <c r="A9420"/>
      <c r="B9420"/>
      <c r="C9420"/>
      <c r="D9420"/>
      <c r="E9420"/>
      <c r="F9420"/>
      <c r="G9420"/>
      <c r="H9420"/>
      <c r="I9420"/>
      <c r="J9420"/>
      <c r="K9420" s="1"/>
      <c r="L9420" s="2"/>
    </row>
    <row r="9421" spans="1:12" x14ac:dyDescent="0.2">
      <c r="A9421"/>
      <c r="B9421"/>
      <c r="C9421"/>
      <c r="D9421"/>
      <c r="E9421"/>
      <c r="F9421"/>
      <c r="G9421"/>
      <c r="H9421"/>
      <c r="I9421"/>
      <c r="J9421"/>
      <c r="K9421" s="1"/>
      <c r="L9421" s="2"/>
    </row>
    <row r="9422" spans="1:12" x14ac:dyDescent="0.2">
      <c r="A9422"/>
      <c r="B9422"/>
      <c r="C9422"/>
      <c r="D9422"/>
      <c r="E9422"/>
      <c r="F9422"/>
      <c r="G9422"/>
      <c r="H9422"/>
      <c r="I9422"/>
      <c r="J9422"/>
      <c r="K9422" s="1"/>
      <c r="L9422" s="2"/>
    </row>
    <row r="9423" spans="1:12" x14ac:dyDescent="0.2">
      <c r="A9423"/>
      <c r="B9423"/>
      <c r="C9423"/>
      <c r="D9423"/>
      <c r="E9423"/>
      <c r="F9423"/>
      <c r="G9423"/>
      <c r="H9423"/>
      <c r="I9423"/>
      <c r="J9423"/>
      <c r="K9423" s="1"/>
      <c r="L9423" s="2"/>
    </row>
    <row r="9424" spans="1:12" x14ac:dyDescent="0.2">
      <c r="A9424"/>
      <c r="B9424"/>
      <c r="C9424"/>
      <c r="D9424"/>
      <c r="E9424"/>
      <c r="F9424"/>
      <c r="G9424"/>
      <c r="H9424"/>
      <c r="I9424"/>
      <c r="J9424"/>
      <c r="K9424" s="1"/>
      <c r="L9424" s="2"/>
    </row>
    <row r="9425" spans="1:12" x14ac:dyDescent="0.2">
      <c r="A9425"/>
      <c r="B9425"/>
      <c r="C9425"/>
      <c r="D9425"/>
      <c r="E9425"/>
      <c r="F9425"/>
      <c r="G9425"/>
      <c r="H9425"/>
      <c r="I9425"/>
      <c r="J9425"/>
      <c r="K9425" s="1"/>
      <c r="L9425" s="2"/>
    </row>
    <row r="9426" spans="1:12" x14ac:dyDescent="0.2">
      <c r="A9426"/>
      <c r="B9426"/>
      <c r="C9426"/>
      <c r="D9426"/>
      <c r="E9426"/>
      <c r="F9426"/>
      <c r="G9426"/>
      <c r="H9426"/>
      <c r="I9426"/>
      <c r="J9426"/>
      <c r="K9426" s="1"/>
      <c r="L9426" s="2"/>
    </row>
    <row r="9427" spans="1:12" x14ac:dyDescent="0.2">
      <c r="A9427"/>
      <c r="B9427"/>
      <c r="C9427"/>
      <c r="D9427"/>
      <c r="E9427"/>
      <c r="F9427"/>
      <c r="G9427"/>
      <c r="H9427"/>
      <c r="I9427"/>
      <c r="J9427"/>
      <c r="K9427" s="1"/>
      <c r="L9427" s="2"/>
    </row>
    <row r="9428" spans="1:12" x14ac:dyDescent="0.2">
      <c r="A9428"/>
      <c r="B9428"/>
      <c r="C9428"/>
      <c r="D9428"/>
      <c r="E9428"/>
      <c r="F9428"/>
      <c r="G9428"/>
      <c r="H9428"/>
      <c r="I9428"/>
      <c r="J9428"/>
      <c r="K9428" s="1"/>
      <c r="L9428" s="2"/>
    </row>
    <row r="9429" spans="1:12" x14ac:dyDescent="0.2">
      <c r="A9429"/>
      <c r="B9429"/>
      <c r="C9429"/>
      <c r="D9429"/>
      <c r="E9429"/>
      <c r="F9429"/>
      <c r="G9429"/>
      <c r="H9429"/>
      <c r="I9429"/>
      <c r="J9429"/>
      <c r="K9429" s="1"/>
      <c r="L9429" s="2"/>
    </row>
    <row r="9430" spans="1:12" x14ac:dyDescent="0.2">
      <c r="A9430"/>
      <c r="B9430"/>
      <c r="C9430"/>
      <c r="D9430"/>
      <c r="E9430"/>
      <c r="F9430"/>
      <c r="G9430"/>
      <c r="H9430"/>
      <c r="I9430"/>
      <c r="J9430"/>
      <c r="K9430" s="1"/>
      <c r="L9430" s="2"/>
    </row>
    <row r="9431" spans="1:12" x14ac:dyDescent="0.2">
      <c r="A9431"/>
      <c r="B9431"/>
      <c r="C9431"/>
      <c r="D9431"/>
      <c r="E9431"/>
      <c r="F9431"/>
      <c r="G9431"/>
      <c r="H9431"/>
      <c r="I9431"/>
      <c r="J9431"/>
      <c r="K9431" s="1"/>
      <c r="L9431" s="2"/>
    </row>
    <row r="9432" spans="1:12" x14ac:dyDescent="0.2">
      <c r="A9432"/>
      <c r="B9432"/>
      <c r="C9432"/>
      <c r="D9432"/>
      <c r="E9432"/>
      <c r="F9432"/>
      <c r="G9432"/>
      <c r="H9432"/>
      <c r="I9432"/>
      <c r="J9432"/>
      <c r="K9432" s="1"/>
      <c r="L9432" s="2"/>
    </row>
    <row r="9433" spans="1:12" x14ac:dyDescent="0.2">
      <c r="A9433"/>
      <c r="B9433"/>
      <c r="C9433"/>
      <c r="D9433"/>
      <c r="E9433"/>
      <c r="F9433"/>
      <c r="G9433"/>
      <c r="H9433"/>
      <c r="I9433"/>
      <c r="J9433"/>
      <c r="K9433" s="1"/>
      <c r="L9433" s="2"/>
    </row>
    <row r="9434" spans="1:12" x14ac:dyDescent="0.2">
      <c r="A9434"/>
      <c r="B9434"/>
      <c r="C9434"/>
      <c r="D9434"/>
      <c r="E9434"/>
      <c r="F9434"/>
      <c r="G9434"/>
      <c r="H9434"/>
      <c r="I9434"/>
      <c r="J9434"/>
      <c r="K9434" s="1"/>
      <c r="L9434" s="2"/>
    </row>
    <row r="9435" spans="1:12" x14ac:dyDescent="0.2">
      <c r="A9435"/>
      <c r="B9435"/>
      <c r="C9435"/>
      <c r="D9435"/>
      <c r="E9435"/>
      <c r="F9435"/>
      <c r="G9435"/>
      <c r="H9435"/>
      <c r="I9435"/>
      <c r="J9435"/>
      <c r="K9435" s="1"/>
      <c r="L9435" s="2"/>
    </row>
    <row r="9436" spans="1:12" x14ac:dyDescent="0.2">
      <c r="A9436"/>
      <c r="B9436"/>
      <c r="C9436"/>
      <c r="D9436"/>
      <c r="E9436"/>
      <c r="F9436"/>
      <c r="G9436"/>
      <c r="H9436"/>
      <c r="I9436"/>
      <c r="J9436"/>
      <c r="K9436" s="1"/>
      <c r="L9436" s="2"/>
    </row>
    <row r="9437" spans="1:12" x14ac:dyDescent="0.2">
      <c r="A9437"/>
      <c r="B9437"/>
      <c r="C9437"/>
      <c r="D9437"/>
      <c r="E9437"/>
      <c r="F9437"/>
      <c r="G9437"/>
      <c r="H9437"/>
      <c r="I9437"/>
      <c r="J9437"/>
      <c r="K9437" s="1"/>
      <c r="L9437" s="2"/>
    </row>
    <row r="9438" spans="1:12" x14ac:dyDescent="0.2">
      <c r="A9438"/>
      <c r="B9438"/>
      <c r="C9438"/>
      <c r="D9438"/>
      <c r="E9438"/>
      <c r="F9438"/>
      <c r="G9438"/>
      <c r="H9438"/>
      <c r="I9438"/>
      <c r="J9438"/>
      <c r="K9438" s="1"/>
      <c r="L9438" s="2"/>
    </row>
    <row r="9439" spans="1:12" x14ac:dyDescent="0.2">
      <c r="A9439"/>
      <c r="B9439"/>
      <c r="C9439"/>
      <c r="D9439"/>
      <c r="E9439"/>
      <c r="F9439"/>
      <c r="G9439"/>
      <c r="H9439"/>
      <c r="I9439"/>
      <c r="J9439"/>
      <c r="K9439" s="1"/>
      <c r="L9439" s="2"/>
    </row>
    <row r="9440" spans="1:12" x14ac:dyDescent="0.2">
      <c r="A9440"/>
      <c r="B9440"/>
      <c r="C9440"/>
      <c r="D9440"/>
      <c r="E9440"/>
      <c r="F9440"/>
      <c r="G9440"/>
      <c r="H9440"/>
      <c r="I9440"/>
      <c r="J9440"/>
      <c r="K9440" s="1"/>
      <c r="L9440" s="2"/>
    </row>
    <row r="9441" spans="1:12" x14ac:dyDescent="0.2">
      <c r="A9441"/>
      <c r="B9441"/>
      <c r="C9441"/>
      <c r="D9441"/>
      <c r="E9441"/>
      <c r="F9441"/>
      <c r="G9441"/>
      <c r="H9441"/>
      <c r="I9441"/>
      <c r="J9441"/>
      <c r="K9441" s="1"/>
      <c r="L9441" s="2"/>
    </row>
    <row r="9442" spans="1:12" x14ac:dyDescent="0.2">
      <c r="A9442"/>
      <c r="B9442"/>
      <c r="C9442"/>
      <c r="D9442"/>
      <c r="E9442"/>
      <c r="F9442"/>
      <c r="G9442"/>
      <c r="H9442"/>
      <c r="I9442"/>
      <c r="J9442"/>
      <c r="K9442" s="1"/>
      <c r="L9442" s="2"/>
    </row>
    <row r="9443" spans="1:12" x14ac:dyDescent="0.2">
      <c r="A9443"/>
      <c r="B9443"/>
      <c r="C9443"/>
      <c r="D9443"/>
      <c r="E9443"/>
      <c r="F9443"/>
      <c r="G9443"/>
      <c r="H9443"/>
      <c r="I9443"/>
      <c r="J9443"/>
      <c r="K9443" s="1"/>
      <c r="L9443" s="2"/>
    </row>
    <row r="9444" spans="1:12" x14ac:dyDescent="0.2">
      <c r="A9444"/>
      <c r="B9444"/>
      <c r="C9444"/>
      <c r="D9444"/>
      <c r="E9444"/>
      <c r="F9444"/>
      <c r="G9444"/>
      <c r="H9444"/>
      <c r="I9444"/>
      <c r="J9444"/>
      <c r="K9444" s="1"/>
      <c r="L9444" s="2"/>
    </row>
    <row r="9445" spans="1:12" x14ac:dyDescent="0.2">
      <c r="A9445"/>
      <c r="B9445"/>
      <c r="C9445"/>
      <c r="D9445"/>
      <c r="E9445"/>
      <c r="F9445"/>
      <c r="G9445"/>
      <c r="H9445"/>
      <c r="I9445"/>
      <c r="J9445"/>
      <c r="K9445" s="1"/>
      <c r="L9445" s="2"/>
    </row>
    <row r="9446" spans="1:12" x14ac:dyDescent="0.2">
      <c r="A9446"/>
      <c r="B9446"/>
      <c r="C9446"/>
      <c r="D9446"/>
      <c r="E9446"/>
      <c r="F9446"/>
      <c r="G9446"/>
      <c r="H9446"/>
      <c r="I9446"/>
      <c r="J9446"/>
      <c r="K9446" s="1"/>
      <c r="L9446" s="2"/>
    </row>
    <row r="9447" spans="1:12" x14ac:dyDescent="0.2">
      <c r="A9447"/>
      <c r="B9447"/>
      <c r="C9447"/>
      <c r="D9447"/>
      <c r="E9447"/>
      <c r="F9447"/>
      <c r="G9447"/>
      <c r="H9447"/>
      <c r="I9447"/>
      <c r="J9447"/>
      <c r="K9447" s="1"/>
      <c r="L9447" s="2"/>
    </row>
    <row r="9448" spans="1:12" x14ac:dyDescent="0.2">
      <c r="A9448"/>
      <c r="B9448"/>
      <c r="C9448"/>
      <c r="D9448"/>
      <c r="E9448"/>
      <c r="F9448"/>
      <c r="G9448"/>
      <c r="H9448"/>
      <c r="I9448"/>
      <c r="J9448"/>
      <c r="K9448" s="1"/>
      <c r="L9448" s="2"/>
    </row>
    <row r="9449" spans="1:12" x14ac:dyDescent="0.2">
      <c r="A9449"/>
      <c r="B9449"/>
      <c r="C9449"/>
      <c r="D9449"/>
      <c r="E9449"/>
      <c r="F9449"/>
      <c r="G9449"/>
      <c r="H9449"/>
      <c r="I9449"/>
      <c r="J9449"/>
      <c r="K9449" s="1"/>
      <c r="L9449" s="2"/>
    </row>
    <row r="9450" spans="1:12" x14ac:dyDescent="0.2">
      <c r="A9450"/>
      <c r="B9450"/>
      <c r="C9450"/>
      <c r="D9450"/>
      <c r="E9450"/>
      <c r="F9450"/>
      <c r="G9450"/>
      <c r="H9450"/>
      <c r="I9450"/>
      <c r="J9450"/>
      <c r="K9450" s="1"/>
      <c r="L9450" s="2"/>
    </row>
    <row r="9451" spans="1:12" x14ac:dyDescent="0.2">
      <c r="A9451"/>
      <c r="B9451"/>
      <c r="C9451"/>
      <c r="D9451"/>
      <c r="E9451"/>
      <c r="F9451"/>
      <c r="G9451"/>
      <c r="H9451"/>
      <c r="I9451"/>
      <c r="J9451"/>
      <c r="K9451" s="1"/>
      <c r="L9451" s="2"/>
    </row>
    <row r="9452" spans="1:12" x14ac:dyDescent="0.2">
      <c r="A9452"/>
      <c r="B9452"/>
      <c r="C9452"/>
      <c r="D9452"/>
      <c r="E9452"/>
      <c r="F9452"/>
      <c r="G9452"/>
      <c r="H9452"/>
      <c r="I9452"/>
      <c r="J9452"/>
      <c r="K9452" s="1"/>
      <c r="L9452" s="2"/>
    </row>
    <row r="9453" spans="1:12" x14ac:dyDescent="0.2">
      <c r="A9453"/>
      <c r="B9453"/>
      <c r="C9453"/>
      <c r="D9453"/>
      <c r="E9453"/>
      <c r="F9453"/>
      <c r="G9453"/>
      <c r="H9453"/>
      <c r="I9453"/>
      <c r="J9453"/>
      <c r="K9453" s="1"/>
      <c r="L9453" s="2"/>
    </row>
    <row r="9454" spans="1:12" x14ac:dyDescent="0.2">
      <c r="A9454"/>
      <c r="B9454"/>
      <c r="C9454"/>
      <c r="D9454"/>
      <c r="E9454"/>
      <c r="F9454"/>
      <c r="G9454"/>
      <c r="H9454"/>
      <c r="I9454"/>
      <c r="J9454"/>
      <c r="K9454" s="1"/>
      <c r="L9454" s="2"/>
    </row>
    <row r="9455" spans="1:12" x14ac:dyDescent="0.2">
      <c r="A9455"/>
      <c r="B9455"/>
      <c r="C9455"/>
      <c r="D9455"/>
      <c r="E9455"/>
      <c r="F9455"/>
      <c r="G9455"/>
      <c r="H9455"/>
      <c r="I9455"/>
      <c r="J9455"/>
      <c r="K9455" s="1"/>
      <c r="L9455" s="2"/>
    </row>
    <row r="9456" spans="1:12" x14ac:dyDescent="0.2">
      <c r="A9456"/>
      <c r="B9456"/>
      <c r="C9456"/>
      <c r="D9456"/>
      <c r="E9456"/>
      <c r="F9456"/>
      <c r="G9456"/>
      <c r="H9456"/>
      <c r="I9456"/>
      <c r="J9456"/>
      <c r="K9456" s="1"/>
      <c r="L9456" s="2"/>
    </row>
    <row r="9457" spans="1:12" x14ac:dyDescent="0.2">
      <c r="A9457"/>
      <c r="B9457"/>
      <c r="C9457"/>
      <c r="D9457"/>
      <c r="E9457"/>
      <c r="F9457"/>
      <c r="G9457"/>
      <c r="H9457"/>
      <c r="I9457"/>
      <c r="J9457"/>
      <c r="K9457" s="1"/>
      <c r="L9457" s="2"/>
    </row>
    <row r="9458" spans="1:12" x14ac:dyDescent="0.2">
      <c r="A9458"/>
      <c r="B9458"/>
      <c r="C9458"/>
      <c r="D9458"/>
      <c r="E9458"/>
      <c r="F9458"/>
      <c r="G9458"/>
      <c r="H9458"/>
      <c r="I9458"/>
      <c r="J9458"/>
      <c r="K9458" s="1"/>
      <c r="L9458" s="2"/>
    </row>
    <row r="9459" spans="1:12" x14ac:dyDescent="0.2">
      <c r="A9459"/>
      <c r="B9459"/>
      <c r="C9459"/>
      <c r="D9459"/>
      <c r="E9459"/>
      <c r="F9459"/>
      <c r="G9459"/>
      <c r="H9459"/>
      <c r="I9459"/>
      <c r="J9459"/>
      <c r="K9459" s="1"/>
      <c r="L9459" s="2"/>
    </row>
    <row r="9460" spans="1:12" x14ac:dyDescent="0.2">
      <c r="A9460"/>
      <c r="B9460"/>
      <c r="C9460"/>
      <c r="D9460"/>
      <c r="E9460"/>
      <c r="F9460"/>
      <c r="G9460"/>
      <c r="H9460"/>
      <c r="I9460"/>
      <c r="J9460"/>
      <c r="K9460" s="1"/>
      <c r="L9460" s="2"/>
    </row>
    <row r="9461" spans="1:12" x14ac:dyDescent="0.2">
      <c r="A9461"/>
      <c r="B9461"/>
      <c r="C9461"/>
      <c r="D9461"/>
      <c r="E9461"/>
      <c r="F9461"/>
      <c r="G9461"/>
      <c r="H9461"/>
      <c r="I9461"/>
      <c r="J9461"/>
      <c r="K9461" s="1"/>
      <c r="L9461" s="2"/>
    </row>
    <row r="9462" spans="1:12" x14ac:dyDescent="0.2">
      <c r="A9462"/>
      <c r="B9462"/>
      <c r="C9462"/>
      <c r="D9462"/>
      <c r="E9462"/>
      <c r="F9462"/>
      <c r="G9462"/>
      <c r="H9462"/>
      <c r="I9462"/>
      <c r="J9462"/>
      <c r="K9462" s="1"/>
      <c r="L9462" s="2"/>
    </row>
    <row r="9463" spans="1:12" x14ac:dyDescent="0.2">
      <c r="A9463"/>
      <c r="B9463"/>
      <c r="C9463"/>
      <c r="D9463"/>
      <c r="E9463"/>
      <c r="F9463"/>
      <c r="G9463"/>
      <c r="H9463"/>
      <c r="I9463"/>
      <c r="J9463"/>
      <c r="K9463" s="1"/>
      <c r="L9463" s="2"/>
    </row>
    <row r="9464" spans="1:12" x14ac:dyDescent="0.2">
      <c r="A9464"/>
      <c r="B9464"/>
      <c r="C9464"/>
      <c r="D9464"/>
      <c r="E9464"/>
      <c r="F9464"/>
      <c r="G9464"/>
      <c r="H9464"/>
      <c r="I9464"/>
      <c r="J9464"/>
      <c r="K9464" s="1"/>
      <c r="L9464" s="2"/>
    </row>
    <row r="9465" spans="1:12" x14ac:dyDescent="0.2">
      <c r="A9465"/>
      <c r="B9465"/>
      <c r="C9465"/>
      <c r="D9465"/>
      <c r="E9465"/>
      <c r="F9465"/>
      <c r="G9465"/>
      <c r="H9465"/>
      <c r="I9465"/>
      <c r="J9465"/>
      <c r="K9465" s="1"/>
      <c r="L9465" s="2"/>
    </row>
    <row r="9466" spans="1:12" x14ac:dyDescent="0.2">
      <c r="A9466"/>
      <c r="B9466"/>
      <c r="C9466"/>
      <c r="D9466"/>
      <c r="E9466"/>
      <c r="F9466"/>
      <c r="G9466"/>
      <c r="H9466"/>
      <c r="I9466"/>
      <c r="J9466"/>
      <c r="K9466" s="1"/>
      <c r="L9466" s="2"/>
    </row>
    <row r="9467" spans="1:12" x14ac:dyDescent="0.2">
      <c r="A9467"/>
      <c r="B9467"/>
      <c r="C9467"/>
      <c r="D9467"/>
      <c r="E9467"/>
      <c r="F9467"/>
      <c r="G9467"/>
      <c r="H9467"/>
      <c r="I9467"/>
      <c r="J9467"/>
      <c r="K9467" s="1"/>
      <c r="L9467" s="2"/>
    </row>
    <row r="9468" spans="1:12" x14ac:dyDescent="0.2">
      <c r="A9468"/>
      <c r="B9468"/>
      <c r="C9468"/>
      <c r="D9468"/>
      <c r="E9468"/>
      <c r="F9468"/>
      <c r="G9468"/>
      <c r="H9468"/>
      <c r="I9468"/>
      <c r="J9468"/>
      <c r="K9468" s="1"/>
      <c r="L9468" s="2"/>
    </row>
    <row r="9469" spans="1:12" x14ac:dyDescent="0.2">
      <c r="A9469"/>
      <c r="B9469"/>
      <c r="C9469"/>
      <c r="D9469"/>
      <c r="E9469"/>
      <c r="F9469"/>
      <c r="G9469"/>
      <c r="H9469"/>
      <c r="I9469"/>
      <c r="J9469"/>
      <c r="K9469" s="1"/>
      <c r="L9469" s="2"/>
    </row>
    <row r="9470" spans="1:12" x14ac:dyDescent="0.2">
      <c r="A9470"/>
      <c r="B9470"/>
      <c r="C9470"/>
      <c r="D9470"/>
      <c r="E9470"/>
      <c r="F9470"/>
      <c r="G9470"/>
      <c r="H9470"/>
      <c r="I9470"/>
      <c r="J9470"/>
      <c r="K9470" s="1"/>
      <c r="L9470" s="2"/>
    </row>
    <row r="9471" spans="1:12" x14ac:dyDescent="0.2">
      <c r="A9471"/>
      <c r="B9471"/>
      <c r="C9471"/>
      <c r="D9471"/>
      <c r="E9471"/>
      <c r="F9471"/>
      <c r="G9471"/>
      <c r="H9471"/>
      <c r="I9471"/>
      <c r="J9471"/>
      <c r="K9471" s="1"/>
      <c r="L9471" s="2"/>
    </row>
    <row r="9472" spans="1:12" x14ac:dyDescent="0.2">
      <c r="A9472"/>
      <c r="B9472"/>
      <c r="C9472"/>
      <c r="D9472"/>
      <c r="E9472"/>
      <c r="F9472"/>
      <c r="G9472"/>
      <c r="H9472"/>
      <c r="I9472"/>
      <c r="J9472"/>
      <c r="K9472" s="1"/>
      <c r="L9472" s="2"/>
    </row>
    <row r="9473" spans="1:12" x14ac:dyDescent="0.2">
      <c r="A9473"/>
      <c r="B9473"/>
      <c r="C9473"/>
      <c r="D9473"/>
      <c r="E9473"/>
      <c r="F9473"/>
      <c r="G9473"/>
      <c r="H9473"/>
      <c r="I9473"/>
      <c r="J9473"/>
      <c r="K9473" s="1"/>
      <c r="L9473" s="2"/>
    </row>
    <row r="9474" spans="1:12" x14ac:dyDescent="0.2">
      <c r="A9474"/>
      <c r="B9474"/>
      <c r="C9474"/>
      <c r="D9474"/>
      <c r="E9474"/>
      <c r="F9474"/>
      <c r="G9474"/>
      <c r="H9474"/>
      <c r="I9474"/>
      <c r="J9474"/>
      <c r="K9474" s="1"/>
      <c r="L9474" s="2"/>
    </row>
    <row r="9475" spans="1:12" x14ac:dyDescent="0.2">
      <c r="A9475"/>
      <c r="B9475"/>
      <c r="C9475"/>
      <c r="D9475"/>
      <c r="E9475"/>
      <c r="F9475"/>
      <c r="G9475"/>
      <c r="H9475"/>
      <c r="I9475"/>
      <c r="J9475"/>
      <c r="K9475" s="1"/>
      <c r="L9475" s="2"/>
    </row>
    <row r="9476" spans="1:12" x14ac:dyDescent="0.2">
      <c r="A9476"/>
      <c r="B9476"/>
      <c r="C9476"/>
      <c r="D9476"/>
      <c r="E9476"/>
      <c r="F9476"/>
      <c r="G9476"/>
      <c r="H9476"/>
      <c r="I9476"/>
      <c r="J9476"/>
      <c r="K9476" s="1"/>
      <c r="L9476" s="2"/>
    </row>
    <row r="9477" spans="1:12" x14ac:dyDescent="0.2">
      <c r="A9477"/>
      <c r="B9477"/>
      <c r="C9477"/>
      <c r="D9477"/>
      <c r="E9477"/>
      <c r="F9477"/>
      <c r="G9477"/>
      <c r="H9477"/>
      <c r="I9477"/>
      <c r="J9477"/>
      <c r="K9477" s="1"/>
      <c r="L9477" s="2"/>
    </row>
    <row r="9478" spans="1:12" x14ac:dyDescent="0.2">
      <c r="A9478"/>
      <c r="B9478"/>
      <c r="C9478"/>
      <c r="D9478"/>
      <c r="E9478"/>
      <c r="F9478"/>
      <c r="G9478"/>
      <c r="H9478"/>
      <c r="I9478"/>
      <c r="J9478"/>
      <c r="K9478" s="1"/>
      <c r="L9478" s="2"/>
    </row>
    <row r="9479" spans="1:12" x14ac:dyDescent="0.2">
      <c r="A9479"/>
      <c r="B9479"/>
      <c r="C9479"/>
      <c r="D9479"/>
      <c r="E9479"/>
      <c r="F9479"/>
      <c r="G9479"/>
      <c r="H9479"/>
      <c r="I9479"/>
      <c r="J9479"/>
      <c r="K9479" s="1"/>
      <c r="L9479" s="2"/>
    </row>
    <row r="9480" spans="1:12" x14ac:dyDescent="0.2">
      <c r="A9480"/>
      <c r="B9480"/>
      <c r="C9480"/>
      <c r="D9480"/>
      <c r="E9480"/>
      <c r="F9480"/>
      <c r="G9480"/>
      <c r="H9480"/>
      <c r="I9480"/>
      <c r="J9480"/>
      <c r="K9480" s="1"/>
      <c r="L9480" s="2"/>
    </row>
    <row r="9481" spans="1:12" x14ac:dyDescent="0.2">
      <c r="A9481"/>
      <c r="B9481"/>
      <c r="C9481"/>
      <c r="D9481"/>
      <c r="E9481"/>
      <c r="F9481"/>
      <c r="G9481"/>
      <c r="H9481"/>
      <c r="I9481"/>
      <c r="J9481"/>
      <c r="K9481" s="1"/>
      <c r="L9481" s="2"/>
    </row>
    <row r="9482" spans="1:12" x14ac:dyDescent="0.2">
      <c r="A9482"/>
      <c r="B9482"/>
      <c r="C9482"/>
      <c r="D9482"/>
      <c r="E9482"/>
      <c r="F9482"/>
      <c r="G9482"/>
      <c r="H9482"/>
      <c r="I9482"/>
      <c r="J9482"/>
      <c r="K9482" s="1"/>
      <c r="L9482" s="2"/>
    </row>
    <row r="9483" spans="1:12" x14ac:dyDescent="0.2">
      <c r="A9483"/>
      <c r="B9483"/>
      <c r="C9483"/>
      <c r="D9483"/>
      <c r="E9483"/>
      <c r="F9483"/>
      <c r="G9483"/>
      <c r="H9483"/>
      <c r="I9483"/>
      <c r="J9483"/>
      <c r="K9483" s="1"/>
      <c r="L9483" s="2"/>
    </row>
    <row r="9484" spans="1:12" x14ac:dyDescent="0.2">
      <c r="A9484"/>
      <c r="B9484"/>
      <c r="C9484"/>
      <c r="D9484"/>
      <c r="E9484"/>
      <c r="F9484"/>
      <c r="G9484"/>
      <c r="H9484"/>
      <c r="I9484"/>
      <c r="J9484"/>
      <c r="K9484" s="1"/>
      <c r="L9484" s="2"/>
    </row>
    <row r="9485" spans="1:12" x14ac:dyDescent="0.2">
      <c r="A9485"/>
      <c r="B9485"/>
      <c r="C9485"/>
      <c r="D9485"/>
      <c r="E9485"/>
      <c r="F9485"/>
      <c r="G9485"/>
      <c r="H9485"/>
      <c r="I9485"/>
      <c r="J9485"/>
      <c r="K9485" s="1"/>
      <c r="L9485" s="2"/>
    </row>
    <row r="9486" spans="1:12" x14ac:dyDescent="0.2">
      <c r="A9486"/>
      <c r="B9486"/>
      <c r="C9486"/>
      <c r="D9486"/>
      <c r="E9486"/>
      <c r="F9486"/>
      <c r="G9486"/>
      <c r="H9486"/>
      <c r="I9486"/>
      <c r="J9486"/>
      <c r="K9486" s="1"/>
      <c r="L9486" s="2"/>
    </row>
    <row r="9487" spans="1:12" x14ac:dyDescent="0.2">
      <c r="A9487"/>
      <c r="B9487"/>
      <c r="C9487"/>
      <c r="D9487"/>
      <c r="E9487"/>
      <c r="F9487"/>
      <c r="G9487"/>
      <c r="H9487"/>
      <c r="I9487"/>
      <c r="J9487"/>
      <c r="K9487" s="1"/>
      <c r="L9487" s="2"/>
    </row>
    <row r="9488" spans="1:12" x14ac:dyDescent="0.2">
      <c r="A9488"/>
      <c r="B9488"/>
      <c r="C9488"/>
      <c r="D9488"/>
      <c r="E9488"/>
      <c r="F9488"/>
      <c r="G9488"/>
      <c r="H9488"/>
      <c r="I9488"/>
      <c r="J9488"/>
      <c r="K9488" s="1"/>
      <c r="L9488" s="2"/>
    </row>
    <row r="9489" spans="1:12" x14ac:dyDescent="0.2">
      <c r="A9489"/>
      <c r="B9489"/>
      <c r="C9489"/>
      <c r="D9489"/>
      <c r="E9489"/>
      <c r="F9489"/>
      <c r="G9489"/>
      <c r="H9489"/>
      <c r="I9489"/>
      <c r="J9489"/>
      <c r="K9489" s="1"/>
      <c r="L9489" s="2"/>
    </row>
    <row r="9490" spans="1:12" x14ac:dyDescent="0.2">
      <c r="A9490"/>
      <c r="B9490"/>
      <c r="C9490"/>
      <c r="D9490"/>
      <c r="E9490"/>
      <c r="F9490"/>
      <c r="G9490"/>
      <c r="H9490"/>
      <c r="I9490"/>
      <c r="J9490"/>
      <c r="K9490" s="1"/>
      <c r="L9490" s="2"/>
    </row>
    <row r="9491" spans="1:12" x14ac:dyDescent="0.2">
      <c r="A9491"/>
      <c r="B9491"/>
      <c r="C9491"/>
      <c r="D9491"/>
      <c r="E9491"/>
      <c r="F9491"/>
      <c r="G9491"/>
      <c r="H9491"/>
      <c r="I9491"/>
      <c r="J9491"/>
      <c r="K9491" s="1"/>
      <c r="L9491" s="2"/>
    </row>
    <row r="9492" spans="1:12" x14ac:dyDescent="0.2">
      <c r="A9492"/>
      <c r="B9492"/>
      <c r="C9492"/>
      <c r="D9492"/>
      <c r="E9492"/>
      <c r="F9492"/>
      <c r="G9492"/>
      <c r="H9492"/>
      <c r="I9492"/>
      <c r="J9492"/>
      <c r="K9492" s="1"/>
      <c r="L9492" s="2"/>
    </row>
    <row r="9493" spans="1:12" x14ac:dyDescent="0.2">
      <c r="A9493"/>
      <c r="B9493"/>
      <c r="C9493"/>
      <c r="D9493"/>
      <c r="E9493"/>
      <c r="F9493"/>
      <c r="G9493"/>
      <c r="H9493"/>
      <c r="I9493"/>
      <c r="J9493"/>
      <c r="K9493" s="1"/>
      <c r="L9493" s="2"/>
    </row>
    <row r="9494" spans="1:12" x14ac:dyDescent="0.2">
      <c r="A9494"/>
      <c r="B9494"/>
      <c r="C9494"/>
      <c r="D9494"/>
      <c r="E9494"/>
      <c r="F9494"/>
      <c r="G9494"/>
      <c r="H9494"/>
      <c r="I9494"/>
      <c r="J9494"/>
      <c r="K9494" s="1"/>
      <c r="L9494" s="2"/>
    </row>
    <row r="9495" spans="1:12" x14ac:dyDescent="0.2">
      <c r="A9495"/>
      <c r="B9495"/>
      <c r="C9495"/>
      <c r="D9495"/>
      <c r="E9495"/>
      <c r="F9495"/>
      <c r="G9495"/>
      <c r="H9495"/>
      <c r="I9495"/>
      <c r="J9495"/>
      <c r="K9495" s="1"/>
      <c r="L9495" s="2"/>
    </row>
    <row r="9496" spans="1:12" x14ac:dyDescent="0.2">
      <c r="A9496"/>
      <c r="B9496"/>
      <c r="C9496"/>
      <c r="D9496"/>
      <c r="E9496"/>
      <c r="F9496"/>
      <c r="G9496"/>
      <c r="H9496"/>
      <c r="I9496"/>
      <c r="J9496"/>
      <c r="K9496" s="1"/>
      <c r="L9496" s="2"/>
    </row>
    <row r="9497" spans="1:12" x14ac:dyDescent="0.2">
      <c r="A9497"/>
      <c r="B9497"/>
      <c r="C9497"/>
      <c r="D9497"/>
      <c r="E9497"/>
      <c r="F9497"/>
      <c r="G9497"/>
      <c r="H9497"/>
      <c r="I9497"/>
      <c r="J9497"/>
      <c r="K9497" s="1"/>
      <c r="L9497" s="2"/>
    </row>
    <row r="9498" spans="1:12" x14ac:dyDescent="0.2">
      <c r="A9498"/>
      <c r="B9498"/>
      <c r="C9498"/>
      <c r="D9498"/>
      <c r="E9498"/>
      <c r="F9498"/>
      <c r="G9498"/>
      <c r="H9498"/>
      <c r="I9498"/>
      <c r="J9498"/>
      <c r="K9498" s="1"/>
      <c r="L9498" s="2"/>
    </row>
    <row r="9499" spans="1:12" x14ac:dyDescent="0.2">
      <c r="A9499"/>
      <c r="B9499"/>
      <c r="C9499"/>
      <c r="D9499"/>
      <c r="E9499"/>
      <c r="F9499"/>
      <c r="G9499"/>
      <c r="H9499"/>
      <c r="I9499"/>
      <c r="J9499"/>
      <c r="K9499" s="1"/>
      <c r="L9499" s="2"/>
    </row>
    <row r="9500" spans="1:12" x14ac:dyDescent="0.2">
      <c r="A9500"/>
      <c r="B9500"/>
      <c r="C9500"/>
      <c r="D9500"/>
      <c r="E9500"/>
      <c r="F9500"/>
      <c r="G9500"/>
      <c r="H9500"/>
      <c r="I9500"/>
      <c r="J9500"/>
      <c r="K9500" s="1"/>
      <c r="L9500" s="2"/>
    </row>
    <row r="9501" spans="1:12" x14ac:dyDescent="0.2">
      <c r="A9501"/>
      <c r="B9501"/>
      <c r="C9501"/>
      <c r="D9501"/>
      <c r="E9501"/>
      <c r="F9501"/>
      <c r="G9501"/>
      <c r="H9501"/>
      <c r="I9501"/>
      <c r="J9501"/>
      <c r="K9501" s="1"/>
      <c r="L9501" s="2"/>
    </row>
    <row r="9502" spans="1:12" x14ac:dyDescent="0.2">
      <c r="A9502"/>
      <c r="B9502"/>
      <c r="C9502"/>
      <c r="D9502"/>
      <c r="E9502"/>
      <c r="F9502"/>
      <c r="G9502"/>
      <c r="H9502"/>
      <c r="I9502"/>
      <c r="J9502"/>
      <c r="K9502" s="1"/>
      <c r="L9502" s="2"/>
    </row>
    <row r="9503" spans="1:12" x14ac:dyDescent="0.2">
      <c r="A9503"/>
      <c r="B9503"/>
      <c r="C9503"/>
      <c r="D9503"/>
      <c r="E9503"/>
      <c r="F9503"/>
      <c r="G9503"/>
      <c r="H9503"/>
      <c r="I9503"/>
      <c r="J9503"/>
      <c r="K9503" s="1"/>
      <c r="L9503" s="2"/>
    </row>
    <row r="9504" spans="1:12" x14ac:dyDescent="0.2">
      <c r="A9504"/>
      <c r="B9504"/>
      <c r="C9504"/>
      <c r="D9504"/>
      <c r="E9504"/>
      <c r="F9504"/>
      <c r="G9504"/>
      <c r="H9504"/>
      <c r="I9504"/>
      <c r="J9504"/>
      <c r="K9504" s="1"/>
      <c r="L9504" s="2"/>
    </row>
    <row r="9505" spans="1:12" x14ac:dyDescent="0.2">
      <c r="A9505"/>
      <c r="B9505"/>
      <c r="C9505"/>
      <c r="D9505"/>
      <c r="E9505"/>
      <c r="F9505"/>
      <c r="G9505"/>
      <c r="H9505"/>
      <c r="I9505"/>
      <c r="J9505"/>
      <c r="K9505" s="1"/>
      <c r="L9505" s="2"/>
    </row>
    <row r="9506" spans="1:12" x14ac:dyDescent="0.2">
      <c r="A9506"/>
      <c r="B9506"/>
      <c r="C9506"/>
      <c r="D9506"/>
      <c r="E9506"/>
      <c r="F9506"/>
      <c r="G9506"/>
      <c r="H9506"/>
      <c r="I9506"/>
      <c r="J9506"/>
      <c r="K9506" s="1"/>
      <c r="L9506" s="2"/>
    </row>
    <row r="9507" spans="1:12" x14ac:dyDescent="0.2">
      <c r="A9507"/>
      <c r="B9507"/>
      <c r="C9507"/>
      <c r="D9507"/>
      <c r="E9507"/>
      <c r="F9507"/>
      <c r="G9507"/>
      <c r="H9507"/>
      <c r="I9507"/>
      <c r="J9507"/>
      <c r="K9507" s="1"/>
      <c r="L9507" s="2"/>
    </row>
    <row r="9508" spans="1:12" x14ac:dyDescent="0.2">
      <c r="A9508"/>
      <c r="B9508"/>
      <c r="C9508"/>
      <c r="D9508"/>
      <c r="E9508"/>
      <c r="F9508"/>
      <c r="G9508"/>
      <c r="H9508"/>
      <c r="I9508"/>
      <c r="J9508"/>
      <c r="K9508" s="1"/>
      <c r="L9508" s="2"/>
    </row>
    <row r="9509" spans="1:12" x14ac:dyDescent="0.2">
      <c r="A9509"/>
      <c r="B9509"/>
      <c r="C9509"/>
      <c r="D9509"/>
      <c r="E9509"/>
      <c r="F9509"/>
      <c r="G9509"/>
      <c r="H9509"/>
      <c r="I9509"/>
      <c r="J9509"/>
      <c r="K9509" s="1"/>
      <c r="L9509" s="2"/>
    </row>
    <row r="9510" spans="1:12" x14ac:dyDescent="0.2">
      <c r="A9510"/>
      <c r="B9510"/>
      <c r="C9510"/>
      <c r="D9510"/>
      <c r="E9510"/>
      <c r="F9510"/>
      <c r="G9510"/>
      <c r="H9510"/>
      <c r="I9510"/>
      <c r="J9510"/>
      <c r="K9510" s="1"/>
      <c r="L9510" s="2"/>
    </row>
    <row r="9511" spans="1:12" x14ac:dyDescent="0.2">
      <c r="A9511"/>
      <c r="B9511"/>
      <c r="C9511"/>
      <c r="D9511"/>
      <c r="E9511"/>
      <c r="F9511"/>
      <c r="G9511"/>
      <c r="H9511"/>
      <c r="I9511"/>
      <c r="J9511"/>
      <c r="K9511" s="1"/>
      <c r="L9511" s="2"/>
    </row>
    <row r="9512" spans="1:12" x14ac:dyDescent="0.2">
      <c r="A9512"/>
      <c r="B9512"/>
      <c r="C9512"/>
      <c r="D9512"/>
      <c r="E9512"/>
      <c r="F9512"/>
      <c r="G9512"/>
      <c r="H9512"/>
      <c r="I9512"/>
      <c r="J9512"/>
      <c r="K9512" s="1"/>
      <c r="L9512" s="2"/>
    </row>
    <row r="9513" spans="1:12" x14ac:dyDescent="0.2">
      <c r="A9513"/>
      <c r="B9513"/>
      <c r="C9513"/>
      <c r="D9513"/>
      <c r="E9513"/>
      <c r="F9513"/>
      <c r="G9513"/>
      <c r="H9513"/>
      <c r="I9513"/>
      <c r="J9513"/>
      <c r="K9513" s="1"/>
      <c r="L9513" s="2"/>
    </row>
    <row r="9514" spans="1:12" x14ac:dyDescent="0.2">
      <c r="A9514"/>
      <c r="B9514"/>
      <c r="C9514"/>
      <c r="D9514"/>
      <c r="E9514"/>
      <c r="F9514"/>
      <c r="G9514"/>
      <c r="H9514"/>
      <c r="I9514"/>
      <c r="J9514"/>
      <c r="K9514" s="1"/>
      <c r="L9514" s="2"/>
    </row>
    <row r="9515" spans="1:12" x14ac:dyDescent="0.2">
      <c r="A9515"/>
      <c r="B9515"/>
      <c r="C9515"/>
      <c r="D9515"/>
      <c r="E9515"/>
      <c r="F9515"/>
      <c r="G9515"/>
      <c r="H9515"/>
      <c r="I9515"/>
      <c r="J9515"/>
      <c r="K9515" s="1"/>
      <c r="L9515" s="2"/>
    </row>
    <row r="9516" spans="1:12" x14ac:dyDescent="0.2">
      <c r="A9516"/>
      <c r="B9516"/>
      <c r="C9516"/>
      <c r="D9516"/>
      <c r="E9516"/>
      <c r="F9516"/>
      <c r="G9516"/>
      <c r="H9516"/>
      <c r="I9516"/>
      <c r="J9516"/>
      <c r="K9516" s="1"/>
      <c r="L9516" s="2"/>
    </row>
    <row r="9517" spans="1:12" x14ac:dyDescent="0.2">
      <c r="A9517"/>
      <c r="B9517"/>
      <c r="C9517"/>
      <c r="D9517"/>
      <c r="E9517"/>
      <c r="F9517"/>
      <c r="G9517"/>
      <c r="H9517"/>
      <c r="I9517"/>
      <c r="J9517"/>
      <c r="K9517" s="1"/>
      <c r="L9517" s="2"/>
    </row>
    <row r="9518" spans="1:12" x14ac:dyDescent="0.2">
      <c r="A9518"/>
      <c r="B9518"/>
      <c r="C9518"/>
      <c r="D9518"/>
      <c r="E9518"/>
      <c r="F9518"/>
      <c r="G9518"/>
      <c r="H9518"/>
      <c r="I9518"/>
      <c r="J9518"/>
      <c r="K9518" s="1"/>
      <c r="L9518" s="2"/>
    </row>
    <row r="9519" spans="1:12" x14ac:dyDescent="0.2">
      <c r="A9519"/>
      <c r="B9519"/>
      <c r="C9519"/>
      <c r="D9519"/>
      <c r="E9519"/>
      <c r="F9519"/>
      <c r="G9519"/>
      <c r="H9519"/>
      <c r="I9519"/>
      <c r="J9519"/>
      <c r="K9519" s="1"/>
      <c r="L9519" s="2"/>
    </row>
    <row r="9520" spans="1:12" x14ac:dyDescent="0.2">
      <c r="A9520"/>
      <c r="B9520"/>
      <c r="C9520"/>
      <c r="D9520"/>
      <c r="E9520"/>
      <c r="F9520"/>
      <c r="G9520"/>
      <c r="H9520"/>
      <c r="I9520"/>
      <c r="J9520"/>
      <c r="K9520" s="1"/>
      <c r="L9520" s="2"/>
    </row>
    <row r="9521" spans="1:12" x14ac:dyDescent="0.2">
      <c r="A9521"/>
      <c r="B9521"/>
      <c r="C9521"/>
      <c r="D9521"/>
      <c r="E9521"/>
      <c r="F9521"/>
      <c r="G9521"/>
      <c r="H9521"/>
      <c r="I9521"/>
      <c r="J9521"/>
      <c r="K9521" s="1"/>
      <c r="L9521" s="2"/>
    </row>
    <row r="9522" spans="1:12" x14ac:dyDescent="0.2">
      <c r="A9522"/>
      <c r="B9522"/>
      <c r="C9522"/>
      <c r="D9522"/>
      <c r="E9522"/>
      <c r="F9522"/>
      <c r="G9522"/>
      <c r="H9522"/>
      <c r="I9522"/>
      <c r="J9522"/>
      <c r="K9522" s="1"/>
      <c r="L9522" s="2"/>
    </row>
    <row r="9523" spans="1:12" x14ac:dyDescent="0.2">
      <c r="A9523"/>
      <c r="B9523"/>
      <c r="C9523"/>
      <c r="D9523"/>
      <c r="E9523"/>
      <c r="F9523"/>
      <c r="G9523"/>
      <c r="H9523"/>
      <c r="I9523"/>
      <c r="J9523"/>
      <c r="K9523" s="1"/>
      <c r="L9523" s="2"/>
    </row>
    <row r="9524" spans="1:12" x14ac:dyDescent="0.2">
      <c r="A9524"/>
      <c r="B9524"/>
      <c r="C9524"/>
      <c r="D9524"/>
      <c r="E9524"/>
      <c r="F9524"/>
      <c r="G9524"/>
      <c r="H9524"/>
      <c r="I9524"/>
      <c r="J9524"/>
      <c r="K9524" s="1"/>
      <c r="L9524" s="2"/>
    </row>
    <row r="9525" spans="1:12" x14ac:dyDescent="0.2">
      <c r="A9525"/>
      <c r="B9525"/>
      <c r="C9525"/>
      <c r="D9525"/>
      <c r="E9525"/>
      <c r="F9525"/>
      <c r="G9525"/>
      <c r="H9525"/>
      <c r="I9525"/>
      <c r="J9525"/>
      <c r="K9525" s="1"/>
      <c r="L9525" s="2"/>
    </row>
    <row r="9526" spans="1:12" x14ac:dyDescent="0.2">
      <c r="A9526"/>
      <c r="B9526"/>
      <c r="C9526"/>
      <c r="D9526"/>
      <c r="E9526"/>
      <c r="F9526"/>
      <c r="G9526"/>
      <c r="H9526"/>
      <c r="I9526"/>
      <c r="J9526"/>
      <c r="K9526" s="1"/>
      <c r="L9526" s="2"/>
    </row>
    <row r="9527" spans="1:12" x14ac:dyDescent="0.2">
      <c r="A9527"/>
      <c r="B9527"/>
      <c r="C9527"/>
      <c r="D9527"/>
      <c r="E9527"/>
      <c r="F9527"/>
      <c r="G9527"/>
      <c r="H9527"/>
      <c r="I9527"/>
      <c r="J9527"/>
      <c r="K9527" s="1"/>
      <c r="L9527" s="2"/>
    </row>
    <row r="9528" spans="1:12" x14ac:dyDescent="0.2">
      <c r="A9528"/>
      <c r="B9528"/>
      <c r="C9528"/>
      <c r="D9528"/>
      <c r="E9528"/>
      <c r="F9528"/>
      <c r="G9528"/>
      <c r="H9528"/>
      <c r="I9528"/>
      <c r="J9528"/>
      <c r="K9528" s="1"/>
      <c r="L9528" s="2"/>
    </row>
    <row r="9529" spans="1:12" x14ac:dyDescent="0.2">
      <c r="A9529"/>
      <c r="B9529"/>
      <c r="C9529"/>
      <c r="D9529"/>
      <c r="E9529"/>
      <c r="F9529"/>
      <c r="G9529"/>
      <c r="H9529"/>
      <c r="I9529"/>
      <c r="J9529"/>
      <c r="K9529" s="1"/>
      <c r="L9529" s="2"/>
    </row>
    <row r="9530" spans="1:12" x14ac:dyDescent="0.2">
      <c r="A9530"/>
      <c r="B9530"/>
      <c r="C9530"/>
      <c r="D9530"/>
      <c r="E9530"/>
      <c r="F9530"/>
      <c r="G9530"/>
      <c r="H9530"/>
      <c r="I9530"/>
      <c r="J9530"/>
      <c r="K9530" s="1"/>
      <c r="L9530" s="2"/>
    </row>
    <row r="9531" spans="1:12" x14ac:dyDescent="0.2">
      <c r="A9531"/>
      <c r="B9531"/>
      <c r="C9531"/>
      <c r="D9531"/>
      <c r="E9531"/>
      <c r="F9531"/>
      <c r="G9531"/>
      <c r="H9531"/>
      <c r="I9531"/>
      <c r="J9531"/>
      <c r="K9531" s="1"/>
      <c r="L9531" s="2"/>
    </row>
    <row r="9532" spans="1:12" x14ac:dyDescent="0.2">
      <c r="A9532"/>
      <c r="B9532"/>
      <c r="C9532"/>
      <c r="D9532"/>
      <c r="E9532"/>
      <c r="F9532"/>
      <c r="G9532"/>
      <c r="H9532"/>
      <c r="I9532"/>
      <c r="J9532"/>
      <c r="K9532" s="1"/>
      <c r="L9532" s="2"/>
    </row>
    <row r="9533" spans="1:12" x14ac:dyDescent="0.2">
      <c r="A9533"/>
      <c r="B9533"/>
      <c r="C9533"/>
      <c r="D9533"/>
      <c r="E9533"/>
      <c r="F9533"/>
      <c r="G9533"/>
      <c r="H9533"/>
      <c r="I9533"/>
      <c r="J9533"/>
      <c r="K9533" s="1"/>
      <c r="L9533" s="2"/>
    </row>
    <row r="9534" spans="1:12" x14ac:dyDescent="0.2">
      <c r="A9534"/>
      <c r="B9534"/>
      <c r="C9534"/>
      <c r="D9534"/>
      <c r="E9534"/>
      <c r="F9534"/>
      <c r="G9534"/>
      <c r="H9534"/>
      <c r="I9534"/>
      <c r="J9534"/>
      <c r="K9534" s="1"/>
      <c r="L9534" s="2"/>
    </row>
    <row r="9535" spans="1:12" x14ac:dyDescent="0.2">
      <c r="A9535"/>
      <c r="B9535"/>
      <c r="C9535"/>
      <c r="D9535"/>
      <c r="E9535"/>
      <c r="F9535"/>
      <c r="G9535"/>
      <c r="H9535"/>
      <c r="I9535"/>
      <c r="J9535"/>
      <c r="K9535" s="1"/>
      <c r="L9535" s="2"/>
    </row>
    <row r="9536" spans="1:12" x14ac:dyDescent="0.2">
      <c r="A9536"/>
      <c r="B9536"/>
      <c r="C9536"/>
      <c r="D9536"/>
      <c r="E9536"/>
      <c r="F9536"/>
      <c r="G9536"/>
      <c r="H9536"/>
      <c r="I9536"/>
      <c r="J9536"/>
      <c r="K9536" s="1"/>
      <c r="L9536" s="2"/>
    </row>
    <row r="9537" spans="1:12" x14ac:dyDescent="0.2">
      <c r="A9537"/>
      <c r="B9537"/>
      <c r="C9537"/>
      <c r="D9537"/>
      <c r="E9537"/>
      <c r="F9537"/>
      <c r="G9537"/>
      <c r="H9537"/>
      <c r="I9537"/>
      <c r="J9537"/>
      <c r="K9537" s="1"/>
      <c r="L9537" s="2"/>
    </row>
    <row r="9538" spans="1:12" x14ac:dyDescent="0.2">
      <c r="A9538"/>
      <c r="B9538"/>
      <c r="C9538"/>
      <c r="D9538"/>
      <c r="E9538"/>
      <c r="F9538"/>
      <c r="G9538"/>
      <c r="H9538"/>
      <c r="I9538"/>
      <c r="J9538"/>
      <c r="K9538" s="1"/>
      <c r="L9538" s="2"/>
    </row>
    <row r="9539" spans="1:12" x14ac:dyDescent="0.2">
      <c r="A9539"/>
      <c r="B9539"/>
      <c r="C9539"/>
      <c r="D9539"/>
      <c r="E9539"/>
      <c r="F9539"/>
      <c r="G9539"/>
      <c r="H9539"/>
      <c r="I9539"/>
      <c r="J9539"/>
      <c r="K9539" s="1"/>
      <c r="L9539" s="2"/>
    </row>
    <row r="9540" spans="1:12" x14ac:dyDescent="0.2">
      <c r="A9540"/>
      <c r="B9540"/>
      <c r="C9540"/>
      <c r="D9540"/>
      <c r="E9540"/>
      <c r="F9540"/>
      <c r="G9540"/>
      <c r="H9540"/>
      <c r="I9540"/>
      <c r="J9540"/>
      <c r="K9540" s="1"/>
      <c r="L9540" s="2"/>
    </row>
    <row r="9541" spans="1:12" x14ac:dyDescent="0.2">
      <c r="A9541"/>
      <c r="B9541"/>
      <c r="C9541"/>
      <c r="D9541"/>
      <c r="E9541"/>
      <c r="F9541"/>
      <c r="G9541"/>
      <c r="H9541"/>
      <c r="I9541"/>
      <c r="J9541"/>
      <c r="K9541" s="1"/>
      <c r="L9541" s="2"/>
    </row>
    <row r="9542" spans="1:12" x14ac:dyDescent="0.2">
      <c r="A9542"/>
      <c r="B9542"/>
      <c r="C9542"/>
      <c r="D9542"/>
      <c r="E9542"/>
      <c r="F9542"/>
      <c r="G9542"/>
      <c r="H9542"/>
      <c r="I9542"/>
      <c r="J9542"/>
      <c r="K9542" s="1"/>
      <c r="L9542" s="2"/>
    </row>
    <row r="9543" spans="1:12" x14ac:dyDescent="0.2">
      <c r="A9543"/>
      <c r="B9543"/>
      <c r="C9543"/>
      <c r="D9543"/>
      <c r="E9543"/>
      <c r="F9543"/>
      <c r="G9543"/>
      <c r="H9543"/>
      <c r="I9543"/>
      <c r="J9543"/>
      <c r="K9543" s="1"/>
      <c r="L9543" s="2"/>
    </row>
    <row r="9544" spans="1:12" x14ac:dyDescent="0.2">
      <c r="A9544"/>
      <c r="B9544"/>
      <c r="C9544"/>
      <c r="D9544"/>
      <c r="E9544"/>
      <c r="F9544"/>
      <c r="G9544"/>
      <c r="H9544"/>
      <c r="I9544"/>
      <c r="J9544"/>
      <c r="K9544" s="1"/>
      <c r="L9544" s="2"/>
    </row>
    <row r="9545" spans="1:12" x14ac:dyDescent="0.2">
      <c r="A9545"/>
      <c r="B9545"/>
      <c r="C9545"/>
      <c r="D9545"/>
      <c r="E9545"/>
      <c r="F9545"/>
      <c r="G9545"/>
      <c r="H9545"/>
      <c r="I9545"/>
      <c r="J9545"/>
      <c r="K9545" s="1"/>
      <c r="L9545" s="2"/>
    </row>
    <row r="9546" spans="1:12" x14ac:dyDescent="0.2">
      <c r="A9546"/>
      <c r="B9546"/>
      <c r="C9546"/>
      <c r="D9546"/>
      <c r="E9546"/>
      <c r="F9546"/>
      <c r="G9546"/>
      <c r="H9546"/>
      <c r="I9546"/>
      <c r="J9546"/>
      <c r="K9546" s="1"/>
      <c r="L9546" s="2"/>
    </row>
    <row r="9547" spans="1:12" x14ac:dyDescent="0.2">
      <c r="A9547"/>
      <c r="B9547"/>
      <c r="C9547"/>
      <c r="D9547"/>
      <c r="E9547"/>
      <c r="F9547"/>
      <c r="G9547"/>
      <c r="H9547"/>
      <c r="I9547"/>
      <c r="J9547"/>
      <c r="K9547" s="1"/>
      <c r="L9547" s="2"/>
    </row>
    <row r="9548" spans="1:12" x14ac:dyDescent="0.2">
      <c r="A9548"/>
      <c r="B9548"/>
      <c r="C9548"/>
      <c r="D9548"/>
      <c r="E9548"/>
      <c r="F9548"/>
      <c r="G9548"/>
      <c r="H9548"/>
      <c r="I9548"/>
      <c r="J9548"/>
      <c r="K9548" s="1"/>
      <c r="L9548" s="2"/>
    </row>
    <row r="9549" spans="1:12" x14ac:dyDescent="0.2">
      <c r="A9549"/>
      <c r="B9549"/>
      <c r="C9549"/>
      <c r="D9549"/>
      <c r="E9549"/>
      <c r="F9549"/>
      <c r="G9549"/>
      <c r="H9549"/>
      <c r="I9549"/>
      <c r="J9549"/>
      <c r="K9549" s="1"/>
      <c r="L9549" s="2"/>
    </row>
    <row r="9550" spans="1:12" x14ac:dyDescent="0.2">
      <c r="A9550"/>
      <c r="B9550"/>
      <c r="C9550"/>
      <c r="D9550"/>
      <c r="E9550"/>
      <c r="F9550"/>
      <c r="G9550"/>
      <c r="H9550"/>
      <c r="I9550"/>
      <c r="J9550"/>
      <c r="K9550" s="1"/>
      <c r="L9550" s="2"/>
    </row>
    <row r="9551" spans="1:12" x14ac:dyDescent="0.2">
      <c r="A9551"/>
      <c r="B9551"/>
      <c r="C9551"/>
      <c r="D9551"/>
      <c r="E9551"/>
      <c r="F9551"/>
      <c r="G9551"/>
      <c r="H9551"/>
      <c r="I9551"/>
      <c r="J9551"/>
      <c r="K9551" s="1"/>
      <c r="L9551" s="2"/>
    </row>
    <row r="9552" spans="1:12" x14ac:dyDescent="0.2">
      <c r="A9552"/>
      <c r="B9552"/>
      <c r="C9552"/>
      <c r="D9552"/>
      <c r="E9552"/>
      <c r="F9552"/>
      <c r="G9552"/>
      <c r="H9552"/>
      <c r="I9552"/>
      <c r="J9552"/>
      <c r="K9552" s="1"/>
      <c r="L9552" s="2"/>
    </row>
    <row r="9553" spans="1:12" x14ac:dyDescent="0.2">
      <c r="A9553"/>
      <c r="B9553"/>
      <c r="C9553"/>
      <c r="D9553"/>
      <c r="E9553"/>
      <c r="F9553"/>
      <c r="G9553"/>
      <c r="H9553"/>
      <c r="I9553"/>
      <c r="J9553"/>
      <c r="K9553" s="1"/>
      <c r="L9553" s="2"/>
    </row>
    <row r="9554" spans="1:12" x14ac:dyDescent="0.2">
      <c r="A9554"/>
      <c r="B9554"/>
      <c r="C9554"/>
      <c r="D9554"/>
      <c r="E9554"/>
      <c r="F9554"/>
      <c r="G9554"/>
      <c r="H9554"/>
      <c r="I9554"/>
      <c r="J9554"/>
      <c r="K9554" s="1"/>
      <c r="L9554" s="2"/>
    </row>
    <row r="9555" spans="1:12" x14ac:dyDescent="0.2">
      <c r="A9555"/>
      <c r="B9555"/>
      <c r="C9555"/>
      <c r="D9555"/>
      <c r="E9555"/>
      <c r="F9555"/>
      <c r="G9555"/>
      <c r="H9555"/>
      <c r="I9555"/>
      <c r="J9555"/>
      <c r="K9555" s="1"/>
      <c r="L9555" s="2"/>
    </row>
    <row r="9556" spans="1:12" x14ac:dyDescent="0.2">
      <c r="A9556"/>
      <c r="B9556"/>
      <c r="C9556"/>
      <c r="D9556"/>
      <c r="E9556"/>
      <c r="F9556"/>
      <c r="G9556"/>
      <c r="H9556"/>
      <c r="I9556"/>
      <c r="J9556"/>
      <c r="K9556" s="1"/>
      <c r="L9556" s="2"/>
    </row>
    <row r="9557" spans="1:12" x14ac:dyDescent="0.2">
      <c r="A9557"/>
      <c r="B9557"/>
      <c r="C9557"/>
      <c r="D9557"/>
      <c r="E9557"/>
      <c r="F9557"/>
      <c r="G9557"/>
      <c r="H9557"/>
      <c r="I9557"/>
      <c r="J9557"/>
      <c r="K9557" s="1"/>
      <c r="L9557" s="2"/>
    </row>
    <row r="9558" spans="1:12" x14ac:dyDescent="0.2">
      <c r="A9558"/>
      <c r="B9558"/>
      <c r="C9558"/>
      <c r="D9558"/>
      <c r="E9558"/>
      <c r="F9558"/>
      <c r="G9558"/>
      <c r="H9558"/>
      <c r="I9558"/>
      <c r="J9558"/>
      <c r="K9558" s="1"/>
      <c r="L9558" s="2"/>
    </row>
    <row r="9559" spans="1:12" x14ac:dyDescent="0.2">
      <c r="A9559"/>
      <c r="B9559"/>
      <c r="C9559"/>
      <c r="D9559"/>
      <c r="E9559"/>
      <c r="F9559"/>
      <c r="G9559"/>
      <c r="H9559"/>
      <c r="I9559"/>
      <c r="J9559"/>
      <c r="K9559" s="1"/>
      <c r="L9559" s="2"/>
    </row>
    <row r="9560" spans="1:12" x14ac:dyDescent="0.2">
      <c r="A9560"/>
      <c r="B9560"/>
      <c r="C9560"/>
      <c r="D9560"/>
      <c r="E9560"/>
      <c r="F9560"/>
      <c r="G9560"/>
      <c r="H9560"/>
      <c r="I9560"/>
      <c r="J9560"/>
      <c r="K9560" s="1"/>
      <c r="L9560" s="2"/>
    </row>
    <row r="9561" spans="1:12" x14ac:dyDescent="0.2">
      <c r="A9561"/>
      <c r="B9561"/>
      <c r="C9561"/>
      <c r="D9561"/>
      <c r="E9561"/>
      <c r="F9561"/>
      <c r="G9561"/>
      <c r="H9561"/>
      <c r="I9561"/>
      <c r="J9561"/>
      <c r="K9561" s="1"/>
      <c r="L9561" s="2"/>
    </row>
    <row r="9562" spans="1:12" x14ac:dyDescent="0.2">
      <c r="A9562"/>
      <c r="B9562"/>
      <c r="C9562"/>
      <c r="D9562"/>
      <c r="E9562"/>
      <c r="F9562"/>
      <c r="G9562"/>
      <c r="H9562"/>
      <c r="I9562"/>
      <c r="J9562"/>
      <c r="K9562" s="1"/>
      <c r="L9562" s="2"/>
    </row>
    <row r="9563" spans="1:12" x14ac:dyDescent="0.2">
      <c r="A9563"/>
      <c r="B9563"/>
      <c r="C9563"/>
      <c r="D9563"/>
      <c r="E9563"/>
      <c r="F9563"/>
      <c r="G9563"/>
      <c r="H9563"/>
      <c r="I9563"/>
      <c r="J9563"/>
      <c r="K9563" s="1"/>
      <c r="L9563" s="2"/>
    </row>
    <row r="9564" spans="1:12" x14ac:dyDescent="0.2">
      <c r="A9564"/>
      <c r="B9564"/>
      <c r="C9564"/>
      <c r="D9564"/>
      <c r="E9564"/>
      <c r="F9564"/>
      <c r="G9564"/>
      <c r="H9564"/>
      <c r="I9564"/>
      <c r="J9564"/>
      <c r="K9564" s="1"/>
      <c r="L9564" s="2"/>
    </row>
    <row r="9565" spans="1:12" x14ac:dyDescent="0.2">
      <c r="A9565"/>
      <c r="B9565"/>
      <c r="C9565"/>
      <c r="D9565"/>
      <c r="E9565"/>
      <c r="F9565"/>
      <c r="G9565"/>
      <c r="H9565"/>
      <c r="I9565"/>
      <c r="J9565"/>
      <c r="K9565" s="1"/>
      <c r="L9565" s="2"/>
    </row>
    <row r="9566" spans="1:12" x14ac:dyDescent="0.2">
      <c r="A9566"/>
      <c r="B9566"/>
      <c r="C9566"/>
      <c r="D9566"/>
      <c r="E9566"/>
      <c r="F9566"/>
      <c r="G9566"/>
      <c r="H9566"/>
      <c r="I9566"/>
      <c r="J9566"/>
      <c r="K9566" s="1"/>
      <c r="L9566" s="2"/>
    </row>
    <row r="9567" spans="1:12" x14ac:dyDescent="0.2">
      <c r="A9567"/>
      <c r="B9567"/>
      <c r="C9567"/>
      <c r="D9567"/>
      <c r="E9567"/>
      <c r="F9567"/>
      <c r="G9567"/>
      <c r="H9567"/>
      <c r="I9567"/>
      <c r="J9567"/>
      <c r="K9567" s="1"/>
      <c r="L9567" s="2"/>
    </row>
    <row r="9568" spans="1:12" x14ac:dyDescent="0.2">
      <c r="A9568"/>
      <c r="B9568"/>
      <c r="C9568"/>
      <c r="D9568"/>
      <c r="E9568"/>
      <c r="F9568"/>
      <c r="G9568"/>
      <c r="H9568"/>
      <c r="I9568"/>
      <c r="J9568"/>
      <c r="K9568" s="1"/>
      <c r="L9568" s="2"/>
    </row>
    <row r="9569" spans="1:12" x14ac:dyDescent="0.2">
      <c r="A9569"/>
      <c r="B9569"/>
      <c r="C9569"/>
      <c r="D9569"/>
      <c r="E9569"/>
      <c r="F9569"/>
      <c r="G9569"/>
      <c r="H9569"/>
      <c r="I9569"/>
      <c r="J9569"/>
      <c r="K9569" s="1"/>
      <c r="L9569" s="2"/>
    </row>
    <row r="9570" spans="1:12" x14ac:dyDescent="0.2">
      <c r="A9570"/>
      <c r="B9570"/>
      <c r="C9570"/>
      <c r="D9570"/>
      <c r="E9570"/>
      <c r="F9570"/>
      <c r="G9570"/>
      <c r="H9570"/>
      <c r="I9570"/>
      <c r="J9570"/>
      <c r="K9570" s="1"/>
      <c r="L9570" s="2"/>
    </row>
    <row r="9571" spans="1:12" x14ac:dyDescent="0.2">
      <c r="A9571"/>
      <c r="B9571"/>
      <c r="C9571"/>
      <c r="D9571"/>
      <c r="E9571"/>
      <c r="F9571"/>
      <c r="G9571"/>
      <c r="H9571"/>
      <c r="I9571"/>
      <c r="J9571"/>
      <c r="K9571" s="1"/>
      <c r="L9571" s="2"/>
    </row>
    <row r="9572" spans="1:12" x14ac:dyDescent="0.2">
      <c r="A9572"/>
      <c r="B9572"/>
      <c r="C9572"/>
      <c r="D9572"/>
      <c r="E9572"/>
      <c r="F9572"/>
      <c r="G9572"/>
      <c r="H9572"/>
      <c r="I9572"/>
      <c r="J9572"/>
      <c r="K9572" s="1"/>
      <c r="L9572" s="2"/>
    </row>
    <row r="9573" spans="1:12" x14ac:dyDescent="0.2">
      <c r="A9573"/>
      <c r="B9573"/>
      <c r="C9573"/>
      <c r="D9573"/>
      <c r="E9573"/>
      <c r="F9573"/>
      <c r="G9573"/>
      <c r="H9573"/>
      <c r="I9573"/>
      <c r="J9573"/>
      <c r="K9573" s="1"/>
      <c r="L9573" s="2"/>
    </row>
    <row r="9574" spans="1:12" x14ac:dyDescent="0.2">
      <c r="A9574"/>
      <c r="B9574"/>
      <c r="C9574"/>
      <c r="D9574"/>
      <c r="E9574"/>
      <c r="F9574"/>
      <c r="G9574"/>
      <c r="H9574"/>
      <c r="I9574"/>
      <c r="J9574"/>
      <c r="K9574" s="1"/>
      <c r="L9574" s="2"/>
    </row>
    <row r="9575" spans="1:12" x14ac:dyDescent="0.2">
      <c r="A9575"/>
      <c r="B9575"/>
      <c r="C9575"/>
      <c r="D9575"/>
      <c r="E9575"/>
      <c r="F9575"/>
      <c r="G9575"/>
      <c r="H9575"/>
      <c r="I9575"/>
      <c r="J9575"/>
      <c r="K9575" s="1"/>
      <c r="L9575" s="2"/>
    </row>
    <row r="9576" spans="1:12" x14ac:dyDescent="0.2">
      <c r="A9576"/>
      <c r="B9576"/>
      <c r="C9576"/>
      <c r="D9576"/>
      <c r="E9576"/>
      <c r="F9576"/>
      <c r="G9576"/>
      <c r="H9576"/>
      <c r="I9576"/>
      <c r="J9576"/>
      <c r="K9576" s="1"/>
      <c r="L9576" s="2"/>
    </row>
    <row r="9577" spans="1:12" x14ac:dyDescent="0.2">
      <c r="A9577"/>
      <c r="B9577"/>
      <c r="C9577"/>
      <c r="D9577"/>
      <c r="E9577"/>
      <c r="F9577"/>
      <c r="G9577"/>
      <c r="H9577"/>
      <c r="I9577"/>
      <c r="J9577"/>
      <c r="K9577" s="1"/>
      <c r="L9577" s="2"/>
    </row>
    <row r="9578" spans="1:12" x14ac:dyDescent="0.2">
      <c r="A9578"/>
      <c r="B9578"/>
      <c r="C9578"/>
      <c r="D9578"/>
      <c r="E9578"/>
      <c r="F9578"/>
      <c r="G9578"/>
      <c r="H9578"/>
      <c r="I9578"/>
      <c r="J9578"/>
      <c r="K9578" s="1"/>
      <c r="L9578" s="2"/>
    </row>
    <row r="9579" spans="1:12" x14ac:dyDescent="0.2">
      <c r="A9579"/>
      <c r="B9579"/>
      <c r="C9579"/>
      <c r="D9579"/>
      <c r="E9579"/>
      <c r="F9579"/>
      <c r="G9579"/>
      <c r="H9579"/>
      <c r="I9579"/>
      <c r="J9579"/>
      <c r="K9579" s="1"/>
      <c r="L9579" s="2"/>
    </row>
    <row r="9580" spans="1:12" x14ac:dyDescent="0.2">
      <c r="A9580"/>
      <c r="B9580"/>
      <c r="C9580"/>
      <c r="D9580"/>
      <c r="E9580"/>
      <c r="F9580"/>
      <c r="G9580"/>
      <c r="H9580"/>
      <c r="I9580"/>
      <c r="J9580"/>
      <c r="K9580" s="1"/>
      <c r="L9580" s="2"/>
    </row>
    <row r="9581" spans="1:12" x14ac:dyDescent="0.2">
      <c r="A9581"/>
      <c r="B9581"/>
      <c r="C9581"/>
      <c r="D9581"/>
      <c r="E9581"/>
      <c r="F9581"/>
      <c r="G9581"/>
      <c r="H9581"/>
      <c r="I9581"/>
      <c r="J9581"/>
      <c r="K9581" s="1"/>
      <c r="L9581" s="2"/>
    </row>
    <row r="9582" spans="1:12" x14ac:dyDescent="0.2">
      <c r="A9582"/>
      <c r="B9582"/>
      <c r="C9582"/>
      <c r="D9582"/>
      <c r="E9582"/>
      <c r="F9582"/>
      <c r="G9582"/>
      <c r="H9582"/>
      <c r="I9582"/>
      <c r="J9582"/>
      <c r="K9582" s="1"/>
      <c r="L9582" s="2"/>
    </row>
    <row r="9583" spans="1:12" x14ac:dyDescent="0.2">
      <c r="A9583"/>
      <c r="B9583"/>
      <c r="C9583"/>
      <c r="D9583"/>
      <c r="E9583"/>
      <c r="F9583"/>
      <c r="G9583"/>
      <c r="H9583"/>
      <c r="I9583"/>
      <c r="J9583"/>
      <c r="K9583" s="1"/>
      <c r="L9583" s="2"/>
    </row>
    <row r="9584" spans="1:12" x14ac:dyDescent="0.2">
      <c r="A9584"/>
      <c r="B9584"/>
      <c r="C9584"/>
      <c r="D9584"/>
      <c r="E9584"/>
      <c r="F9584"/>
      <c r="G9584"/>
      <c r="H9584"/>
      <c r="I9584"/>
      <c r="J9584"/>
      <c r="K9584" s="1"/>
      <c r="L9584" s="2"/>
    </row>
    <row r="9585" spans="1:12" x14ac:dyDescent="0.2">
      <c r="A9585"/>
      <c r="B9585"/>
      <c r="C9585"/>
      <c r="D9585"/>
      <c r="E9585"/>
      <c r="F9585"/>
      <c r="G9585"/>
      <c r="H9585"/>
      <c r="I9585"/>
      <c r="J9585"/>
      <c r="K9585" s="1"/>
      <c r="L9585" s="2"/>
    </row>
    <row r="9586" spans="1:12" x14ac:dyDescent="0.2">
      <c r="A9586"/>
      <c r="B9586"/>
      <c r="C9586"/>
      <c r="D9586"/>
      <c r="E9586"/>
      <c r="F9586"/>
      <c r="G9586"/>
      <c r="H9586"/>
      <c r="I9586"/>
      <c r="J9586"/>
      <c r="K9586" s="1"/>
      <c r="L9586" s="2"/>
    </row>
    <row r="9587" spans="1:12" x14ac:dyDescent="0.2">
      <c r="A9587"/>
      <c r="B9587"/>
      <c r="C9587"/>
      <c r="D9587"/>
      <c r="E9587"/>
      <c r="F9587"/>
      <c r="G9587"/>
      <c r="H9587"/>
      <c r="I9587"/>
      <c r="J9587"/>
      <c r="K9587" s="1"/>
      <c r="L9587" s="2"/>
    </row>
    <row r="9588" spans="1:12" x14ac:dyDescent="0.2">
      <c r="A9588"/>
      <c r="B9588"/>
      <c r="C9588"/>
      <c r="D9588"/>
      <c r="E9588"/>
      <c r="F9588"/>
      <c r="G9588"/>
      <c r="H9588"/>
      <c r="I9588"/>
      <c r="J9588"/>
      <c r="K9588" s="1"/>
      <c r="L9588" s="2"/>
    </row>
    <row r="9589" spans="1:12" x14ac:dyDescent="0.2">
      <c r="A9589"/>
      <c r="B9589"/>
      <c r="C9589"/>
      <c r="D9589"/>
      <c r="E9589"/>
      <c r="F9589"/>
      <c r="G9589"/>
      <c r="H9589"/>
      <c r="I9589"/>
      <c r="J9589"/>
      <c r="K9589" s="1"/>
      <c r="L9589" s="2"/>
    </row>
    <row r="9590" spans="1:12" x14ac:dyDescent="0.2">
      <c r="A9590"/>
      <c r="B9590"/>
      <c r="C9590"/>
      <c r="D9590"/>
      <c r="E9590"/>
      <c r="F9590"/>
      <c r="G9590"/>
      <c r="H9590"/>
      <c r="I9590"/>
      <c r="J9590"/>
      <c r="K9590" s="1"/>
      <c r="L9590" s="2"/>
    </row>
    <row r="9591" spans="1:12" x14ac:dyDescent="0.2">
      <c r="A9591"/>
      <c r="B9591"/>
      <c r="C9591"/>
      <c r="D9591"/>
      <c r="E9591"/>
      <c r="F9591"/>
      <c r="G9591"/>
      <c r="H9591"/>
      <c r="I9591"/>
      <c r="J9591"/>
      <c r="K9591" s="1"/>
      <c r="L9591" s="2"/>
    </row>
    <row r="9592" spans="1:12" x14ac:dyDescent="0.2">
      <c r="A9592"/>
      <c r="B9592"/>
      <c r="C9592"/>
      <c r="D9592"/>
      <c r="E9592"/>
      <c r="F9592"/>
      <c r="G9592"/>
      <c r="H9592"/>
      <c r="I9592"/>
      <c r="J9592"/>
      <c r="K9592" s="1"/>
      <c r="L9592" s="2"/>
    </row>
    <row r="9593" spans="1:12" x14ac:dyDescent="0.2">
      <c r="A9593"/>
      <c r="B9593"/>
      <c r="C9593"/>
      <c r="D9593"/>
      <c r="E9593"/>
      <c r="F9593"/>
      <c r="G9593"/>
      <c r="H9593"/>
      <c r="I9593"/>
      <c r="J9593"/>
      <c r="K9593" s="1"/>
      <c r="L9593" s="2"/>
    </row>
    <row r="9594" spans="1:12" x14ac:dyDescent="0.2">
      <c r="A9594"/>
      <c r="B9594"/>
      <c r="C9594"/>
      <c r="D9594"/>
      <c r="E9594"/>
      <c r="F9594"/>
      <c r="G9594"/>
      <c r="H9594"/>
      <c r="I9594"/>
      <c r="J9594"/>
      <c r="K9594" s="1"/>
      <c r="L9594" s="2"/>
    </row>
    <row r="9595" spans="1:12" x14ac:dyDescent="0.2">
      <c r="A9595"/>
      <c r="B9595"/>
      <c r="C9595"/>
      <c r="D9595"/>
      <c r="E9595"/>
      <c r="F9595"/>
      <c r="G9595"/>
      <c r="H9595"/>
      <c r="I9595"/>
      <c r="J9595"/>
      <c r="K9595" s="1"/>
      <c r="L9595" s="2"/>
    </row>
    <row r="9596" spans="1:12" x14ac:dyDescent="0.2">
      <c r="A9596"/>
      <c r="B9596"/>
      <c r="C9596"/>
      <c r="D9596"/>
      <c r="E9596"/>
      <c r="F9596"/>
      <c r="G9596"/>
      <c r="H9596"/>
      <c r="I9596"/>
      <c r="J9596"/>
      <c r="K9596" s="1"/>
      <c r="L9596" s="2"/>
    </row>
    <row r="9597" spans="1:12" x14ac:dyDescent="0.2">
      <c r="A9597"/>
      <c r="B9597"/>
      <c r="C9597"/>
      <c r="D9597"/>
      <c r="E9597"/>
      <c r="F9597"/>
      <c r="G9597"/>
      <c r="H9597"/>
      <c r="I9597"/>
      <c r="J9597"/>
      <c r="K9597" s="1"/>
      <c r="L9597" s="2"/>
    </row>
    <row r="9598" spans="1:12" x14ac:dyDescent="0.2">
      <c r="A9598"/>
      <c r="B9598"/>
      <c r="C9598"/>
      <c r="D9598"/>
      <c r="E9598"/>
      <c r="F9598"/>
      <c r="G9598"/>
      <c r="H9598"/>
      <c r="I9598"/>
      <c r="J9598"/>
      <c r="K9598" s="1"/>
      <c r="L9598" s="2"/>
    </row>
    <row r="9599" spans="1:12" x14ac:dyDescent="0.2">
      <c r="A9599"/>
      <c r="B9599"/>
      <c r="C9599"/>
      <c r="D9599"/>
      <c r="E9599"/>
      <c r="F9599"/>
      <c r="G9599"/>
      <c r="H9599"/>
      <c r="I9599"/>
      <c r="J9599"/>
      <c r="K9599" s="1"/>
      <c r="L9599" s="2"/>
    </row>
    <row r="9600" spans="1:12" x14ac:dyDescent="0.2">
      <c r="A9600"/>
      <c r="B9600"/>
      <c r="C9600"/>
      <c r="D9600"/>
      <c r="E9600"/>
      <c r="F9600"/>
      <c r="G9600"/>
      <c r="H9600"/>
      <c r="I9600"/>
      <c r="J9600"/>
      <c r="K9600" s="1"/>
      <c r="L9600" s="2"/>
    </row>
    <row r="9601" spans="1:12" x14ac:dyDescent="0.2">
      <c r="A9601"/>
      <c r="B9601"/>
      <c r="C9601"/>
      <c r="D9601"/>
      <c r="E9601"/>
      <c r="F9601"/>
      <c r="G9601"/>
      <c r="H9601"/>
      <c r="I9601"/>
      <c r="J9601"/>
      <c r="K9601" s="1"/>
      <c r="L9601" s="2"/>
    </row>
    <row r="9602" spans="1:12" x14ac:dyDescent="0.2">
      <c r="A9602"/>
      <c r="B9602"/>
      <c r="C9602"/>
      <c r="D9602"/>
      <c r="E9602"/>
      <c r="F9602"/>
      <c r="G9602"/>
      <c r="H9602"/>
      <c r="I9602"/>
      <c r="J9602"/>
      <c r="K9602" s="1"/>
      <c r="L9602" s="2"/>
    </row>
    <row r="9603" spans="1:12" x14ac:dyDescent="0.2">
      <c r="A9603"/>
      <c r="B9603"/>
      <c r="C9603"/>
      <c r="D9603"/>
      <c r="E9603"/>
      <c r="F9603"/>
      <c r="G9603"/>
      <c r="H9603"/>
      <c r="I9603"/>
      <c r="J9603"/>
      <c r="K9603" s="1"/>
      <c r="L9603" s="2"/>
    </row>
    <row r="9604" spans="1:12" x14ac:dyDescent="0.2">
      <c r="A9604"/>
      <c r="B9604"/>
      <c r="C9604"/>
      <c r="D9604"/>
      <c r="E9604"/>
      <c r="F9604"/>
      <c r="G9604"/>
      <c r="H9604"/>
      <c r="I9604"/>
      <c r="J9604"/>
      <c r="K9604" s="1"/>
      <c r="L9604" s="2"/>
    </row>
    <row r="9605" spans="1:12" x14ac:dyDescent="0.2">
      <c r="A9605"/>
      <c r="B9605"/>
      <c r="C9605"/>
      <c r="D9605"/>
      <c r="E9605"/>
      <c r="F9605"/>
      <c r="G9605"/>
      <c r="H9605"/>
      <c r="I9605"/>
      <c r="J9605"/>
      <c r="K9605" s="1"/>
      <c r="L9605" s="2"/>
    </row>
    <row r="9606" spans="1:12" x14ac:dyDescent="0.2">
      <c r="A9606"/>
      <c r="B9606"/>
      <c r="C9606"/>
      <c r="D9606"/>
      <c r="E9606"/>
      <c r="F9606"/>
      <c r="G9606"/>
      <c r="H9606"/>
      <c r="I9606"/>
      <c r="J9606"/>
      <c r="K9606" s="1"/>
      <c r="L9606" s="2"/>
    </row>
    <row r="9607" spans="1:12" x14ac:dyDescent="0.2">
      <c r="A9607"/>
      <c r="B9607"/>
      <c r="C9607"/>
      <c r="D9607"/>
      <c r="E9607"/>
      <c r="F9607"/>
      <c r="G9607"/>
      <c r="H9607"/>
      <c r="I9607"/>
      <c r="J9607"/>
      <c r="K9607" s="1"/>
      <c r="L9607" s="2"/>
    </row>
    <row r="9608" spans="1:12" x14ac:dyDescent="0.2">
      <c r="A9608"/>
      <c r="B9608"/>
      <c r="C9608"/>
      <c r="D9608"/>
      <c r="E9608"/>
      <c r="F9608"/>
      <c r="G9608"/>
      <c r="H9608"/>
      <c r="I9608"/>
      <c r="J9608"/>
      <c r="K9608" s="1"/>
      <c r="L9608" s="2"/>
    </row>
    <row r="9609" spans="1:12" x14ac:dyDescent="0.2">
      <c r="A9609"/>
      <c r="B9609"/>
      <c r="C9609"/>
      <c r="D9609"/>
      <c r="E9609"/>
      <c r="F9609"/>
      <c r="G9609"/>
      <c r="H9609"/>
      <c r="I9609"/>
      <c r="J9609"/>
      <c r="K9609" s="1"/>
      <c r="L9609" s="2"/>
    </row>
    <row r="9610" spans="1:12" x14ac:dyDescent="0.2">
      <c r="A9610"/>
      <c r="B9610"/>
      <c r="C9610"/>
      <c r="D9610"/>
      <c r="E9610"/>
      <c r="F9610"/>
      <c r="G9610"/>
      <c r="H9610"/>
      <c r="I9610"/>
      <c r="J9610"/>
      <c r="K9610" s="1"/>
      <c r="L9610" s="2"/>
    </row>
    <row r="9611" spans="1:12" x14ac:dyDescent="0.2">
      <c r="A9611"/>
      <c r="B9611"/>
      <c r="C9611"/>
      <c r="D9611"/>
      <c r="E9611"/>
      <c r="F9611"/>
      <c r="G9611"/>
      <c r="H9611"/>
      <c r="I9611"/>
      <c r="J9611"/>
      <c r="K9611" s="1"/>
      <c r="L9611" s="2"/>
    </row>
    <row r="9612" spans="1:12" x14ac:dyDescent="0.2">
      <c r="A9612"/>
      <c r="B9612"/>
      <c r="C9612"/>
      <c r="D9612"/>
      <c r="E9612"/>
      <c r="F9612"/>
      <c r="G9612"/>
      <c r="H9612"/>
      <c r="I9612"/>
      <c r="J9612"/>
      <c r="K9612" s="1"/>
      <c r="L9612" s="2"/>
    </row>
    <row r="9613" spans="1:12" x14ac:dyDescent="0.2">
      <c r="A9613"/>
      <c r="B9613"/>
      <c r="C9613"/>
      <c r="D9613"/>
      <c r="E9613"/>
      <c r="F9613"/>
      <c r="G9613"/>
      <c r="H9613"/>
      <c r="I9613"/>
      <c r="J9613"/>
      <c r="K9613" s="1"/>
      <c r="L9613" s="2"/>
    </row>
    <row r="9614" spans="1:12" x14ac:dyDescent="0.2">
      <c r="A9614"/>
      <c r="B9614"/>
      <c r="C9614"/>
      <c r="D9614"/>
      <c r="E9614"/>
      <c r="F9614"/>
      <c r="G9614"/>
      <c r="H9614"/>
      <c r="I9614"/>
      <c r="J9614"/>
      <c r="K9614" s="1"/>
      <c r="L9614" s="2"/>
    </row>
    <row r="9615" spans="1:12" x14ac:dyDescent="0.2">
      <c r="A9615"/>
      <c r="B9615"/>
      <c r="C9615"/>
      <c r="D9615"/>
      <c r="E9615"/>
      <c r="F9615"/>
      <c r="G9615"/>
      <c r="H9615"/>
      <c r="I9615"/>
      <c r="J9615"/>
      <c r="K9615" s="1"/>
      <c r="L9615" s="2"/>
    </row>
    <row r="9616" spans="1:12" x14ac:dyDescent="0.2">
      <c r="A9616"/>
      <c r="B9616"/>
      <c r="C9616"/>
      <c r="D9616"/>
      <c r="E9616"/>
      <c r="F9616"/>
      <c r="G9616"/>
      <c r="H9616"/>
      <c r="I9616"/>
      <c r="J9616"/>
      <c r="K9616" s="1"/>
      <c r="L9616" s="2"/>
    </row>
    <row r="9617" spans="1:12" x14ac:dyDescent="0.2">
      <c r="A9617"/>
      <c r="B9617"/>
      <c r="C9617"/>
      <c r="D9617"/>
      <c r="E9617"/>
      <c r="F9617"/>
      <c r="G9617"/>
      <c r="H9617"/>
      <c r="I9617"/>
      <c r="J9617"/>
      <c r="K9617" s="1"/>
      <c r="L9617" s="2"/>
    </row>
    <row r="9618" spans="1:12" x14ac:dyDescent="0.2">
      <c r="A9618"/>
      <c r="B9618"/>
      <c r="C9618"/>
      <c r="D9618"/>
      <c r="E9618"/>
      <c r="F9618"/>
      <c r="G9618"/>
      <c r="H9618"/>
      <c r="I9618"/>
      <c r="J9618"/>
      <c r="K9618" s="1"/>
      <c r="L9618" s="2"/>
    </row>
    <row r="9619" spans="1:12" x14ac:dyDescent="0.2">
      <c r="A9619"/>
      <c r="B9619"/>
      <c r="C9619"/>
      <c r="D9619"/>
      <c r="E9619"/>
      <c r="F9619"/>
      <c r="G9619"/>
      <c r="H9619"/>
      <c r="I9619"/>
      <c r="J9619"/>
      <c r="K9619" s="1"/>
      <c r="L9619" s="2"/>
    </row>
    <row r="9620" spans="1:12" x14ac:dyDescent="0.2">
      <c r="A9620"/>
      <c r="B9620"/>
      <c r="C9620"/>
      <c r="D9620"/>
      <c r="E9620"/>
      <c r="F9620"/>
      <c r="G9620"/>
      <c r="H9620"/>
      <c r="I9620"/>
      <c r="J9620"/>
      <c r="K9620" s="1"/>
      <c r="L9620" s="2"/>
    </row>
    <row r="9621" spans="1:12" x14ac:dyDescent="0.2">
      <c r="A9621"/>
      <c r="B9621"/>
      <c r="C9621"/>
      <c r="D9621"/>
      <c r="E9621"/>
      <c r="F9621"/>
      <c r="G9621"/>
      <c r="H9621"/>
      <c r="I9621"/>
      <c r="J9621"/>
      <c r="K9621" s="1"/>
      <c r="L9621" s="2"/>
    </row>
    <row r="9622" spans="1:12" x14ac:dyDescent="0.2">
      <c r="A9622"/>
      <c r="B9622"/>
      <c r="C9622"/>
      <c r="D9622"/>
      <c r="E9622"/>
      <c r="F9622"/>
      <c r="G9622"/>
      <c r="H9622"/>
      <c r="I9622"/>
      <c r="J9622"/>
      <c r="K9622" s="1"/>
      <c r="L9622" s="2"/>
    </row>
    <row r="9623" spans="1:12" x14ac:dyDescent="0.2">
      <c r="A9623"/>
      <c r="B9623"/>
      <c r="C9623"/>
      <c r="D9623"/>
      <c r="E9623"/>
      <c r="F9623"/>
      <c r="G9623"/>
      <c r="H9623"/>
      <c r="I9623"/>
      <c r="J9623"/>
      <c r="K9623" s="1"/>
      <c r="L9623" s="2"/>
    </row>
    <row r="9624" spans="1:12" x14ac:dyDescent="0.2">
      <c r="A9624"/>
      <c r="B9624"/>
      <c r="C9624"/>
      <c r="D9624"/>
      <c r="E9624"/>
      <c r="F9624"/>
      <c r="G9624"/>
      <c r="H9624"/>
      <c r="I9624"/>
      <c r="J9624"/>
      <c r="K9624" s="1"/>
      <c r="L9624" s="2"/>
    </row>
    <row r="9625" spans="1:12" x14ac:dyDescent="0.2">
      <c r="A9625"/>
      <c r="B9625"/>
      <c r="C9625"/>
      <c r="D9625"/>
      <c r="E9625"/>
      <c r="F9625"/>
      <c r="G9625"/>
      <c r="H9625"/>
      <c r="I9625"/>
      <c r="J9625"/>
      <c r="K9625" s="1"/>
      <c r="L9625" s="2"/>
    </row>
    <row r="9626" spans="1:12" x14ac:dyDescent="0.2">
      <c r="A9626"/>
      <c r="B9626"/>
      <c r="C9626"/>
      <c r="D9626"/>
      <c r="E9626"/>
      <c r="F9626"/>
      <c r="G9626"/>
      <c r="H9626"/>
      <c r="I9626"/>
      <c r="J9626"/>
      <c r="K9626" s="1"/>
      <c r="L9626" s="2"/>
    </row>
    <row r="9627" spans="1:12" x14ac:dyDescent="0.2">
      <c r="A9627"/>
      <c r="B9627"/>
      <c r="C9627"/>
      <c r="D9627"/>
      <c r="E9627"/>
      <c r="F9627"/>
      <c r="G9627"/>
      <c r="H9627"/>
      <c r="I9627"/>
      <c r="J9627"/>
      <c r="K9627" s="1"/>
      <c r="L9627" s="2"/>
    </row>
    <row r="9628" spans="1:12" x14ac:dyDescent="0.2">
      <c r="A9628"/>
      <c r="B9628"/>
      <c r="C9628"/>
      <c r="D9628"/>
      <c r="E9628"/>
      <c r="F9628"/>
      <c r="G9628"/>
      <c r="H9628"/>
      <c r="I9628"/>
      <c r="J9628"/>
      <c r="K9628" s="1"/>
      <c r="L9628" s="2"/>
    </row>
    <row r="9629" spans="1:12" x14ac:dyDescent="0.2">
      <c r="A9629"/>
      <c r="B9629"/>
      <c r="C9629"/>
      <c r="D9629"/>
      <c r="E9629"/>
      <c r="F9629"/>
      <c r="G9629"/>
      <c r="H9629"/>
      <c r="I9629"/>
      <c r="J9629"/>
      <c r="K9629" s="1"/>
      <c r="L9629" s="2"/>
    </row>
    <row r="9630" spans="1:12" x14ac:dyDescent="0.2">
      <c r="A9630"/>
      <c r="B9630"/>
      <c r="C9630"/>
      <c r="D9630"/>
      <c r="E9630"/>
      <c r="F9630"/>
      <c r="G9630"/>
      <c r="H9630"/>
      <c r="I9630"/>
      <c r="J9630"/>
      <c r="K9630" s="1"/>
      <c r="L9630" s="2"/>
    </row>
    <row r="9631" spans="1:12" x14ac:dyDescent="0.2">
      <c r="A9631"/>
      <c r="B9631"/>
      <c r="C9631"/>
      <c r="D9631"/>
      <c r="E9631"/>
      <c r="F9631"/>
      <c r="G9631"/>
      <c r="H9631"/>
      <c r="I9631"/>
      <c r="J9631"/>
      <c r="K9631" s="1"/>
      <c r="L9631" s="2"/>
    </row>
    <row r="9632" spans="1:12" x14ac:dyDescent="0.2">
      <c r="A9632"/>
      <c r="B9632"/>
      <c r="C9632"/>
      <c r="D9632"/>
      <c r="E9632"/>
      <c r="F9632"/>
      <c r="G9632"/>
      <c r="H9632"/>
      <c r="I9632"/>
      <c r="J9632"/>
      <c r="K9632" s="1"/>
      <c r="L9632" s="2"/>
    </row>
    <row r="9633" spans="1:12" x14ac:dyDescent="0.2">
      <c r="A9633"/>
      <c r="B9633"/>
      <c r="C9633"/>
      <c r="D9633"/>
      <c r="E9633"/>
      <c r="F9633"/>
      <c r="G9633"/>
      <c r="H9633"/>
      <c r="I9633"/>
      <c r="J9633"/>
      <c r="K9633" s="1"/>
      <c r="L9633" s="2"/>
    </row>
    <row r="9634" spans="1:12" x14ac:dyDescent="0.2">
      <c r="A9634"/>
      <c r="B9634"/>
      <c r="C9634"/>
      <c r="D9634"/>
      <c r="E9634"/>
      <c r="F9634"/>
      <c r="G9634"/>
      <c r="H9634"/>
      <c r="I9634"/>
      <c r="J9634"/>
      <c r="K9634" s="1"/>
      <c r="L9634" s="2"/>
    </row>
    <row r="9635" spans="1:12" x14ac:dyDescent="0.2">
      <c r="A9635"/>
      <c r="B9635"/>
      <c r="C9635"/>
      <c r="D9635"/>
      <c r="E9635"/>
      <c r="F9635"/>
      <c r="G9635"/>
      <c r="H9635"/>
      <c r="I9635"/>
      <c r="J9635"/>
      <c r="K9635" s="1"/>
      <c r="L9635" s="2"/>
    </row>
    <row r="9636" spans="1:12" x14ac:dyDescent="0.2">
      <c r="A9636"/>
      <c r="B9636"/>
      <c r="C9636"/>
      <c r="D9636"/>
      <c r="E9636"/>
      <c r="F9636"/>
      <c r="G9636"/>
      <c r="H9636"/>
      <c r="I9636"/>
      <c r="J9636"/>
      <c r="K9636" s="1"/>
      <c r="L9636" s="2"/>
    </row>
    <row r="9637" spans="1:12" x14ac:dyDescent="0.2">
      <c r="A9637"/>
      <c r="B9637"/>
      <c r="C9637"/>
      <c r="D9637"/>
      <c r="E9637"/>
      <c r="F9637"/>
      <c r="G9637"/>
      <c r="H9637"/>
      <c r="I9637"/>
      <c r="J9637"/>
      <c r="K9637" s="1"/>
      <c r="L9637" s="2"/>
    </row>
    <row r="9638" spans="1:12" x14ac:dyDescent="0.2">
      <c r="A9638"/>
      <c r="B9638"/>
      <c r="C9638"/>
      <c r="D9638"/>
      <c r="E9638"/>
      <c r="F9638"/>
      <c r="G9638"/>
      <c r="H9638"/>
      <c r="I9638"/>
      <c r="J9638"/>
      <c r="K9638" s="1"/>
      <c r="L9638" s="2"/>
    </row>
    <row r="9639" spans="1:12" x14ac:dyDescent="0.2">
      <c r="A9639"/>
      <c r="B9639"/>
      <c r="C9639"/>
      <c r="D9639"/>
      <c r="E9639"/>
      <c r="F9639"/>
      <c r="G9639"/>
      <c r="H9639"/>
      <c r="I9639"/>
      <c r="J9639"/>
      <c r="K9639" s="1"/>
      <c r="L9639" s="2"/>
    </row>
    <row r="9640" spans="1:12" x14ac:dyDescent="0.2">
      <c r="A9640"/>
      <c r="B9640"/>
      <c r="C9640"/>
      <c r="D9640"/>
      <c r="E9640"/>
      <c r="F9640"/>
      <c r="G9640"/>
      <c r="H9640"/>
      <c r="I9640"/>
      <c r="J9640"/>
      <c r="K9640" s="1"/>
      <c r="L9640" s="2"/>
    </row>
    <row r="9641" spans="1:12" x14ac:dyDescent="0.2">
      <c r="A9641"/>
      <c r="B9641"/>
      <c r="C9641"/>
      <c r="D9641"/>
      <c r="E9641"/>
      <c r="F9641"/>
      <c r="G9641"/>
      <c r="H9641"/>
      <c r="I9641"/>
      <c r="J9641"/>
      <c r="K9641" s="1"/>
      <c r="L9641" s="2"/>
    </row>
    <row r="9642" spans="1:12" x14ac:dyDescent="0.2">
      <c r="A9642"/>
      <c r="B9642"/>
      <c r="C9642"/>
      <c r="D9642"/>
      <c r="E9642"/>
      <c r="F9642"/>
      <c r="G9642"/>
      <c r="H9642"/>
      <c r="I9642"/>
      <c r="J9642"/>
      <c r="K9642" s="1"/>
      <c r="L9642" s="2"/>
    </row>
    <row r="9643" spans="1:12" x14ac:dyDescent="0.2">
      <c r="A9643"/>
      <c r="B9643"/>
      <c r="C9643"/>
      <c r="D9643"/>
      <c r="E9643"/>
      <c r="F9643"/>
      <c r="G9643"/>
      <c r="H9643"/>
      <c r="I9643"/>
      <c r="J9643"/>
      <c r="K9643" s="1"/>
      <c r="L9643" s="2"/>
    </row>
    <row r="9644" spans="1:12" x14ac:dyDescent="0.2">
      <c r="A9644"/>
      <c r="B9644"/>
      <c r="C9644"/>
      <c r="D9644"/>
      <c r="E9644"/>
      <c r="F9644"/>
      <c r="G9644"/>
      <c r="H9644"/>
      <c r="I9644"/>
      <c r="J9644"/>
      <c r="K9644" s="1"/>
      <c r="L9644" s="2"/>
    </row>
    <row r="9645" spans="1:12" x14ac:dyDescent="0.2">
      <c r="A9645"/>
      <c r="B9645"/>
      <c r="C9645"/>
      <c r="D9645"/>
      <c r="E9645"/>
      <c r="F9645"/>
      <c r="G9645"/>
      <c r="H9645"/>
      <c r="I9645"/>
      <c r="J9645"/>
      <c r="K9645" s="1"/>
      <c r="L9645" s="2"/>
    </row>
    <row r="9646" spans="1:12" x14ac:dyDescent="0.2">
      <c r="A9646"/>
      <c r="B9646"/>
      <c r="C9646"/>
      <c r="D9646"/>
      <c r="E9646"/>
      <c r="F9646"/>
      <c r="G9646"/>
      <c r="H9646"/>
      <c r="I9646"/>
      <c r="J9646"/>
      <c r="K9646" s="1"/>
      <c r="L9646" s="2"/>
    </row>
    <row r="9647" spans="1:12" x14ac:dyDescent="0.2">
      <c r="A9647"/>
      <c r="B9647"/>
      <c r="C9647"/>
      <c r="D9647"/>
      <c r="E9647"/>
      <c r="F9647"/>
      <c r="G9647"/>
      <c r="H9647"/>
      <c r="I9647"/>
      <c r="J9647"/>
      <c r="K9647" s="1"/>
      <c r="L9647" s="2"/>
    </row>
    <row r="9648" spans="1:12" x14ac:dyDescent="0.2">
      <c r="A9648"/>
      <c r="B9648"/>
      <c r="C9648"/>
      <c r="D9648"/>
      <c r="E9648"/>
      <c r="F9648"/>
      <c r="G9648"/>
      <c r="H9648"/>
      <c r="I9648"/>
      <c r="J9648"/>
      <c r="K9648" s="1"/>
      <c r="L9648" s="2"/>
    </row>
    <row r="9649" spans="1:12" x14ac:dyDescent="0.2">
      <c r="A9649"/>
      <c r="B9649"/>
      <c r="C9649"/>
      <c r="D9649"/>
      <c r="E9649"/>
      <c r="F9649"/>
      <c r="G9649"/>
      <c r="H9649"/>
      <c r="I9649"/>
      <c r="J9649"/>
      <c r="K9649" s="1"/>
      <c r="L9649" s="2"/>
    </row>
    <row r="9650" spans="1:12" x14ac:dyDescent="0.2">
      <c r="A9650"/>
      <c r="B9650"/>
      <c r="C9650"/>
      <c r="D9650"/>
      <c r="E9650"/>
      <c r="F9650"/>
      <c r="G9650"/>
      <c r="H9650"/>
      <c r="I9650"/>
      <c r="J9650"/>
      <c r="K9650" s="1"/>
      <c r="L9650" s="2"/>
    </row>
    <row r="9651" spans="1:12" x14ac:dyDescent="0.2">
      <c r="A9651"/>
      <c r="B9651"/>
      <c r="C9651"/>
      <c r="D9651"/>
      <c r="E9651"/>
      <c r="F9651"/>
      <c r="G9651"/>
      <c r="H9651"/>
      <c r="I9651"/>
      <c r="J9651"/>
      <c r="K9651" s="1"/>
      <c r="L9651" s="2"/>
    </row>
    <row r="9652" spans="1:12" x14ac:dyDescent="0.2">
      <c r="A9652"/>
      <c r="B9652"/>
      <c r="C9652"/>
      <c r="D9652"/>
      <c r="E9652"/>
      <c r="F9652"/>
      <c r="G9652"/>
      <c r="H9652"/>
      <c r="I9652"/>
      <c r="J9652"/>
      <c r="K9652" s="1"/>
      <c r="L9652" s="2"/>
    </row>
    <row r="9653" spans="1:12" x14ac:dyDescent="0.2">
      <c r="A9653"/>
      <c r="B9653"/>
      <c r="C9653"/>
      <c r="D9653"/>
      <c r="E9653"/>
      <c r="F9653"/>
      <c r="G9653"/>
      <c r="H9653"/>
      <c r="I9653"/>
      <c r="J9653"/>
      <c r="K9653" s="1"/>
      <c r="L9653" s="2"/>
    </row>
    <row r="9654" spans="1:12" x14ac:dyDescent="0.2">
      <c r="A9654"/>
      <c r="B9654"/>
      <c r="C9654"/>
      <c r="D9654"/>
      <c r="E9654"/>
      <c r="F9654"/>
      <c r="G9654"/>
      <c r="H9654"/>
      <c r="I9654"/>
      <c r="J9654"/>
      <c r="K9654" s="1"/>
      <c r="L9654" s="2"/>
    </row>
    <row r="9655" spans="1:12" x14ac:dyDescent="0.2">
      <c r="A9655"/>
      <c r="B9655"/>
      <c r="C9655"/>
      <c r="D9655"/>
      <c r="E9655"/>
      <c r="F9655"/>
      <c r="G9655"/>
      <c r="H9655"/>
      <c r="I9655"/>
      <c r="J9655"/>
      <c r="K9655" s="1"/>
      <c r="L9655" s="2"/>
    </row>
    <row r="9656" spans="1:12" x14ac:dyDescent="0.2">
      <c r="A9656"/>
      <c r="B9656"/>
      <c r="C9656"/>
      <c r="D9656"/>
      <c r="E9656"/>
      <c r="F9656"/>
      <c r="G9656"/>
      <c r="H9656"/>
      <c r="I9656"/>
      <c r="J9656"/>
      <c r="K9656" s="1"/>
      <c r="L9656" s="2"/>
    </row>
    <row r="9657" spans="1:12" x14ac:dyDescent="0.2">
      <c r="A9657"/>
      <c r="B9657"/>
      <c r="C9657"/>
      <c r="D9657"/>
      <c r="E9657"/>
      <c r="F9657"/>
      <c r="G9657"/>
      <c r="H9657"/>
      <c r="I9657"/>
      <c r="J9657"/>
      <c r="K9657" s="1"/>
      <c r="L9657" s="2"/>
    </row>
    <row r="9658" spans="1:12" x14ac:dyDescent="0.2">
      <c r="A9658"/>
      <c r="B9658"/>
      <c r="C9658"/>
      <c r="D9658"/>
      <c r="E9658"/>
      <c r="F9658"/>
      <c r="G9658"/>
      <c r="H9658"/>
      <c r="I9658"/>
      <c r="J9658"/>
      <c r="K9658" s="1"/>
      <c r="L9658" s="2"/>
    </row>
    <row r="9659" spans="1:12" x14ac:dyDescent="0.2">
      <c r="A9659"/>
      <c r="B9659"/>
      <c r="C9659"/>
      <c r="D9659"/>
      <c r="E9659"/>
      <c r="F9659"/>
      <c r="G9659"/>
      <c r="H9659"/>
      <c r="I9659"/>
      <c r="J9659"/>
      <c r="K9659" s="1"/>
      <c r="L9659" s="2"/>
    </row>
    <row r="9660" spans="1:12" x14ac:dyDescent="0.2">
      <c r="A9660"/>
      <c r="B9660"/>
      <c r="C9660"/>
      <c r="D9660"/>
      <c r="E9660"/>
      <c r="F9660"/>
      <c r="G9660"/>
      <c r="H9660"/>
      <c r="I9660"/>
      <c r="J9660"/>
      <c r="K9660" s="1"/>
      <c r="L9660" s="2"/>
    </row>
    <row r="9661" spans="1:12" x14ac:dyDescent="0.2">
      <c r="A9661"/>
      <c r="B9661"/>
      <c r="C9661"/>
      <c r="D9661"/>
      <c r="E9661"/>
      <c r="F9661"/>
      <c r="G9661"/>
      <c r="H9661"/>
      <c r="I9661"/>
      <c r="J9661"/>
      <c r="K9661" s="1"/>
      <c r="L9661" s="2"/>
    </row>
    <row r="9662" spans="1:12" x14ac:dyDescent="0.2">
      <c r="A9662"/>
      <c r="B9662"/>
      <c r="C9662"/>
      <c r="D9662"/>
      <c r="E9662"/>
      <c r="F9662"/>
      <c r="G9662"/>
      <c r="H9662"/>
      <c r="I9662"/>
      <c r="J9662"/>
      <c r="K9662" s="1"/>
      <c r="L9662" s="2"/>
    </row>
    <row r="9663" spans="1:12" x14ac:dyDescent="0.2">
      <c r="A9663"/>
      <c r="B9663"/>
      <c r="C9663"/>
      <c r="D9663"/>
      <c r="E9663"/>
      <c r="F9663"/>
      <c r="G9663"/>
      <c r="H9663"/>
      <c r="I9663"/>
      <c r="J9663"/>
      <c r="K9663" s="1"/>
      <c r="L9663" s="2"/>
    </row>
    <row r="9664" spans="1:12" x14ac:dyDescent="0.2">
      <c r="A9664"/>
      <c r="B9664"/>
      <c r="C9664"/>
      <c r="D9664"/>
      <c r="E9664"/>
      <c r="F9664"/>
      <c r="G9664"/>
      <c r="H9664"/>
      <c r="I9664"/>
      <c r="J9664"/>
      <c r="K9664" s="1"/>
      <c r="L9664" s="2"/>
    </row>
    <row r="9665" spans="1:12" x14ac:dyDescent="0.2">
      <c r="A9665"/>
      <c r="B9665"/>
      <c r="C9665"/>
      <c r="D9665"/>
      <c r="E9665"/>
      <c r="F9665"/>
      <c r="G9665"/>
      <c r="H9665"/>
      <c r="I9665"/>
      <c r="J9665"/>
      <c r="K9665" s="1"/>
      <c r="L9665" s="2"/>
    </row>
    <row r="9666" spans="1:12" x14ac:dyDescent="0.2">
      <c r="A9666"/>
      <c r="B9666"/>
      <c r="C9666"/>
      <c r="D9666"/>
      <c r="E9666"/>
      <c r="F9666"/>
      <c r="G9666"/>
      <c r="H9666"/>
      <c r="I9666"/>
      <c r="J9666"/>
      <c r="K9666" s="1"/>
      <c r="L9666" s="2"/>
    </row>
    <row r="9667" spans="1:12" x14ac:dyDescent="0.2">
      <c r="A9667"/>
      <c r="B9667"/>
      <c r="C9667"/>
      <c r="D9667"/>
      <c r="E9667"/>
      <c r="F9667"/>
      <c r="G9667"/>
      <c r="H9667"/>
      <c r="I9667"/>
      <c r="J9667"/>
      <c r="K9667" s="1"/>
      <c r="L9667" s="2"/>
    </row>
    <row r="9668" spans="1:12" x14ac:dyDescent="0.2">
      <c r="A9668"/>
      <c r="B9668"/>
      <c r="C9668"/>
      <c r="D9668"/>
      <c r="E9668"/>
      <c r="F9668"/>
      <c r="G9668"/>
      <c r="H9668"/>
      <c r="I9668"/>
      <c r="J9668"/>
      <c r="K9668" s="1"/>
      <c r="L9668" s="2"/>
    </row>
    <row r="9669" spans="1:12" x14ac:dyDescent="0.2">
      <c r="A9669"/>
      <c r="B9669"/>
      <c r="C9669"/>
      <c r="D9669"/>
      <c r="E9669"/>
      <c r="F9669"/>
      <c r="G9669"/>
      <c r="H9669"/>
      <c r="I9669"/>
      <c r="J9669"/>
      <c r="K9669" s="1"/>
      <c r="L9669" s="2"/>
    </row>
    <row r="9670" spans="1:12" x14ac:dyDescent="0.2">
      <c r="A9670"/>
      <c r="B9670"/>
      <c r="C9670"/>
      <c r="D9670"/>
      <c r="E9670"/>
      <c r="F9670"/>
      <c r="G9670"/>
      <c r="H9670"/>
      <c r="I9670"/>
      <c r="J9670"/>
      <c r="K9670" s="1"/>
      <c r="L9670" s="2"/>
    </row>
    <row r="9671" spans="1:12" x14ac:dyDescent="0.2">
      <c r="A9671"/>
      <c r="B9671"/>
      <c r="C9671"/>
      <c r="D9671"/>
      <c r="E9671"/>
      <c r="F9671"/>
      <c r="G9671"/>
      <c r="H9671"/>
      <c r="I9671"/>
      <c r="J9671"/>
      <c r="K9671" s="1"/>
      <c r="L9671" s="2"/>
    </row>
    <row r="9672" spans="1:12" x14ac:dyDescent="0.2">
      <c r="A9672"/>
      <c r="B9672"/>
      <c r="C9672"/>
      <c r="D9672"/>
      <c r="E9672"/>
      <c r="F9672"/>
      <c r="G9672"/>
      <c r="H9672"/>
      <c r="I9672"/>
      <c r="J9672"/>
      <c r="K9672" s="1"/>
      <c r="L9672" s="2"/>
    </row>
    <row r="9673" spans="1:12" x14ac:dyDescent="0.2">
      <c r="A9673"/>
      <c r="B9673"/>
      <c r="C9673"/>
      <c r="D9673"/>
      <c r="E9673"/>
      <c r="F9673"/>
      <c r="G9673"/>
      <c r="H9673"/>
      <c r="I9673"/>
      <c r="J9673"/>
      <c r="K9673" s="1"/>
      <c r="L9673" s="2"/>
    </row>
    <row r="9674" spans="1:12" x14ac:dyDescent="0.2">
      <c r="A9674"/>
      <c r="B9674"/>
      <c r="C9674"/>
      <c r="D9674"/>
      <c r="E9674"/>
      <c r="F9674"/>
      <c r="G9674"/>
      <c r="H9674"/>
      <c r="I9674"/>
      <c r="J9674"/>
      <c r="K9674" s="1"/>
      <c r="L9674" s="2"/>
    </row>
    <row r="9675" spans="1:12" x14ac:dyDescent="0.2">
      <c r="A9675"/>
      <c r="B9675"/>
      <c r="C9675"/>
      <c r="D9675"/>
      <c r="E9675"/>
      <c r="F9675"/>
      <c r="G9675"/>
      <c r="H9675"/>
      <c r="I9675"/>
      <c r="J9675"/>
      <c r="K9675" s="1"/>
      <c r="L9675" s="2"/>
    </row>
    <row r="9676" spans="1:12" x14ac:dyDescent="0.2">
      <c r="A9676"/>
      <c r="B9676"/>
      <c r="C9676"/>
      <c r="D9676"/>
      <c r="E9676"/>
      <c r="F9676"/>
      <c r="G9676"/>
      <c r="H9676"/>
      <c r="I9676"/>
      <c r="J9676"/>
      <c r="K9676" s="1"/>
      <c r="L9676" s="2"/>
    </row>
    <row r="9677" spans="1:12" x14ac:dyDescent="0.2">
      <c r="A9677"/>
      <c r="B9677"/>
      <c r="C9677"/>
      <c r="D9677"/>
      <c r="E9677"/>
      <c r="F9677"/>
      <c r="G9677"/>
      <c r="H9677"/>
      <c r="I9677"/>
      <c r="J9677"/>
      <c r="K9677" s="1"/>
      <c r="L9677" s="2"/>
    </row>
    <row r="9678" spans="1:12" x14ac:dyDescent="0.2">
      <c r="A9678"/>
      <c r="B9678"/>
      <c r="C9678"/>
      <c r="D9678"/>
      <c r="E9678"/>
      <c r="F9678"/>
      <c r="G9678"/>
      <c r="H9678"/>
      <c r="I9678"/>
      <c r="J9678"/>
      <c r="K9678" s="1"/>
      <c r="L9678" s="2"/>
    </row>
    <row r="9679" spans="1:12" x14ac:dyDescent="0.2">
      <c r="A9679"/>
      <c r="B9679"/>
      <c r="C9679"/>
      <c r="D9679"/>
      <c r="E9679"/>
      <c r="F9679"/>
      <c r="G9679"/>
      <c r="H9679"/>
      <c r="I9679"/>
      <c r="J9679"/>
      <c r="K9679" s="1"/>
      <c r="L9679" s="2"/>
    </row>
    <row r="9680" spans="1:12" x14ac:dyDescent="0.2">
      <c r="A9680"/>
      <c r="B9680"/>
      <c r="C9680"/>
      <c r="D9680"/>
      <c r="E9680"/>
      <c r="F9680"/>
      <c r="G9680"/>
      <c r="H9680"/>
      <c r="I9680"/>
      <c r="J9680"/>
      <c r="K9680" s="1"/>
      <c r="L9680" s="2"/>
    </row>
    <row r="9681" spans="1:12" x14ac:dyDescent="0.2">
      <c r="A9681"/>
      <c r="B9681"/>
      <c r="C9681"/>
      <c r="D9681"/>
      <c r="E9681"/>
      <c r="F9681"/>
      <c r="G9681"/>
      <c r="H9681"/>
      <c r="I9681"/>
      <c r="J9681"/>
      <c r="K9681" s="1"/>
      <c r="L9681" s="2"/>
    </row>
    <row r="9682" spans="1:12" x14ac:dyDescent="0.2">
      <c r="A9682"/>
      <c r="B9682"/>
      <c r="C9682"/>
      <c r="D9682"/>
      <c r="E9682"/>
      <c r="F9682"/>
      <c r="G9682"/>
      <c r="H9682"/>
      <c r="I9682"/>
      <c r="J9682"/>
      <c r="K9682" s="1"/>
      <c r="L9682" s="2"/>
    </row>
    <row r="9683" spans="1:12" x14ac:dyDescent="0.2">
      <c r="A9683"/>
      <c r="B9683"/>
      <c r="C9683"/>
      <c r="D9683"/>
      <c r="E9683"/>
      <c r="F9683"/>
      <c r="G9683"/>
      <c r="H9683"/>
      <c r="I9683"/>
      <c r="J9683"/>
      <c r="K9683" s="1"/>
      <c r="L9683" s="2"/>
    </row>
    <row r="9684" spans="1:12" x14ac:dyDescent="0.2">
      <c r="A9684"/>
      <c r="B9684"/>
      <c r="C9684"/>
      <c r="D9684"/>
      <c r="E9684"/>
      <c r="F9684"/>
      <c r="G9684"/>
      <c r="H9684"/>
      <c r="I9684"/>
      <c r="J9684"/>
      <c r="K9684" s="1"/>
      <c r="L9684" s="2"/>
    </row>
    <row r="9685" spans="1:12" x14ac:dyDescent="0.2">
      <c r="A9685"/>
      <c r="B9685"/>
      <c r="C9685"/>
      <c r="D9685"/>
      <c r="E9685"/>
      <c r="F9685"/>
      <c r="G9685"/>
      <c r="H9685"/>
      <c r="I9685"/>
      <c r="J9685"/>
      <c r="K9685" s="1"/>
      <c r="L9685" s="2"/>
    </row>
    <row r="9686" spans="1:12" x14ac:dyDescent="0.2">
      <c r="A9686"/>
      <c r="B9686"/>
      <c r="C9686"/>
      <c r="D9686"/>
      <c r="E9686"/>
      <c r="F9686"/>
      <c r="G9686"/>
      <c r="H9686"/>
      <c r="I9686"/>
      <c r="J9686"/>
      <c r="K9686" s="1"/>
      <c r="L9686" s="2"/>
    </row>
    <row r="9687" spans="1:12" x14ac:dyDescent="0.2">
      <c r="A9687"/>
      <c r="B9687"/>
      <c r="C9687"/>
      <c r="D9687"/>
      <c r="E9687"/>
      <c r="F9687"/>
      <c r="G9687"/>
      <c r="H9687"/>
      <c r="I9687"/>
      <c r="J9687"/>
      <c r="K9687" s="1"/>
      <c r="L9687" s="2"/>
    </row>
    <row r="9688" spans="1:12" x14ac:dyDescent="0.2">
      <c r="A9688"/>
      <c r="B9688"/>
      <c r="C9688"/>
      <c r="D9688"/>
      <c r="E9688"/>
      <c r="F9688"/>
      <c r="G9688"/>
      <c r="H9688"/>
      <c r="I9688"/>
      <c r="J9688"/>
      <c r="K9688" s="1"/>
      <c r="L9688" s="2"/>
    </row>
    <row r="9689" spans="1:12" x14ac:dyDescent="0.2">
      <c r="A9689"/>
      <c r="B9689"/>
      <c r="C9689"/>
      <c r="D9689"/>
      <c r="E9689"/>
      <c r="F9689"/>
      <c r="G9689"/>
      <c r="H9689"/>
      <c r="I9689"/>
      <c r="J9689"/>
      <c r="K9689" s="1"/>
      <c r="L9689" s="2"/>
    </row>
    <row r="9690" spans="1:12" x14ac:dyDescent="0.2">
      <c r="A9690"/>
      <c r="B9690"/>
      <c r="C9690"/>
      <c r="D9690"/>
      <c r="E9690"/>
      <c r="F9690"/>
      <c r="G9690"/>
      <c r="H9690"/>
      <c r="I9690"/>
      <c r="J9690"/>
      <c r="K9690" s="1"/>
      <c r="L9690" s="2"/>
    </row>
    <row r="9691" spans="1:12" x14ac:dyDescent="0.2">
      <c r="A9691"/>
      <c r="B9691"/>
      <c r="C9691"/>
      <c r="D9691"/>
      <c r="E9691"/>
      <c r="F9691"/>
      <c r="G9691"/>
      <c r="H9691"/>
      <c r="I9691"/>
      <c r="J9691"/>
      <c r="K9691" s="1"/>
      <c r="L9691" s="2"/>
    </row>
    <row r="9692" spans="1:12" x14ac:dyDescent="0.2">
      <c r="A9692"/>
      <c r="B9692"/>
      <c r="C9692"/>
      <c r="D9692"/>
      <c r="E9692"/>
      <c r="F9692"/>
      <c r="G9692"/>
      <c r="H9692"/>
      <c r="I9692"/>
      <c r="J9692"/>
      <c r="K9692" s="1"/>
      <c r="L9692" s="2"/>
    </row>
    <row r="9693" spans="1:12" x14ac:dyDescent="0.2">
      <c r="A9693"/>
      <c r="B9693"/>
      <c r="C9693"/>
      <c r="D9693"/>
      <c r="E9693"/>
      <c r="F9693"/>
      <c r="G9693"/>
      <c r="H9693"/>
      <c r="I9693"/>
      <c r="J9693"/>
      <c r="K9693" s="1"/>
      <c r="L9693" s="2"/>
    </row>
    <row r="9694" spans="1:12" x14ac:dyDescent="0.2">
      <c r="A9694"/>
      <c r="B9694"/>
      <c r="C9694"/>
      <c r="D9694"/>
      <c r="E9694"/>
      <c r="F9694"/>
      <c r="G9694"/>
      <c r="H9694"/>
      <c r="I9694"/>
      <c r="J9694"/>
      <c r="K9694" s="1"/>
      <c r="L9694" s="2"/>
    </row>
    <row r="9695" spans="1:12" x14ac:dyDescent="0.2">
      <c r="A9695"/>
      <c r="B9695"/>
      <c r="C9695"/>
      <c r="D9695"/>
      <c r="E9695"/>
      <c r="F9695"/>
      <c r="G9695"/>
      <c r="H9695"/>
      <c r="I9695"/>
      <c r="J9695"/>
      <c r="K9695" s="1"/>
      <c r="L9695" s="2"/>
    </row>
    <row r="9696" spans="1:12" x14ac:dyDescent="0.2">
      <c r="A9696"/>
      <c r="B9696"/>
      <c r="C9696"/>
      <c r="D9696"/>
      <c r="E9696"/>
      <c r="F9696"/>
      <c r="G9696"/>
      <c r="H9696"/>
      <c r="I9696"/>
      <c r="J9696"/>
      <c r="K9696" s="1"/>
      <c r="L9696" s="2"/>
    </row>
    <row r="9697" spans="1:12" x14ac:dyDescent="0.2">
      <c r="A9697"/>
      <c r="B9697"/>
      <c r="C9697"/>
      <c r="D9697"/>
      <c r="E9697"/>
      <c r="F9697"/>
      <c r="G9697"/>
      <c r="H9697"/>
      <c r="I9697"/>
      <c r="J9697"/>
      <c r="K9697" s="1"/>
      <c r="L9697" s="2"/>
    </row>
    <row r="9698" spans="1:12" x14ac:dyDescent="0.2">
      <c r="A9698"/>
      <c r="B9698"/>
      <c r="C9698"/>
      <c r="D9698"/>
      <c r="E9698"/>
      <c r="F9698"/>
      <c r="G9698"/>
      <c r="H9698"/>
      <c r="I9698"/>
      <c r="J9698"/>
      <c r="K9698" s="1"/>
      <c r="L9698" s="2"/>
    </row>
    <row r="9699" spans="1:12" x14ac:dyDescent="0.2">
      <c r="A9699"/>
      <c r="B9699"/>
      <c r="C9699"/>
      <c r="D9699"/>
      <c r="E9699"/>
      <c r="F9699"/>
      <c r="G9699"/>
      <c r="H9699"/>
      <c r="I9699"/>
      <c r="J9699"/>
      <c r="K9699" s="1"/>
      <c r="L9699" s="2"/>
    </row>
    <row r="9700" spans="1:12" x14ac:dyDescent="0.2">
      <c r="A9700"/>
      <c r="B9700"/>
      <c r="C9700"/>
      <c r="D9700"/>
      <c r="E9700"/>
      <c r="F9700"/>
      <c r="G9700"/>
      <c r="H9700"/>
      <c r="I9700"/>
      <c r="J9700"/>
      <c r="K9700" s="1"/>
      <c r="L9700" s="2"/>
    </row>
    <row r="9701" spans="1:12" x14ac:dyDescent="0.2">
      <c r="A9701"/>
      <c r="B9701"/>
      <c r="C9701"/>
      <c r="D9701"/>
      <c r="E9701"/>
      <c r="F9701"/>
      <c r="G9701"/>
      <c r="H9701"/>
      <c r="I9701"/>
      <c r="J9701"/>
      <c r="K9701" s="1"/>
      <c r="L9701" s="2"/>
    </row>
    <row r="9702" spans="1:12" x14ac:dyDescent="0.2">
      <c r="A9702"/>
      <c r="B9702"/>
      <c r="C9702"/>
      <c r="D9702"/>
      <c r="E9702"/>
      <c r="F9702"/>
      <c r="G9702"/>
      <c r="H9702"/>
      <c r="I9702"/>
      <c r="J9702"/>
      <c r="K9702" s="1"/>
      <c r="L9702" s="2"/>
    </row>
    <row r="9703" spans="1:12" x14ac:dyDescent="0.2">
      <c r="A9703"/>
      <c r="B9703"/>
      <c r="C9703"/>
      <c r="D9703"/>
      <c r="E9703"/>
      <c r="F9703"/>
      <c r="G9703"/>
      <c r="H9703"/>
      <c r="I9703"/>
      <c r="J9703"/>
      <c r="K9703" s="1"/>
      <c r="L9703" s="2"/>
    </row>
    <row r="9704" spans="1:12" x14ac:dyDescent="0.2">
      <c r="A9704"/>
      <c r="B9704"/>
      <c r="C9704"/>
      <c r="D9704"/>
      <c r="E9704"/>
      <c r="F9704"/>
      <c r="G9704"/>
      <c r="H9704"/>
      <c r="I9704"/>
      <c r="J9704"/>
      <c r="K9704" s="1"/>
      <c r="L9704" s="2"/>
    </row>
    <row r="9705" spans="1:12" x14ac:dyDescent="0.2">
      <c r="A9705"/>
      <c r="B9705"/>
      <c r="C9705"/>
      <c r="D9705"/>
      <c r="E9705"/>
      <c r="F9705"/>
      <c r="G9705"/>
      <c r="H9705"/>
      <c r="I9705"/>
      <c r="J9705"/>
      <c r="K9705" s="1"/>
      <c r="L9705" s="2"/>
    </row>
    <row r="9706" spans="1:12" x14ac:dyDescent="0.2">
      <c r="A9706"/>
      <c r="B9706"/>
      <c r="C9706"/>
      <c r="D9706"/>
      <c r="E9706"/>
      <c r="F9706"/>
      <c r="G9706"/>
      <c r="H9706"/>
      <c r="I9706"/>
      <c r="J9706"/>
      <c r="K9706" s="1"/>
      <c r="L9706" s="2"/>
    </row>
    <row r="9707" spans="1:12" x14ac:dyDescent="0.2">
      <c r="A9707"/>
      <c r="B9707"/>
      <c r="C9707"/>
      <c r="D9707"/>
      <c r="E9707"/>
      <c r="F9707"/>
      <c r="G9707"/>
      <c r="H9707"/>
      <c r="I9707"/>
      <c r="J9707"/>
      <c r="K9707" s="1"/>
      <c r="L9707" s="2"/>
    </row>
    <row r="9708" spans="1:12" x14ac:dyDescent="0.2">
      <c r="A9708"/>
      <c r="B9708"/>
      <c r="C9708"/>
      <c r="D9708"/>
      <c r="E9708"/>
      <c r="F9708"/>
      <c r="G9708"/>
      <c r="H9708"/>
      <c r="I9708"/>
      <c r="J9708"/>
      <c r="K9708" s="1"/>
      <c r="L9708" s="2"/>
    </row>
    <row r="9709" spans="1:12" x14ac:dyDescent="0.2">
      <c r="A9709"/>
      <c r="B9709"/>
      <c r="C9709"/>
      <c r="D9709"/>
      <c r="E9709"/>
      <c r="F9709"/>
      <c r="G9709"/>
      <c r="H9709"/>
      <c r="I9709"/>
      <c r="J9709"/>
      <c r="K9709" s="1"/>
      <c r="L9709" s="2"/>
    </row>
    <row r="9710" spans="1:12" x14ac:dyDescent="0.2">
      <c r="A9710"/>
      <c r="B9710"/>
      <c r="C9710"/>
      <c r="D9710"/>
      <c r="E9710"/>
      <c r="F9710"/>
      <c r="G9710"/>
      <c r="H9710"/>
      <c r="I9710"/>
      <c r="J9710"/>
      <c r="K9710" s="1"/>
      <c r="L9710" s="2"/>
    </row>
    <row r="9711" spans="1:12" x14ac:dyDescent="0.2">
      <c r="A9711"/>
      <c r="B9711"/>
      <c r="C9711"/>
      <c r="D9711"/>
      <c r="E9711"/>
      <c r="F9711"/>
      <c r="G9711"/>
      <c r="H9711"/>
      <c r="I9711"/>
      <c r="J9711"/>
      <c r="K9711" s="1"/>
      <c r="L9711" s="2"/>
    </row>
    <row r="9712" spans="1:12" x14ac:dyDescent="0.2">
      <c r="A9712"/>
      <c r="B9712"/>
      <c r="C9712"/>
      <c r="D9712"/>
      <c r="E9712"/>
      <c r="F9712"/>
      <c r="G9712"/>
      <c r="H9712"/>
      <c r="I9712"/>
      <c r="J9712"/>
      <c r="K9712" s="1"/>
      <c r="L9712" s="2"/>
    </row>
    <row r="9713" spans="1:12" x14ac:dyDescent="0.2">
      <c r="A9713"/>
      <c r="B9713"/>
      <c r="C9713"/>
      <c r="D9713"/>
      <c r="E9713"/>
      <c r="F9713"/>
      <c r="G9713"/>
      <c r="H9713"/>
      <c r="I9713"/>
      <c r="J9713"/>
      <c r="K9713" s="1"/>
      <c r="L9713" s="2"/>
    </row>
    <row r="9714" spans="1:12" x14ac:dyDescent="0.2">
      <c r="A9714"/>
      <c r="B9714"/>
      <c r="C9714"/>
      <c r="D9714"/>
      <c r="E9714"/>
      <c r="F9714"/>
      <c r="G9714"/>
      <c r="H9714"/>
      <c r="I9714"/>
      <c r="J9714"/>
      <c r="K9714" s="1"/>
      <c r="L9714" s="2"/>
    </row>
    <row r="9715" spans="1:12" x14ac:dyDescent="0.2">
      <c r="A9715"/>
      <c r="B9715"/>
      <c r="C9715"/>
      <c r="D9715"/>
      <c r="E9715"/>
      <c r="F9715"/>
      <c r="G9715"/>
      <c r="H9715"/>
      <c r="I9715"/>
      <c r="J9715"/>
      <c r="K9715" s="1"/>
      <c r="L9715" s="2"/>
    </row>
    <row r="9716" spans="1:12" x14ac:dyDescent="0.2">
      <c r="A9716"/>
      <c r="B9716"/>
      <c r="C9716"/>
      <c r="D9716"/>
      <c r="E9716"/>
      <c r="F9716"/>
      <c r="G9716"/>
      <c r="H9716"/>
      <c r="I9716"/>
      <c r="J9716"/>
      <c r="K9716" s="1"/>
      <c r="L9716" s="2"/>
    </row>
    <row r="9717" spans="1:12" x14ac:dyDescent="0.2">
      <c r="A9717"/>
      <c r="B9717"/>
      <c r="C9717"/>
      <c r="D9717"/>
      <c r="E9717"/>
      <c r="F9717"/>
      <c r="G9717"/>
      <c r="H9717"/>
      <c r="I9717"/>
      <c r="J9717"/>
      <c r="K9717" s="1"/>
      <c r="L9717" s="2"/>
    </row>
    <row r="9718" spans="1:12" x14ac:dyDescent="0.2">
      <c r="A9718"/>
      <c r="B9718"/>
      <c r="C9718"/>
      <c r="D9718"/>
      <c r="E9718"/>
      <c r="F9718"/>
      <c r="G9718"/>
      <c r="H9718"/>
      <c r="I9718"/>
      <c r="J9718"/>
      <c r="K9718" s="1"/>
      <c r="L9718" s="2"/>
    </row>
    <row r="9719" spans="1:12" x14ac:dyDescent="0.2">
      <c r="A9719"/>
      <c r="B9719"/>
      <c r="C9719"/>
      <c r="D9719"/>
      <c r="E9719"/>
      <c r="F9719"/>
      <c r="G9719"/>
      <c r="H9719"/>
      <c r="I9719"/>
      <c r="J9719"/>
      <c r="K9719" s="1"/>
      <c r="L9719" s="2"/>
    </row>
    <row r="9720" spans="1:12" x14ac:dyDescent="0.2">
      <c r="A9720"/>
      <c r="B9720"/>
      <c r="C9720"/>
      <c r="D9720"/>
      <c r="E9720"/>
      <c r="F9720"/>
      <c r="G9720"/>
      <c r="H9720"/>
      <c r="I9720"/>
      <c r="J9720"/>
      <c r="K9720" s="1"/>
      <c r="L9720" s="2"/>
    </row>
    <row r="9721" spans="1:12" x14ac:dyDescent="0.2">
      <c r="A9721"/>
      <c r="B9721"/>
      <c r="C9721"/>
      <c r="D9721"/>
      <c r="E9721"/>
      <c r="F9721"/>
      <c r="G9721"/>
      <c r="H9721"/>
      <c r="I9721"/>
      <c r="J9721"/>
      <c r="K9721" s="1"/>
      <c r="L9721" s="2"/>
    </row>
    <row r="9722" spans="1:12" x14ac:dyDescent="0.2">
      <c r="A9722"/>
      <c r="B9722"/>
      <c r="C9722"/>
      <c r="D9722"/>
      <c r="E9722"/>
      <c r="F9722"/>
      <c r="G9722"/>
      <c r="H9722"/>
      <c r="I9722"/>
      <c r="J9722"/>
      <c r="K9722" s="1"/>
      <c r="L9722" s="2"/>
    </row>
    <row r="9723" spans="1:12" x14ac:dyDescent="0.2">
      <c r="A9723"/>
      <c r="B9723"/>
      <c r="C9723"/>
      <c r="D9723"/>
      <c r="E9723"/>
      <c r="F9723"/>
      <c r="G9723"/>
      <c r="H9723"/>
      <c r="I9723"/>
      <c r="J9723"/>
      <c r="K9723" s="1"/>
      <c r="L9723" s="2"/>
    </row>
    <row r="9724" spans="1:12" x14ac:dyDescent="0.2">
      <c r="A9724"/>
      <c r="B9724"/>
      <c r="C9724"/>
      <c r="D9724"/>
      <c r="E9724"/>
      <c r="F9724"/>
      <c r="G9724"/>
      <c r="H9724"/>
      <c r="I9724"/>
      <c r="J9724"/>
      <c r="K9724" s="1"/>
      <c r="L9724" s="2"/>
    </row>
    <row r="9725" spans="1:12" x14ac:dyDescent="0.2">
      <c r="A9725"/>
      <c r="B9725"/>
      <c r="C9725"/>
      <c r="D9725"/>
      <c r="E9725"/>
      <c r="F9725"/>
      <c r="G9725"/>
      <c r="H9725"/>
      <c r="I9725"/>
      <c r="J9725"/>
      <c r="K9725" s="1"/>
      <c r="L9725" s="2"/>
    </row>
    <row r="9726" spans="1:12" x14ac:dyDescent="0.2">
      <c r="A9726"/>
      <c r="B9726"/>
      <c r="C9726"/>
      <c r="D9726"/>
      <c r="E9726"/>
      <c r="F9726"/>
      <c r="G9726"/>
      <c r="H9726"/>
      <c r="I9726"/>
      <c r="J9726"/>
      <c r="K9726" s="1"/>
      <c r="L9726" s="2"/>
    </row>
    <row r="9727" spans="1:12" x14ac:dyDescent="0.2">
      <c r="A9727"/>
      <c r="B9727"/>
      <c r="C9727"/>
      <c r="D9727"/>
      <c r="E9727"/>
      <c r="F9727"/>
      <c r="G9727"/>
      <c r="H9727"/>
      <c r="I9727"/>
      <c r="J9727"/>
      <c r="K9727" s="1"/>
      <c r="L9727" s="2"/>
    </row>
    <row r="9728" spans="1:12" x14ac:dyDescent="0.2">
      <c r="A9728"/>
      <c r="B9728"/>
      <c r="C9728"/>
      <c r="D9728"/>
      <c r="E9728"/>
      <c r="F9728"/>
      <c r="G9728"/>
      <c r="H9728"/>
      <c r="I9728"/>
      <c r="J9728"/>
      <c r="K9728" s="1"/>
      <c r="L9728" s="2"/>
    </row>
    <row r="9729" spans="1:12" x14ac:dyDescent="0.2">
      <c r="A9729"/>
      <c r="B9729"/>
      <c r="C9729"/>
      <c r="D9729"/>
      <c r="E9729"/>
      <c r="F9729"/>
      <c r="G9729"/>
      <c r="H9729"/>
      <c r="I9729"/>
      <c r="J9729"/>
      <c r="K9729" s="1"/>
      <c r="L9729" s="2"/>
    </row>
    <row r="9730" spans="1:12" x14ac:dyDescent="0.2">
      <c r="A9730"/>
      <c r="B9730"/>
      <c r="C9730"/>
      <c r="D9730"/>
      <c r="E9730"/>
      <c r="F9730"/>
      <c r="G9730"/>
      <c r="H9730"/>
      <c r="I9730"/>
      <c r="J9730"/>
      <c r="K9730" s="1"/>
      <c r="L9730" s="2"/>
    </row>
    <row r="9731" spans="1:12" x14ac:dyDescent="0.2">
      <c r="A9731"/>
      <c r="B9731"/>
      <c r="C9731"/>
      <c r="D9731"/>
      <c r="E9731"/>
      <c r="F9731"/>
      <c r="G9731"/>
      <c r="H9731"/>
      <c r="I9731"/>
      <c r="J9731"/>
      <c r="K9731" s="1"/>
      <c r="L9731" s="2"/>
    </row>
    <row r="9732" spans="1:12" x14ac:dyDescent="0.2">
      <c r="A9732"/>
      <c r="B9732"/>
      <c r="C9732"/>
      <c r="D9732"/>
      <c r="E9732"/>
      <c r="F9732"/>
      <c r="G9732"/>
      <c r="H9732"/>
      <c r="I9732"/>
      <c r="J9732"/>
      <c r="K9732" s="1"/>
      <c r="L9732" s="2"/>
    </row>
    <row r="9733" spans="1:12" x14ac:dyDescent="0.2">
      <c r="A9733"/>
      <c r="B9733"/>
      <c r="C9733"/>
      <c r="D9733"/>
      <c r="E9733"/>
      <c r="F9733"/>
      <c r="G9733"/>
      <c r="H9733"/>
      <c r="I9733"/>
      <c r="J9733"/>
      <c r="K9733" s="1"/>
      <c r="L9733" s="2"/>
    </row>
    <row r="9734" spans="1:12" x14ac:dyDescent="0.2">
      <c r="A9734"/>
      <c r="B9734"/>
      <c r="C9734"/>
      <c r="D9734"/>
      <c r="E9734"/>
      <c r="F9734"/>
      <c r="G9734"/>
      <c r="H9734"/>
      <c r="I9734"/>
      <c r="J9734"/>
      <c r="K9734" s="1"/>
      <c r="L9734" s="2"/>
    </row>
    <row r="9735" spans="1:12" x14ac:dyDescent="0.2">
      <c r="A9735"/>
      <c r="B9735"/>
      <c r="C9735"/>
      <c r="D9735"/>
      <c r="E9735"/>
      <c r="F9735"/>
      <c r="G9735"/>
      <c r="H9735"/>
      <c r="I9735"/>
      <c r="J9735"/>
      <c r="K9735" s="1"/>
      <c r="L9735" s="2"/>
    </row>
    <row r="9736" spans="1:12" x14ac:dyDescent="0.2">
      <c r="A9736"/>
      <c r="B9736"/>
      <c r="C9736"/>
      <c r="D9736"/>
      <c r="E9736"/>
      <c r="F9736"/>
      <c r="G9736"/>
      <c r="H9736"/>
      <c r="I9736"/>
      <c r="J9736"/>
      <c r="K9736" s="1"/>
      <c r="L9736" s="2"/>
    </row>
    <row r="9737" spans="1:12" x14ac:dyDescent="0.2">
      <c r="A9737"/>
      <c r="B9737"/>
      <c r="C9737"/>
      <c r="D9737"/>
      <c r="E9737"/>
      <c r="F9737"/>
      <c r="G9737"/>
      <c r="H9737"/>
      <c r="I9737"/>
      <c r="J9737"/>
      <c r="K9737" s="1"/>
      <c r="L9737" s="2"/>
    </row>
    <row r="9738" spans="1:12" x14ac:dyDescent="0.2">
      <c r="A9738"/>
      <c r="B9738"/>
      <c r="C9738"/>
      <c r="D9738"/>
      <c r="E9738"/>
      <c r="F9738"/>
      <c r="G9738"/>
      <c r="H9738"/>
      <c r="I9738"/>
      <c r="J9738"/>
      <c r="K9738" s="1"/>
      <c r="L9738" s="2"/>
    </row>
    <row r="9739" spans="1:12" x14ac:dyDescent="0.2">
      <c r="A9739"/>
      <c r="B9739"/>
      <c r="C9739"/>
      <c r="D9739"/>
      <c r="E9739"/>
      <c r="F9739"/>
      <c r="G9739"/>
      <c r="H9739"/>
      <c r="I9739"/>
      <c r="J9739"/>
      <c r="K9739" s="1"/>
      <c r="L9739" s="2"/>
    </row>
    <row r="9740" spans="1:12" x14ac:dyDescent="0.2">
      <c r="A9740"/>
      <c r="B9740"/>
      <c r="C9740"/>
      <c r="D9740"/>
      <c r="E9740"/>
      <c r="F9740"/>
      <c r="G9740"/>
      <c r="H9740"/>
      <c r="I9740"/>
      <c r="J9740"/>
      <c r="K9740" s="1"/>
      <c r="L9740" s="2"/>
    </row>
    <row r="9741" spans="1:12" x14ac:dyDescent="0.2">
      <c r="A9741"/>
      <c r="B9741"/>
      <c r="C9741"/>
      <c r="D9741"/>
      <c r="E9741"/>
      <c r="F9741"/>
      <c r="G9741"/>
      <c r="H9741"/>
      <c r="I9741"/>
      <c r="J9741"/>
      <c r="K9741" s="1"/>
      <c r="L9741" s="2"/>
    </row>
    <row r="9742" spans="1:12" x14ac:dyDescent="0.2">
      <c r="A9742"/>
      <c r="B9742"/>
      <c r="C9742"/>
      <c r="D9742"/>
      <c r="E9742"/>
      <c r="F9742"/>
      <c r="G9742"/>
      <c r="H9742"/>
      <c r="I9742"/>
      <c r="J9742"/>
      <c r="K9742" s="1"/>
      <c r="L9742" s="2"/>
    </row>
    <row r="9743" spans="1:12" x14ac:dyDescent="0.2">
      <c r="A9743"/>
      <c r="B9743"/>
      <c r="C9743"/>
      <c r="D9743"/>
      <c r="E9743"/>
      <c r="F9743"/>
      <c r="G9743"/>
      <c r="H9743"/>
      <c r="I9743"/>
      <c r="J9743"/>
      <c r="K9743" s="1"/>
      <c r="L9743" s="2"/>
    </row>
    <row r="9744" spans="1:12" x14ac:dyDescent="0.2">
      <c r="A9744"/>
      <c r="B9744"/>
      <c r="C9744"/>
      <c r="D9744"/>
      <c r="E9744"/>
      <c r="F9744"/>
      <c r="G9744"/>
      <c r="H9744"/>
      <c r="I9744"/>
      <c r="J9744"/>
      <c r="K9744" s="1"/>
      <c r="L9744" s="2"/>
    </row>
    <row r="9745" spans="1:12" x14ac:dyDescent="0.2">
      <c r="A9745"/>
      <c r="B9745"/>
      <c r="C9745"/>
      <c r="D9745"/>
      <c r="E9745"/>
      <c r="F9745"/>
      <c r="G9745"/>
      <c r="H9745"/>
      <c r="I9745"/>
      <c r="J9745"/>
      <c r="K9745" s="1"/>
      <c r="L9745" s="2"/>
    </row>
    <row r="9746" spans="1:12" x14ac:dyDescent="0.2">
      <c r="A9746"/>
      <c r="B9746"/>
      <c r="C9746"/>
      <c r="D9746"/>
      <c r="E9746"/>
      <c r="F9746"/>
      <c r="G9746"/>
      <c r="H9746"/>
      <c r="I9746"/>
      <c r="J9746"/>
      <c r="K9746" s="1"/>
      <c r="L9746" s="2"/>
    </row>
    <row r="9747" spans="1:12" x14ac:dyDescent="0.2">
      <c r="A9747"/>
      <c r="B9747"/>
      <c r="C9747"/>
      <c r="D9747"/>
      <c r="E9747"/>
      <c r="F9747"/>
      <c r="G9747"/>
      <c r="H9747"/>
      <c r="I9747"/>
      <c r="J9747"/>
      <c r="K9747" s="1"/>
      <c r="L9747" s="2"/>
    </row>
    <row r="9748" spans="1:12" x14ac:dyDescent="0.2">
      <c r="A9748"/>
      <c r="B9748"/>
      <c r="C9748"/>
      <c r="D9748"/>
      <c r="E9748"/>
      <c r="F9748"/>
      <c r="G9748"/>
      <c r="H9748"/>
      <c r="I9748"/>
      <c r="J9748"/>
      <c r="K9748" s="1"/>
      <c r="L9748" s="2"/>
    </row>
    <row r="9749" spans="1:12" x14ac:dyDescent="0.2">
      <c r="A9749"/>
      <c r="B9749"/>
      <c r="C9749"/>
      <c r="D9749"/>
      <c r="E9749"/>
      <c r="F9749"/>
      <c r="G9749"/>
      <c r="H9749"/>
      <c r="I9749"/>
      <c r="J9749"/>
      <c r="K9749" s="1"/>
      <c r="L9749" s="2"/>
    </row>
    <row r="9750" spans="1:12" x14ac:dyDescent="0.2">
      <c r="A9750"/>
      <c r="B9750"/>
      <c r="C9750"/>
      <c r="D9750"/>
      <c r="E9750"/>
      <c r="F9750"/>
      <c r="G9750"/>
      <c r="H9750"/>
      <c r="I9750"/>
      <c r="J9750"/>
      <c r="K9750" s="1"/>
      <c r="L9750" s="2"/>
    </row>
    <row r="9751" spans="1:12" x14ac:dyDescent="0.2">
      <c r="A9751"/>
      <c r="B9751"/>
      <c r="C9751"/>
      <c r="D9751"/>
      <c r="E9751"/>
      <c r="F9751"/>
      <c r="G9751"/>
      <c r="H9751"/>
      <c r="I9751"/>
      <c r="J9751"/>
      <c r="K9751" s="1"/>
      <c r="L9751" s="2"/>
    </row>
    <row r="9752" spans="1:12" x14ac:dyDescent="0.2">
      <c r="A9752"/>
      <c r="B9752"/>
      <c r="C9752"/>
      <c r="D9752"/>
      <c r="E9752"/>
      <c r="F9752"/>
      <c r="G9752"/>
      <c r="H9752"/>
      <c r="I9752"/>
      <c r="J9752"/>
      <c r="K9752" s="1"/>
      <c r="L9752" s="2"/>
    </row>
    <row r="9753" spans="1:12" x14ac:dyDescent="0.2">
      <c r="A9753"/>
      <c r="B9753"/>
      <c r="C9753"/>
      <c r="D9753"/>
      <c r="E9753"/>
      <c r="F9753"/>
      <c r="G9753"/>
      <c r="H9753"/>
      <c r="I9753"/>
      <c r="J9753"/>
      <c r="K9753" s="1"/>
      <c r="L9753" s="2"/>
    </row>
    <row r="9754" spans="1:12" x14ac:dyDescent="0.2">
      <c r="A9754"/>
      <c r="B9754"/>
      <c r="C9754"/>
      <c r="D9754"/>
      <c r="E9754"/>
      <c r="F9754"/>
      <c r="G9754"/>
      <c r="H9754"/>
      <c r="I9754"/>
      <c r="J9754"/>
      <c r="K9754" s="1"/>
      <c r="L9754" s="2"/>
    </row>
    <row r="9755" spans="1:12" x14ac:dyDescent="0.2">
      <c r="A9755"/>
      <c r="B9755"/>
      <c r="C9755"/>
      <c r="D9755"/>
      <c r="E9755"/>
      <c r="F9755"/>
      <c r="G9755"/>
      <c r="H9755"/>
      <c r="I9755"/>
      <c r="J9755"/>
      <c r="K9755" s="1"/>
      <c r="L9755" s="2"/>
    </row>
    <row r="9756" spans="1:12" x14ac:dyDescent="0.2">
      <c r="A9756"/>
      <c r="B9756"/>
      <c r="C9756"/>
      <c r="D9756"/>
      <c r="E9756"/>
      <c r="F9756"/>
      <c r="G9756"/>
      <c r="H9756"/>
      <c r="I9756"/>
      <c r="J9756"/>
      <c r="K9756" s="1"/>
      <c r="L9756" s="2"/>
    </row>
    <row r="9757" spans="1:12" x14ac:dyDescent="0.2">
      <c r="A9757"/>
      <c r="B9757"/>
      <c r="C9757"/>
      <c r="D9757"/>
      <c r="E9757"/>
      <c r="F9757"/>
      <c r="G9757"/>
      <c r="H9757"/>
      <c r="I9757"/>
      <c r="J9757"/>
      <c r="K9757" s="1"/>
      <c r="L9757" s="2"/>
    </row>
    <row r="9758" spans="1:12" x14ac:dyDescent="0.2">
      <c r="A9758"/>
      <c r="B9758"/>
      <c r="C9758"/>
      <c r="D9758"/>
      <c r="E9758"/>
      <c r="F9758"/>
      <c r="G9758"/>
      <c r="H9758"/>
      <c r="I9758"/>
      <c r="J9758"/>
      <c r="K9758" s="1"/>
      <c r="L9758" s="2"/>
    </row>
    <row r="9759" spans="1:12" x14ac:dyDescent="0.2">
      <c r="A9759"/>
      <c r="B9759"/>
      <c r="C9759"/>
      <c r="D9759"/>
      <c r="E9759"/>
      <c r="F9759"/>
      <c r="G9759"/>
      <c r="H9759"/>
      <c r="I9759"/>
      <c r="J9759"/>
      <c r="K9759" s="1"/>
      <c r="L9759" s="2"/>
    </row>
    <row r="9760" spans="1:12" x14ac:dyDescent="0.2">
      <c r="A9760"/>
      <c r="B9760"/>
      <c r="C9760"/>
      <c r="D9760"/>
      <c r="E9760"/>
      <c r="F9760"/>
      <c r="G9760"/>
      <c r="H9760"/>
      <c r="I9760"/>
      <c r="J9760"/>
      <c r="K9760" s="1"/>
      <c r="L9760" s="2"/>
    </row>
    <row r="9761" spans="1:12" x14ac:dyDescent="0.2">
      <c r="A9761"/>
      <c r="B9761"/>
      <c r="C9761"/>
      <c r="D9761"/>
      <c r="E9761"/>
      <c r="F9761"/>
      <c r="G9761"/>
      <c r="H9761"/>
      <c r="I9761"/>
      <c r="J9761"/>
      <c r="K9761" s="1"/>
      <c r="L9761" s="2"/>
    </row>
    <row r="9762" spans="1:12" x14ac:dyDescent="0.2">
      <c r="A9762"/>
      <c r="B9762"/>
      <c r="C9762"/>
      <c r="D9762"/>
      <c r="E9762"/>
      <c r="F9762"/>
      <c r="G9762"/>
      <c r="H9762"/>
      <c r="I9762"/>
      <c r="J9762"/>
      <c r="K9762" s="1"/>
      <c r="L9762" s="2"/>
    </row>
    <row r="9763" spans="1:12" x14ac:dyDescent="0.2">
      <c r="A9763"/>
      <c r="B9763"/>
      <c r="C9763"/>
      <c r="D9763"/>
      <c r="E9763"/>
      <c r="F9763"/>
      <c r="G9763"/>
      <c r="H9763"/>
      <c r="I9763"/>
      <c r="J9763"/>
      <c r="K9763" s="1"/>
      <c r="L9763" s="2"/>
    </row>
    <row r="9764" spans="1:12" x14ac:dyDescent="0.2">
      <c r="A9764"/>
      <c r="B9764"/>
      <c r="C9764"/>
      <c r="D9764"/>
      <c r="E9764"/>
      <c r="F9764"/>
      <c r="G9764"/>
      <c r="H9764"/>
      <c r="I9764"/>
      <c r="J9764"/>
      <c r="K9764" s="1"/>
      <c r="L9764" s="2"/>
    </row>
    <row r="9765" spans="1:12" x14ac:dyDescent="0.2">
      <c r="A9765"/>
      <c r="B9765"/>
      <c r="C9765"/>
      <c r="D9765"/>
      <c r="E9765"/>
      <c r="F9765"/>
      <c r="G9765"/>
      <c r="H9765"/>
      <c r="I9765"/>
      <c r="J9765"/>
      <c r="K9765" s="1"/>
      <c r="L9765" s="2"/>
    </row>
    <row r="9766" spans="1:12" x14ac:dyDescent="0.2">
      <c r="A9766"/>
      <c r="B9766"/>
      <c r="C9766"/>
      <c r="D9766"/>
      <c r="E9766"/>
      <c r="F9766"/>
      <c r="G9766"/>
      <c r="H9766"/>
      <c r="I9766"/>
      <c r="J9766"/>
      <c r="K9766" s="1"/>
      <c r="L9766" s="2"/>
    </row>
    <row r="9767" spans="1:12" x14ac:dyDescent="0.2">
      <c r="A9767"/>
      <c r="B9767"/>
      <c r="C9767"/>
      <c r="D9767"/>
      <c r="E9767"/>
      <c r="F9767"/>
      <c r="G9767"/>
      <c r="H9767"/>
      <c r="I9767"/>
      <c r="J9767"/>
      <c r="K9767" s="1"/>
      <c r="L9767" s="2"/>
    </row>
    <row r="9768" spans="1:12" x14ac:dyDescent="0.2">
      <c r="A9768"/>
      <c r="B9768"/>
      <c r="C9768"/>
      <c r="D9768"/>
      <c r="E9768"/>
      <c r="F9768"/>
      <c r="G9768"/>
      <c r="H9768"/>
      <c r="I9768"/>
      <c r="J9768"/>
      <c r="K9768" s="1"/>
      <c r="L9768" s="2"/>
    </row>
    <row r="9769" spans="1:12" x14ac:dyDescent="0.2">
      <c r="A9769"/>
      <c r="B9769"/>
      <c r="C9769"/>
      <c r="D9769"/>
      <c r="E9769"/>
      <c r="F9769"/>
      <c r="G9769"/>
      <c r="H9769"/>
      <c r="I9769"/>
      <c r="J9769"/>
      <c r="K9769" s="1"/>
      <c r="L9769" s="2"/>
    </row>
    <row r="9770" spans="1:12" x14ac:dyDescent="0.2">
      <c r="A9770"/>
      <c r="B9770"/>
      <c r="C9770"/>
      <c r="D9770"/>
      <c r="E9770"/>
      <c r="F9770"/>
      <c r="G9770"/>
      <c r="H9770"/>
      <c r="I9770"/>
      <c r="J9770"/>
      <c r="K9770" s="1"/>
      <c r="L9770" s="2"/>
    </row>
    <row r="9771" spans="1:12" x14ac:dyDescent="0.2">
      <c r="A9771"/>
      <c r="B9771"/>
      <c r="C9771"/>
      <c r="D9771"/>
      <c r="E9771"/>
      <c r="F9771"/>
      <c r="G9771"/>
      <c r="H9771"/>
      <c r="I9771"/>
      <c r="J9771"/>
      <c r="K9771" s="1"/>
      <c r="L9771" s="2"/>
    </row>
    <row r="9772" spans="1:12" x14ac:dyDescent="0.2">
      <c r="A9772"/>
      <c r="B9772"/>
      <c r="C9772"/>
      <c r="D9772"/>
      <c r="E9772"/>
      <c r="F9772"/>
      <c r="G9772"/>
      <c r="H9772"/>
      <c r="I9772"/>
      <c r="J9772"/>
      <c r="K9772" s="1"/>
      <c r="L9772" s="2"/>
    </row>
    <row r="9773" spans="1:12" x14ac:dyDescent="0.2">
      <c r="A9773"/>
      <c r="B9773"/>
      <c r="C9773"/>
      <c r="D9773"/>
      <c r="E9773"/>
      <c r="F9773"/>
      <c r="G9773"/>
      <c r="H9773"/>
      <c r="I9773"/>
      <c r="J9773"/>
      <c r="K9773" s="1"/>
      <c r="L9773" s="2"/>
    </row>
    <row r="9774" spans="1:12" x14ac:dyDescent="0.2">
      <c r="A9774"/>
      <c r="B9774"/>
      <c r="C9774"/>
      <c r="D9774"/>
      <c r="E9774"/>
      <c r="F9774"/>
      <c r="G9774"/>
      <c r="H9774"/>
      <c r="I9774"/>
      <c r="J9774"/>
      <c r="K9774" s="1"/>
      <c r="L9774" s="2"/>
    </row>
    <row r="9775" spans="1:12" x14ac:dyDescent="0.2">
      <c r="A9775"/>
      <c r="B9775"/>
      <c r="C9775"/>
      <c r="D9775"/>
      <c r="E9775"/>
      <c r="F9775"/>
      <c r="G9775"/>
      <c r="H9775"/>
      <c r="I9775"/>
      <c r="J9775"/>
      <c r="K9775" s="1"/>
      <c r="L9775" s="2"/>
    </row>
    <row r="9776" spans="1:12" x14ac:dyDescent="0.2">
      <c r="A9776"/>
      <c r="B9776"/>
      <c r="C9776"/>
      <c r="D9776"/>
      <c r="E9776"/>
      <c r="F9776"/>
      <c r="G9776"/>
      <c r="H9776"/>
      <c r="I9776"/>
      <c r="J9776"/>
      <c r="K9776" s="1"/>
      <c r="L9776" s="2"/>
    </row>
    <row r="9777" spans="1:12" x14ac:dyDescent="0.2">
      <c r="A9777"/>
      <c r="B9777"/>
      <c r="C9777"/>
      <c r="D9777"/>
      <c r="E9777"/>
      <c r="F9777"/>
      <c r="G9777"/>
      <c r="H9777"/>
      <c r="I9777"/>
      <c r="J9777"/>
      <c r="K9777" s="1"/>
      <c r="L9777" s="2"/>
    </row>
    <row r="9778" spans="1:12" x14ac:dyDescent="0.2">
      <c r="A9778"/>
      <c r="B9778"/>
      <c r="C9778"/>
      <c r="D9778"/>
      <c r="E9778"/>
      <c r="F9778"/>
      <c r="G9778"/>
      <c r="H9778"/>
      <c r="I9778"/>
      <c r="J9778"/>
      <c r="K9778" s="1"/>
      <c r="L9778" s="2"/>
    </row>
    <row r="9779" spans="1:12" x14ac:dyDescent="0.2">
      <c r="A9779"/>
      <c r="B9779"/>
      <c r="C9779"/>
      <c r="D9779"/>
      <c r="E9779"/>
      <c r="F9779"/>
      <c r="G9779"/>
      <c r="H9779"/>
      <c r="I9779"/>
      <c r="J9779"/>
      <c r="K9779" s="1"/>
      <c r="L9779" s="2"/>
    </row>
    <row r="9780" spans="1:12" x14ac:dyDescent="0.2">
      <c r="A9780"/>
      <c r="B9780"/>
      <c r="C9780"/>
      <c r="D9780"/>
      <c r="E9780"/>
      <c r="F9780"/>
      <c r="G9780"/>
      <c r="H9780"/>
      <c r="I9780"/>
      <c r="J9780"/>
      <c r="K9780" s="1"/>
      <c r="L9780" s="2"/>
    </row>
    <row r="9781" spans="1:12" x14ac:dyDescent="0.2">
      <c r="A9781"/>
      <c r="B9781"/>
      <c r="C9781"/>
      <c r="D9781"/>
      <c r="E9781"/>
      <c r="F9781"/>
      <c r="G9781"/>
      <c r="H9781"/>
      <c r="I9781"/>
      <c r="J9781"/>
      <c r="K9781" s="1"/>
      <c r="L9781" s="2"/>
    </row>
    <row r="9782" spans="1:12" x14ac:dyDescent="0.2">
      <c r="A9782"/>
      <c r="B9782"/>
      <c r="C9782"/>
      <c r="D9782"/>
      <c r="E9782"/>
      <c r="F9782"/>
      <c r="G9782"/>
      <c r="H9782"/>
      <c r="I9782"/>
      <c r="J9782"/>
      <c r="K9782" s="1"/>
      <c r="L9782" s="2"/>
    </row>
    <row r="9783" spans="1:12" x14ac:dyDescent="0.2">
      <c r="A9783"/>
      <c r="B9783"/>
      <c r="C9783"/>
      <c r="D9783"/>
      <c r="E9783"/>
      <c r="F9783"/>
      <c r="G9783"/>
      <c r="H9783"/>
      <c r="I9783"/>
      <c r="J9783"/>
      <c r="K9783" s="1"/>
      <c r="L9783" s="2"/>
    </row>
    <row r="9784" spans="1:12" x14ac:dyDescent="0.2">
      <c r="A9784"/>
      <c r="B9784"/>
      <c r="C9784"/>
      <c r="D9784"/>
      <c r="E9784"/>
      <c r="F9784"/>
      <c r="G9784"/>
      <c r="H9784"/>
      <c r="I9784"/>
      <c r="J9784"/>
      <c r="K9784" s="1"/>
      <c r="L9784" s="2"/>
    </row>
    <row r="9785" spans="1:12" x14ac:dyDescent="0.2">
      <c r="A9785"/>
      <c r="B9785"/>
      <c r="C9785"/>
      <c r="D9785"/>
      <c r="E9785"/>
      <c r="F9785"/>
      <c r="G9785"/>
      <c r="H9785"/>
      <c r="I9785"/>
      <c r="J9785"/>
      <c r="K9785" s="1"/>
      <c r="L9785" s="2"/>
    </row>
    <row r="9786" spans="1:12" x14ac:dyDescent="0.2">
      <c r="A9786"/>
      <c r="B9786"/>
      <c r="C9786"/>
      <c r="D9786"/>
      <c r="E9786"/>
      <c r="F9786"/>
      <c r="G9786"/>
      <c r="H9786"/>
      <c r="I9786"/>
      <c r="J9786"/>
      <c r="K9786" s="1"/>
      <c r="L9786" s="2"/>
    </row>
    <row r="9787" spans="1:12" x14ac:dyDescent="0.2">
      <c r="A9787"/>
      <c r="B9787"/>
      <c r="C9787"/>
      <c r="D9787"/>
      <c r="E9787"/>
      <c r="F9787"/>
      <c r="G9787"/>
      <c r="H9787"/>
      <c r="I9787"/>
      <c r="J9787"/>
      <c r="K9787" s="1"/>
      <c r="L9787" s="2"/>
    </row>
    <row r="9788" spans="1:12" x14ac:dyDescent="0.2">
      <c r="A9788"/>
      <c r="B9788"/>
      <c r="C9788"/>
      <c r="D9788"/>
      <c r="E9788"/>
      <c r="F9788"/>
      <c r="G9788"/>
      <c r="H9788"/>
      <c r="I9788"/>
      <c r="J9788"/>
      <c r="K9788" s="1"/>
      <c r="L9788" s="2"/>
    </row>
    <row r="9789" spans="1:12" x14ac:dyDescent="0.2">
      <c r="A9789"/>
      <c r="B9789"/>
      <c r="C9789"/>
      <c r="D9789"/>
      <c r="E9789"/>
      <c r="F9789"/>
      <c r="G9789"/>
      <c r="H9789"/>
      <c r="I9789"/>
      <c r="J9789"/>
      <c r="K9789" s="1"/>
      <c r="L9789" s="2"/>
    </row>
    <row r="9790" spans="1:12" x14ac:dyDescent="0.2">
      <c r="A9790"/>
      <c r="B9790"/>
      <c r="C9790"/>
      <c r="D9790"/>
      <c r="E9790"/>
      <c r="F9790"/>
      <c r="G9790"/>
      <c r="H9790"/>
      <c r="I9790"/>
      <c r="J9790"/>
      <c r="K9790" s="1"/>
      <c r="L9790" s="2"/>
    </row>
    <row r="9791" spans="1:12" x14ac:dyDescent="0.2">
      <c r="A9791"/>
      <c r="B9791"/>
      <c r="C9791"/>
      <c r="D9791"/>
      <c r="E9791"/>
      <c r="F9791"/>
      <c r="G9791"/>
      <c r="H9791"/>
      <c r="I9791"/>
      <c r="J9791"/>
      <c r="K9791" s="1"/>
      <c r="L9791" s="2"/>
    </row>
    <row r="9792" spans="1:12" x14ac:dyDescent="0.2">
      <c r="A9792"/>
      <c r="B9792"/>
      <c r="C9792"/>
      <c r="D9792"/>
      <c r="E9792"/>
      <c r="F9792"/>
      <c r="G9792"/>
      <c r="H9792"/>
      <c r="I9792"/>
      <c r="J9792"/>
      <c r="K9792" s="1"/>
      <c r="L9792" s="2"/>
    </row>
    <row r="9793" spans="1:12" x14ac:dyDescent="0.2">
      <c r="A9793"/>
      <c r="B9793"/>
      <c r="C9793"/>
      <c r="D9793"/>
      <c r="E9793"/>
      <c r="F9793"/>
      <c r="G9793"/>
      <c r="H9793"/>
      <c r="I9793"/>
      <c r="J9793"/>
      <c r="K9793" s="1"/>
      <c r="L9793" s="2"/>
    </row>
    <row r="9794" spans="1:12" x14ac:dyDescent="0.2">
      <c r="A9794"/>
      <c r="B9794"/>
      <c r="C9794"/>
      <c r="D9794"/>
      <c r="E9794"/>
      <c r="F9794"/>
      <c r="G9794"/>
      <c r="H9794"/>
      <c r="I9794"/>
      <c r="J9794"/>
      <c r="K9794" s="1"/>
      <c r="L9794" s="2"/>
    </row>
    <row r="9795" spans="1:12" x14ac:dyDescent="0.2">
      <c r="A9795"/>
      <c r="B9795"/>
      <c r="C9795"/>
      <c r="D9795"/>
      <c r="E9795"/>
      <c r="F9795"/>
      <c r="G9795"/>
      <c r="H9795"/>
      <c r="I9795"/>
      <c r="J9795"/>
      <c r="K9795" s="1"/>
      <c r="L9795" s="2"/>
    </row>
    <row r="9796" spans="1:12" x14ac:dyDescent="0.2">
      <c r="A9796"/>
      <c r="B9796"/>
      <c r="C9796"/>
      <c r="D9796"/>
      <c r="E9796"/>
      <c r="F9796"/>
      <c r="G9796"/>
      <c r="H9796"/>
      <c r="I9796"/>
      <c r="J9796"/>
      <c r="K9796" s="1"/>
      <c r="L9796" s="2"/>
    </row>
    <row r="9797" spans="1:12" x14ac:dyDescent="0.2">
      <c r="A9797"/>
      <c r="B9797"/>
      <c r="C9797"/>
      <c r="D9797"/>
      <c r="E9797"/>
      <c r="F9797"/>
      <c r="G9797"/>
      <c r="H9797"/>
      <c r="I9797"/>
      <c r="J9797"/>
      <c r="K9797" s="1"/>
      <c r="L9797" s="2"/>
    </row>
    <row r="9798" spans="1:12" x14ac:dyDescent="0.2">
      <c r="A9798"/>
      <c r="B9798"/>
      <c r="C9798"/>
      <c r="D9798"/>
      <c r="E9798"/>
      <c r="F9798"/>
      <c r="G9798"/>
      <c r="H9798"/>
      <c r="I9798"/>
      <c r="J9798"/>
      <c r="K9798" s="1"/>
      <c r="L9798" s="2"/>
    </row>
    <row r="9799" spans="1:12" x14ac:dyDescent="0.2">
      <c r="A9799"/>
      <c r="B9799"/>
      <c r="C9799"/>
      <c r="D9799"/>
      <c r="E9799"/>
      <c r="F9799"/>
      <c r="G9799"/>
      <c r="H9799"/>
      <c r="I9799"/>
      <c r="J9799"/>
      <c r="K9799" s="1"/>
      <c r="L9799" s="2"/>
    </row>
    <row r="9800" spans="1:12" x14ac:dyDescent="0.2">
      <c r="A9800"/>
      <c r="B9800"/>
      <c r="C9800"/>
      <c r="D9800"/>
      <c r="E9800"/>
      <c r="F9800"/>
      <c r="G9800"/>
      <c r="H9800"/>
      <c r="I9800"/>
      <c r="J9800"/>
      <c r="K9800" s="1"/>
      <c r="L9800" s="2"/>
    </row>
    <row r="9801" spans="1:12" x14ac:dyDescent="0.2">
      <c r="A9801"/>
      <c r="B9801"/>
      <c r="C9801"/>
      <c r="D9801"/>
      <c r="E9801"/>
      <c r="F9801"/>
      <c r="G9801"/>
      <c r="H9801"/>
      <c r="I9801"/>
      <c r="J9801"/>
      <c r="K9801" s="1"/>
      <c r="L9801" s="2"/>
    </row>
    <row r="9802" spans="1:12" x14ac:dyDescent="0.2">
      <c r="A9802"/>
      <c r="B9802"/>
      <c r="C9802"/>
      <c r="D9802"/>
      <c r="E9802"/>
      <c r="F9802"/>
      <c r="G9802"/>
      <c r="H9802"/>
      <c r="I9802"/>
      <c r="J9802"/>
      <c r="K9802" s="1"/>
      <c r="L9802" s="2"/>
    </row>
    <row r="9803" spans="1:12" x14ac:dyDescent="0.2">
      <c r="A9803"/>
      <c r="B9803"/>
      <c r="C9803"/>
      <c r="D9803"/>
      <c r="E9803"/>
      <c r="F9803"/>
      <c r="G9803"/>
      <c r="H9803"/>
      <c r="I9803"/>
      <c r="J9803"/>
      <c r="K9803" s="1"/>
      <c r="L9803" s="2"/>
    </row>
    <row r="9804" spans="1:12" x14ac:dyDescent="0.2">
      <c r="A9804"/>
      <c r="B9804"/>
      <c r="C9804"/>
      <c r="D9804"/>
      <c r="E9804"/>
      <c r="F9804"/>
      <c r="G9804"/>
      <c r="H9804"/>
      <c r="I9804"/>
      <c r="J9804"/>
      <c r="K9804" s="1"/>
      <c r="L9804" s="2"/>
    </row>
    <row r="9805" spans="1:12" x14ac:dyDescent="0.2">
      <c r="A9805"/>
      <c r="B9805"/>
      <c r="C9805"/>
      <c r="D9805"/>
      <c r="E9805"/>
      <c r="F9805"/>
      <c r="G9805"/>
      <c r="H9805"/>
      <c r="I9805"/>
      <c r="J9805"/>
      <c r="K9805" s="1"/>
      <c r="L9805" s="2"/>
    </row>
    <row r="9806" spans="1:12" x14ac:dyDescent="0.2">
      <c r="A9806"/>
      <c r="B9806"/>
      <c r="C9806"/>
      <c r="D9806"/>
      <c r="E9806"/>
      <c r="F9806"/>
      <c r="G9806"/>
      <c r="H9806"/>
      <c r="I9806"/>
      <c r="J9806"/>
      <c r="K9806" s="1"/>
      <c r="L9806" s="2"/>
    </row>
    <row r="9807" spans="1:12" x14ac:dyDescent="0.2">
      <c r="A9807"/>
      <c r="B9807"/>
      <c r="C9807"/>
      <c r="D9807"/>
      <c r="E9807"/>
      <c r="F9807"/>
      <c r="G9807"/>
      <c r="H9807"/>
      <c r="I9807"/>
      <c r="J9807"/>
      <c r="K9807" s="1"/>
      <c r="L9807" s="2"/>
    </row>
    <row r="9808" spans="1:12" x14ac:dyDescent="0.2">
      <c r="A9808"/>
      <c r="B9808"/>
      <c r="C9808"/>
      <c r="D9808"/>
      <c r="E9808"/>
      <c r="F9808"/>
      <c r="G9808"/>
      <c r="H9808"/>
      <c r="I9808"/>
      <c r="J9808"/>
      <c r="K9808" s="1"/>
      <c r="L9808" s="2"/>
    </row>
    <row r="9809" spans="1:12" x14ac:dyDescent="0.2">
      <c r="A9809"/>
      <c r="B9809"/>
      <c r="C9809"/>
      <c r="D9809"/>
      <c r="E9809"/>
      <c r="F9809"/>
      <c r="G9809"/>
      <c r="H9809"/>
      <c r="I9809"/>
      <c r="J9809"/>
      <c r="K9809" s="1"/>
      <c r="L9809" s="2"/>
    </row>
    <row r="9810" spans="1:12" x14ac:dyDescent="0.2">
      <c r="A9810"/>
      <c r="B9810"/>
      <c r="C9810"/>
      <c r="D9810"/>
      <c r="E9810"/>
      <c r="F9810"/>
      <c r="G9810"/>
      <c r="H9810"/>
      <c r="I9810"/>
      <c r="J9810"/>
      <c r="K9810" s="1"/>
      <c r="L9810" s="2"/>
    </row>
    <row r="9811" spans="1:12" x14ac:dyDescent="0.2">
      <c r="A9811"/>
      <c r="B9811"/>
      <c r="C9811"/>
      <c r="D9811"/>
      <c r="E9811"/>
      <c r="F9811"/>
      <c r="G9811"/>
      <c r="H9811"/>
      <c r="I9811"/>
      <c r="J9811"/>
      <c r="K9811" s="1"/>
      <c r="L9811" s="2"/>
    </row>
    <row r="9812" spans="1:12" x14ac:dyDescent="0.2">
      <c r="A9812"/>
      <c r="B9812"/>
      <c r="C9812"/>
      <c r="D9812"/>
      <c r="E9812"/>
      <c r="F9812"/>
      <c r="G9812"/>
      <c r="H9812"/>
      <c r="I9812"/>
      <c r="J9812"/>
      <c r="K9812" s="1"/>
      <c r="L9812" s="2"/>
    </row>
    <row r="9813" spans="1:12" x14ac:dyDescent="0.2">
      <c r="A9813"/>
      <c r="B9813"/>
      <c r="C9813"/>
      <c r="D9813"/>
      <c r="E9813"/>
      <c r="F9813"/>
      <c r="G9813"/>
      <c r="H9813"/>
      <c r="I9813"/>
      <c r="J9813"/>
      <c r="K9813" s="1"/>
      <c r="L9813" s="2"/>
    </row>
    <row r="9814" spans="1:12" x14ac:dyDescent="0.2">
      <c r="A9814"/>
      <c r="B9814"/>
      <c r="C9814"/>
      <c r="D9814"/>
      <c r="E9814"/>
      <c r="F9814"/>
      <c r="G9814"/>
      <c r="H9814"/>
      <c r="I9814"/>
      <c r="J9814"/>
      <c r="K9814" s="1"/>
      <c r="L9814" s="2"/>
    </row>
    <row r="9815" spans="1:12" x14ac:dyDescent="0.2">
      <c r="A9815"/>
      <c r="B9815"/>
      <c r="C9815"/>
      <c r="D9815"/>
      <c r="E9815"/>
      <c r="F9815"/>
      <c r="G9815"/>
      <c r="H9815"/>
      <c r="I9815"/>
      <c r="J9815"/>
      <c r="K9815" s="1"/>
      <c r="L9815" s="2"/>
    </row>
    <row r="9816" spans="1:12" x14ac:dyDescent="0.2">
      <c r="A9816"/>
      <c r="B9816"/>
      <c r="C9816"/>
      <c r="D9816"/>
      <c r="E9816"/>
      <c r="F9816"/>
      <c r="G9816"/>
      <c r="H9816"/>
      <c r="I9816"/>
      <c r="J9816"/>
      <c r="K9816" s="1"/>
      <c r="L9816" s="2"/>
    </row>
    <row r="9817" spans="1:12" x14ac:dyDescent="0.2">
      <c r="A9817"/>
      <c r="B9817"/>
      <c r="C9817"/>
      <c r="D9817"/>
      <c r="E9817"/>
      <c r="F9817"/>
      <c r="G9817"/>
      <c r="H9817"/>
      <c r="I9817"/>
      <c r="J9817"/>
      <c r="K9817" s="1"/>
      <c r="L9817" s="2"/>
    </row>
    <row r="9818" spans="1:12" x14ac:dyDescent="0.2">
      <c r="A9818"/>
      <c r="B9818"/>
      <c r="C9818"/>
      <c r="D9818"/>
      <c r="E9818"/>
      <c r="F9818"/>
      <c r="G9818"/>
      <c r="H9818"/>
      <c r="I9818"/>
      <c r="J9818"/>
      <c r="K9818" s="1"/>
      <c r="L9818" s="2"/>
    </row>
    <row r="9819" spans="1:12" x14ac:dyDescent="0.2">
      <c r="A9819"/>
      <c r="B9819"/>
      <c r="C9819"/>
      <c r="D9819"/>
      <c r="E9819"/>
      <c r="F9819"/>
      <c r="G9819"/>
      <c r="H9819"/>
      <c r="I9819"/>
      <c r="J9819"/>
      <c r="K9819" s="1"/>
      <c r="L9819" s="2"/>
    </row>
    <row r="9820" spans="1:12" x14ac:dyDescent="0.2">
      <c r="A9820"/>
      <c r="B9820"/>
      <c r="C9820"/>
      <c r="D9820"/>
      <c r="E9820"/>
      <c r="F9820"/>
      <c r="G9820"/>
      <c r="H9820"/>
      <c r="I9820"/>
      <c r="J9820"/>
      <c r="K9820" s="1"/>
      <c r="L9820" s="2"/>
    </row>
    <row r="9821" spans="1:12" x14ac:dyDescent="0.2">
      <c r="A9821"/>
      <c r="B9821"/>
      <c r="C9821"/>
      <c r="D9821"/>
      <c r="E9821"/>
      <c r="F9821"/>
      <c r="G9821"/>
      <c r="H9821"/>
      <c r="I9821"/>
      <c r="J9821"/>
      <c r="K9821" s="1"/>
      <c r="L9821" s="2"/>
    </row>
    <row r="9822" spans="1:12" x14ac:dyDescent="0.2">
      <c r="A9822"/>
      <c r="B9822"/>
      <c r="C9822"/>
      <c r="D9822"/>
      <c r="E9822"/>
      <c r="F9822"/>
      <c r="G9822"/>
      <c r="H9822"/>
      <c r="I9822"/>
      <c r="J9822"/>
      <c r="K9822" s="1"/>
      <c r="L9822" s="2"/>
    </row>
    <row r="9823" spans="1:12" x14ac:dyDescent="0.2">
      <c r="A9823"/>
      <c r="B9823"/>
      <c r="C9823"/>
      <c r="D9823"/>
      <c r="E9823"/>
      <c r="F9823"/>
      <c r="G9823"/>
      <c r="H9823"/>
      <c r="I9823"/>
      <c r="J9823"/>
      <c r="K9823" s="1"/>
      <c r="L9823" s="2"/>
    </row>
    <row r="9824" spans="1:12" x14ac:dyDescent="0.2">
      <c r="A9824"/>
      <c r="B9824"/>
      <c r="C9824"/>
      <c r="D9824"/>
      <c r="E9824"/>
      <c r="F9824"/>
      <c r="G9824"/>
      <c r="H9824"/>
      <c r="I9824"/>
      <c r="J9824"/>
      <c r="K9824" s="1"/>
      <c r="L9824" s="2"/>
    </row>
    <row r="9825" spans="1:12" x14ac:dyDescent="0.2">
      <c r="A9825"/>
      <c r="B9825"/>
      <c r="C9825"/>
      <c r="D9825"/>
      <c r="E9825"/>
      <c r="F9825"/>
      <c r="G9825"/>
      <c r="H9825"/>
      <c r="I9825"/>
      <c r="J9825"/>
      <c r="K9825" s="1"/>
      <c r="L9825" s="2"/>
    </row>
    <row r="9826" spans="1:12" x14ac:dyDescent="0.2">
      <c r="A9826"/>
      <c r="B9826"/>
      <c r="C9826"/>
      <c r="D9826"/>
      <c r="E9826"/>
      <c r="F9826"/>
      <c r="G9826"/>
      <c r="H9826"/>
      <c r="I9826"/>
      <c r="J9826"/>
      <c r="K9826" s="1"/>
      <c r="L9826" s="2"/>
    </row>
    <row r="9827" spans="1:12" x14ac:dyDescent="0.2">
      <c r="A9827"/>
      <c r="B9827"/>
      <c r="C9827"/>
      <c r="D9827"/>
      <c r="E9827"/>
      <c r="F9827"/>
      <c r="G9827"/>
      <c r="H9827"/>
      <c r="I9827"/>
      <c r="J9827"/>
      <c r="K9827" s="1"/>
      <c r="L9827" s="2"/>
    </row>
    <row r="9828" spans="1:12" x14ac:dyDescent="0.2">
      <c r="A9828"/>
      <c r="B9828"/>
      <c r="C9828"/>
      <c r="D9828"/>
      <c r="E9828"/>
      <c r="F9828"/>
      <c r="G9828"/>
      <c r="H9828"/>
      <c r="I9828"/>
      <c r="J9828"/>
      <c r="K9828" s="1"/>
      <c r="L9828" s="2"/>
    </row>
    <row r="9829" spans="1:12" x14ac:dyDescent="0.2">
      <c r="A9829"/>
      <c r="B9829"/>
      <c r="C9829"/>
      <c r="D9829"/>
      <c r="E9829"/>
      <c r="F9829"/>
      <c r="G9829"/>
      <c r="H9829"/>
      <c r="I9829"/>
      <c r="J9829"/>
      <c r="K9829" s="1"/>
      <c r="L9829" s="2"/>
    </row>
    <row r="9830" spans="1:12" x14ac:dyDescent="0.2">
      <c r="A9830"/>
      <c r="B9830"/>
      <c r="C9830"/>
      <c r="D9830"/>
      <c r="E9830"/>
      <c r="F9830"/>
      <c r="G9830"/>
      <c r="H9830"/>
      <c r="I9830"/>
      <c r="J9830"/>
      <c r="K9830" s="1"/>
      <c r="L9830" s="2"/>
    </row>
    <row r="9831" spans="1:12" x14ac:dyDescent="0.2">
      <c r="A9831"/>
      <c r="B9831"/>
      <c r="C9831"/>
      <c r="D9831"/>
      <c r="E9831"/>
      <c r="F9831"/>
      <c r="G9831"/>
      <c r="H9831"/>
      <c r="I9831"/>
      <c r="J9831"/>
      <c r="K9831" s="1"/>
      <c r="L9831" s="2"/>
    </row>
    <row r="9832" spans="1:12" x14ac:dyDescent="0.2">
      <c r="A9832"/>
      <c r="B9832"/>
      <c r="C9832"/>
      <c r="D9832"/>
      <c r="E9832"/>
      <c r="F9832"/>
      <c r="G9832"/>
      <c r="H9832"/>
      <c r="I9832"/>
      <c r="J9832"/>
      <c r="K9832" s="1"/>
      <c r="L9832" s="2"/>
    </row>
    <row r="9833" spans="1:12" x14ac:dyDescent="0.2">
      <c r="A9833"/>
      <c r="B9833"/>
      <c r="C9833"/>
      <c r="D9833"/>
      <c r="E9833"/>
      <c r="F9833"/>
      <c r="G9833"/>
      <c r="H9833"/>
      <c r="I9833"/>
      <c r="J9833"/>
      <c r="K9833" s="1"/>
      <c r="L9833" s="2"/>
    </row>
    <row r="9834" spans="1:12" x14ac:dyDescent="0.2">
      <c r="A9834"/>
      <c r="B9834"/>
      <c r="C9834"/>
      <c r="D9834"/>
      <c r="E9834"/>
      <c r="F9834"/>
      <c r="G9834"/>
      <c r="H9834"/>
      <c r="I9834"/>
      <c r="J9834"/>
      <c r="K9834" s="1"/>
      <c r="L9834" s="2"/>
    </row>
    <row r="9835" spans="1:12" x14ac:dyDescent="0.2">
      <c r="A9835"/>
      <c r="B9835"/>
      <c r="C9835"/>
      <c r="D9835"/>
      <c r="E9835"/>
      <c r="F9835"/>
      <c r="G9835"/>
      <c r="H9835"/>
      <c r="I9835"/>
      <c r="J9835"/>
      <c r="K9835" s="1"/>
      <c r="L9835" s="2"/>
    </row>
    <row r="9836" spans="1:12" x14ac:dyDescent="0.2">
      <c r="A9836"/>
      <c r="B9836"/>
      <c r="C9836"/>
      <c r="D9836"/>
      <c r="E9836"/>
      <c r="F9836"/>
      <c r="G9836"/>
      <c r="H9836"/>
      <c r="I9836"/>
      <c r="J9836"/>
      <c r="K9836" s="1"/>
      <c r="L9836" s="2"/>
    </row>
    <row r="9837" spans="1:12" x14ac:dyDescent="0.2">
      <c r="A9837"/>
      <c r="B9837"/>
      <c r="C9837"/>
      <c r="D9837"/>
      <c r="E9837"/>
      <c r="F9837"/>
      <c r="G9837"/>
      <c r="H9837"/>
      <c r="I9837"/>
      <c r="J9837"/>
      <c r="K9837" s="1"/>
      <c r="L9837" s="2"/>
    </row>
    <row r="9838" spans="1:12" x14ac:dyDescent="0.2">
      <c r="A9838"/>
      <c r="B9838"/>
      <c r="C9838"/>
      <c r="D9838"/>
      <c r="E9838"/>
      <c r="F9838"/>
      <c r="G9838"/>
      <c r="H9838"/>
      <c r="I9838"/>
      <c r="J9838"/>
      <c r="K9838" s="1"/>
      <c r="L9838" s="2"/>
    </row>
    <row r="9839" spans="1:12" x14ac:dyDescent="0.2">
      <c r="A9839"/>
      <c r="B9839"/>
      <c r="C9839"/>
      <c r="D9839"/>
      <c r="E9839"/>
      <c r="F9839"/>
      <c r="G9839"/>
      <c r="H9839"/>
      <c r="I9839"/>
      <c r="J9839"/>
      <c r="K9839" s="1"/>
      <c r="L9839" s="2"/>
    </row>
    <row r="9840" spans="1:12" x14ac:dyDescent="0.2">
      <c r="A9840"/>
      <c r="B9840"/>
      <c r="C9840"/>
      <c r="D9840"/>
      <c r="E9840"/>
      <c r="F9840"/>
      <c r="G9840"/>
      <c r="H9840"/>
      <c r="I9840"/>
      <c r="J9840"/>
      <c r="K9840" s="1"/>
      <c r="L9840" s="2"/>
    </row>
    <row r="9841" spans="1:12" x14ac:dyDescent="0.2">
      <c r="A9841"/>
      <c r="B9841"/>
      <c r="C9841"/>
      <c r="D9841"/>
      <c r="E9841"/>
      <c r="F9841"/>
      <c r="G9841"/>
      <c r="H9841"/>
      <c r="I9841"/>
      <c r="J9841"/>
      <c r="K9841" s="1"/>
      <c r="L9841" s="2"/>
    </row>
    <row r="9842" spans="1:12" x14ac:dyDescent="0.2">
      <c r="A9842"/>
      <c r="B9842"/>
      <c r="C9842"/>
      <c r="D9842"/>
      <c r="E9842"/>
      <c r="F9842"/>
      <c r="G9842"/>
      <c r="H9842"/>
      <c r="I9842"/>
      <c r="J9842"/>
      <c r="K9842" s="1"/>
      <c r="L9842" s="2"/>
    </row>
    <row r="9843" spans="1:12" x14ac:dyDescent="0.2">
      <c r="A9843"/>
      <c r="B9843"/>
      <c r="C9843"/>
      <c r="D9843"/>
      <c r="E9843"/>
      <c r="F9843"/>
      <c r="G9843"/>
      <c r="H9843"/>
      <c r="I9843"/>
      <c r="J9843"/>
      <c r="K9843" s="1"/>
      <c r="L9843" s="2"/>
    </row>
    <row r="9844" spans="1:12" x14ac:dyDescent="0.2">
      <c r="A9844"/>
      <c r="B9844"/>
      <c r="C9844"/>
      <c r="D9844"/>
      <c r="E9844"/>
      <c r="F9844"/>
      <c r="G9844"/>
      <c r="H9844"/>
      <c r="I9844"/>
      <c r="J9844"/>
      <c r="K9844" s="1"/>
      <c r="L9844" s="2"/>
    </row>
    <row r="9845" spans="1:12" x14ac:dyDescent="0.2">
      <c r="A9845"/>
      <c r="B9845"/>
      <c r="C9845"/>
      <c r="D9845"/>
      <c r="E9845"/>
      <c r="F9845"/>
      <c r="G9845"/>
      <c r="H9845"/>
      <c r="I9845"/>
      <c r="J9845"/>
      <c r="K9845" s="1"/>
      <c r="L9845" s="2"/>
    </row>
    <row r="9846" spans="1:12" x14ac:dyDescent="0.2">
      <c r="A9846"/>
      <c r="B9846"/>
      <c r="C9846"/>
      <c r="D9846"/>
      <c r="E9846"/>
      <c r="F9846"/>
      <c r="G9846"/>
      <c r="H9846"/>
      <c r="I9846"/>
      <c r="J9846"/>
      <c r="K9846" s="1"/>
      <c r="L9846" s="2"/>
    </row>
    <row r="9847" spans="1:12" x14ac:dyDescent="0.2">
      <c r="A9847"/>
      <c r="B9847"/>
      <c r="C9847"/>
      <c r="D9847"/>
      <c r="E9847"/>
      <c r="F9847"/>
      <c r="G9847"/>
      <c r="H9847"/>
      <c r="I9847"/>
      <c r="J9847"/>
      <c r="K9847" s="1"/>
      <c r="L9847" s="2"/>
    </row>
    <row r="9848" spans="1:12" x14ac:dyDescent="0.2">
      <c r="A9848"/>
      <c r="B9848"/>
      <c r="C9848"/>
      <c r="D9848"/>
      <c r="E9848"/>
      <c r="F9848"/>
      <c r="G9848"/>
      <c r="H9848"/>
      <c r="I9848"/>
      <c r="J9848"/>
      <c r="K9848" s="1"/>
      <c r="L9848" s="2"/>
    </row>
    <row r="9849" spans="1:12" x14ac:dyDescent="0.2">
      <c r="A9849"/>
      <c r="B9849"/>
      <c r="C9849"/>
      <c r="D9849"/>
      <c r="E9849"/>
      <c r="F9849"/>
      <c r="G9849"/>
      <c r="H9849"/>
      <c r="I9849"/>
      <c r="J9849"/>
      <c r="K9849" s="1"/>
      <c r="L9849" s="2"/>
    </row>
    <row r="9850" spans="1:12" x14ac:dyDescent="0.2">
      <c r="A9850"/>
      <c r="B9850"/>
      <c r="C9850"/>
      <c r="D9850"/>
      <c r="E9850"/>
      <c r="F9850"/>
      <c r="G9850"/>
      <c r="H9850"/>
      <c r="I9850"/>
      <c r="J9850"/>
      <c r="K9850" s="1"/>
      <c r="L9850" s="2"/>
    </row>
    <row r="9851" spans="1:12" x14ac:dyDescent="0.2">
      <c r="A9851"/>
      <c r="B9851"/>
      <c r="C9851"/>
      <c r="D9851"/>
      <c r="E9851"/>
      <c r="F9851"/>
      <c r="G9851"/>
      <c r="H9851"/>
      <c r="I9851"/>
      <c r="J9851"/>
      <c r="K9851" s="1"/>
      <c r="L9851" s="2"/>
    </row>
    <row r="9852" spans="1:12" x14ac:dyDescent="0.2">
      <c r="A9852"/>
      <c r="B9852"/>
      <c r="C9852"/>
      <c r="D9852"/>
      <c r="E9852"/>
      <c r="F9852"/>
      <c r="G9852"/>
      <c r="H9852"/>
      <c r="I9852"/>
      <c r="J9852"/>
      <c r="K9852" s="1"/>
      <c r="L9852" s="2"/>
    </row>
    <row r="9853" spans="1:12" x14ac:dyDescent="0.2">
      <c r="A9853"/>
      <c r="B9853"/>
      <c r="C9853"/>
      <c r="D9853"/>
      <c r="E9853"/>
      <c r="F9853"/>
      <c r="G9853"/>
      <c r="H9853"/>
      <c r="I9853"/>
      <c r="J9853"/>
      <c r="K9853" s="1"/>
      <c r="L9853" s="2"/>
    </row>
    <row r="9854" spans="1:12" x14ac:dyDescent="0.2">
      <c r="A9854"/>
      <c r="B9854"/>
      <c r="C9854"/>
      <c r="D9854"/>
      <c r="E9854"/>
      <c r="F9854"/>
      <c r="G9854"/>
      <c r="H9854"/>
      <c r="I9854"/>
      <c r="J9854"/>
      <c r="K9854" s="1"/>
      <c r="L9854" s="2"/>
    </row>
    <row r="9855" spans="1:12" x14ac:dyDescent="0.2">
      <c r="A9855"/>
      <c r="B9855"/>
      <c r="C9855"/>
      <c r="D9855"/>
      <c r="E9855"/>
      <c r="F9855"/>
      <c r="G9855"/>
      <c r="H9855"/>
      <c r="I9855"/>
      <c r="J9855"/>
      <c r="K9855" s="1"/>
      <c r="L9855" s="2"/>
    </row>
    <row r="9856" spans="1:12" x14ac:dyDescent="0.2">
      <c r="A9856"/>
      <c r="B9856"/>
      <c r="C9856"/>
      <c r="D9856"/>
      <c r="E9856"/>
      <c r="F9856"/>
      <c r="G9856"/>
      <c r="H9856"/>
      <c r="I9856"/>
      <c r="J9856"/>
      <c r="K9856" s="1"/>
      <c r="L9856" s="2"/>
    </row>
    <row r="9857" spans="1:12" x14ac:dyDescent="0.2">
      <c r="A9857"/>
      <c r="B9857"/>
      <c r="C9857"/>
      <c r="D9857"/>
      <c r="E9857"/>
      <c r="F9857"/>
      <c r="G9857"/>
      <c r="H9857"/>
      <c r="I9857"/>
      <c r="J9857"/>
      <c r="K9857" s="1"/>
      <c r="L9857" s="2"/>
    </row>
    <row r="9858" spans="1:12" x14ac:dyDescent="0.2">
      <c r="A9858"/>
      <c r="B9858"/>
      <c r="C9858"/>
      <c r="D9858"/>
      <c r="E9858"/>
      <c r="F9858"/>
      <c r="G9858"/>
      <c r="H9858"/>
      <c r="I9858"/>
      <c r="J9858"/>
      <c r="K9858" s="1"/>
      <c r="L9858" s="2"/>
    </row>
    <row r="9859" spans="1:12" x14ac:dyDescent="0.2">
      <c r="A9859"/>
      <c r="B9859"/>
      <c r="C9859"/>
      <c r="D9859"/>
      <c r="E9859"/>
      <c r="F9859"/>
      <c r="G9859"/>
      <c r="H9859"/>
      <c r="I9859"/>
      <c r="J9859"/>
      <c r="K9859" s="1"/>
      <c r="L9859" s="2"/>
    </row>
    <row r="9860" spans="1:12" x14ac:dyDescent="0.2">
      <c r="A9860"/>
      <c r="B9860"/>
      <c r="C9860"/>
      <c r="D9860"/>
      <c r="E9860"/>
      <c r="F9860"/>
      <c r="G9860"/>
      <c r="H9860"/>
      <c r="I9860"/>
      <c r="J9860"/>
      <c r="K9860" s="1"/>
      <c r="L9860" s="2"/>
    </row>
    <row r="9861" spans="1:12" x14ac:dyDescent="0.2">
      <c r="A9861"/>
      <c r="B9861"/>
      <c r="C9861"/>
      <c r="D9861"/>
      <c r="E9861"/>
      <c r="F9861"/>
      <c r="G9861"/>
      <c r="H9861"/>
      <c r="I9861"/>
      <c r="J9861"/>
      <c r="K9861" s="1"/>
      <c r="L9861" s="2"/>
    </row>
    <row r="9862" spans="1:12" x14ac:dyDescent="0.2">
      <c r="A9862"/>
      <c r="B9862"/>
      <c r="C9862"/>
      <c r="D9862"/>
      <c r="E9862"/>
      <c r="F9862"/>
      <c r="G9862"/>
      <c r="H9862"/>
      <c r="I9862"/>
      <c r="J9862"/>
      <c r="K9862" s="1"/>
      <c r="L9862" s="2"/>
    </row>
    <row r="9863" spans="1:12" x14ac:dyDescent="0.2">
      <c r="A9863"/>
      <c r="B9863"/>
      <c r="C9863"/>
      <c r="D9863"/>
      <c r="E9863"/>
      <c r="F9863"/>
      <c r="G9863"/>
      <c r="H9863"/>
      <c r="I9863"/>
      <c r="J9863"/>
      <c r="K9863" s="1"/>
      <c r="L9863" s="2"/>
    </row>
    <row r="9864" spans="1:12" x14ac:dyDescent="0.2">
      <c r="A9864"/>
      <c r="B9864"/>
      <c r="C9864"/>
      <c r="D9864"/>
      <c r="E9864"/>
      <c r="F9864"/>
      <c r="G9864"/>
      <c r="H9864"/>
      <c r="I9864"/>
      <c r="J9864"/>
      <c r="K9864" s="1"/>
      <c r="L9864" s="2"/>
    </row>
    <row r="9865" spans="1:12" x14ac:dyDescent="0.2">
      <c r="A9865"/>
      <c r="B9865"/>
      <c r="C9865"/>
      <c r="D9865"/>
      <c r="E9865"/>
      <c r="F9865"/>
      <c r="G9865"/>
      <c r="H9865"/>
      <c r="I9865"/>
      <c r="J9865"/>
      <c r="K9865" s="1"/>
      <c r="L9865" s="2"/>
    </row>
    <row r="9866" spans="1:12" x14ac:dyDescent="0.2">
      <c r="A9866"/>
      <c r="B9866"/>
      <c r="C9866"/>
      <c r="D9866"/>
      <c r="E9866"/>
      <c r="F9866"/>
      <c r="G9866"/>
      <c r="H9866"/>
      <c r="I9866"/>
      <c r="J9866"/>
      <c r="K9866" s="1"/>
      <c r="L9866" s="2"/>
    </row>
    <row r="9867" spans="1:12" x14ac:dyDescent="0.2">
      <c r="A9867"/>
      <c r="B9867"/>
      <c r="C9867"/>
      <c r="D9867"/>
      <c r="E9867"/>
      <c r="F9867"/>
      <c r="G9867"/>
      <c r="H9867"/>
      <c r="I9867"/>
      <c r="J9867"/>
      <c r="K9867" s="1"/>
      <c r="L9867" s="2"/>
    </row>
    <row r="9868" spans="1:12" x14ac:dyDescent="0.2">
      <c r="A9868"/>
      <c r="B9868"/>
      <c r="C9868"/>
      <c r="D9868"/>
      <c r="E9868"/>
      <c r="F9868"/>
      <c r="G9868"/>
      <c r="H9868"/>
      <c r="I9868"/>
      <c r="J9868"/>
      <c r="K9868" s="1"/>
      <c r="L9868" s="2"/>
    </row>
    <row r="9869" spans="1:12" x14ac:dyDescent="0.2">
      <c r="A9869"/>
      <c r="B9869"/>
      <c r="C9869"/>
      <c r="D9869"/>
      <c r="E9869"/>
      <c r="F9869"/>
      <c r="G9869"/>
      <c r="H9869"/>
      <c r="I9869"/>
      <c r="J9869"/>
      <c r="K9869" s="1"/>
      <c r="L9869" s="2"/>
    </row>
    <row r="9870" spans="1:12" x14ac:dyDescent="0.2">
      <c r="A9870"/>
      <c r="B9870"/>
      <c r="C9870"/>
      <c r="D9870"/>
      <c r="E9870"/>
      <c r="F9870"/>
      <c r="G9870"/>
      <c r="H9870"/>
      <c r="I9870"/>
      <c r="J9870"/>
      <c r="K9870" s="1"/>
      <c r="L9870" s="2"/>
    </row>
    <row r="9871" spans="1:12" x14ac:dyDescent="0.2">
      <c r="A9871"/>
      <c r="B9871"/>
      <c r="C9871"/>
      <c r="D9871"/>
      <c r="E9871"/>
      <c r="F9871"/>
      <c r="G9871"/>
      <c r="H9871"/>
      <c r="I9871"/>
      <c r="J9871"/>
      <c r="K9871" s="1"/>
      <c r="L9871" s="2"/>
    </row>
    <row r="9872" spans="1:12" x14ac:dyDescent="0.2">
      <c r="A9872"/>
      <c r="B9872"/>
      <c r="C9872"/>
      <c r="D9872"/>
      <c r="E9872"/>
      <c r="F9872"/>
      <c r="G9872"/>
      <c r="H9872"/>
      <c r="I9872"/>
      <c r="J9872"/>
      <c r="K9872" s="1"/>
      <c r="L9872" s="2"/>
    </row>
    <row r="9873" spans="1:12" x14ac:dyDescent="0.2">
      <c r="A9873"/>
      <c r="B9873"/>
      <c r="C9873"/>
      <c r="D9873"/>
      <c r="E9873"/>
      <c r="F9873"/>
      <c r="G9873"/>
      <c r="H9873"/>
      <c r="I9873"/>
      <c r="J9873"/>
      <c r="K9873" s="1"/>
      <c r="L9873" s="2"/>
    </row>
    <row r="9874" spans="1:12" x14ac:dyDescent="0.2">
      <c r="A9874"/>
      <c r="B9874"/>
      <c r="C9874"/>
      <c r="D9874"/>
      <c r="E9874"/>
      <c r="F9874"/>
      <c r="G9874"/>
      <c r="H9874"/>
      <c r="I9874"/>
      <c r="J9874"/>
      <c r="K9874" s="1"/>
      <c r="L9874" s="2"/>
    </row>
    <row r="9875" spans="1:12" x14ac:dyDescent="0.2">
      <c r="A9875"/>
      <c r="B9875"/>
      <c r="C9875"/>
      <c r="D9875"/>
      <c r="E9875"/>
      <c r="F9875"/>
      <c r="G9875"/>
      <c r="H9875"/>
      <c r="I9875"/>
      <c r="J9875"/>
      <c r="K9875" s="1"/>
      <c r="L9875" s="2"/>
    </row>
    <row r="9876" spans="1:12" x14ac:dyDescent="0.2">
      <c r="A9876"/>
      <c r="B9876"/>
      <c r="C9876"/>
      <c r="D9876"/>
      <c r="E9876"/>
      <c r="F9876"/>
      <c r="G9876"/>
      <c r="H9876"/>
      <c r="I9876"/>
      <c r="J9876"/>
      <c r="K9876" s="1"/>
      <c r="L9876" s="2"/>
    </row>
    <row r="9877" spans="1:12" x14ac:dyDescent="0.2">
      <c r="A9877"/>
      <c r="B9877"/>
      <c r="C9877"/>
      <c r="D9877"/>
      <c r="E9877"/>
      <c r="F9877"/>
      <c r="G9877"/>
      <c r="H9877"/>
      <c r="I9877"/>
      <c r="J9877"/>
      <c r="K9877" s="1"/>
      <c r="L9877" s="2"/>
    </row>
    <row r="9878" spans="1:12" x14ac:dyDescent="0.2">
      <c r="A9878"/>
      <c r="B9878"/>
      <c r="C9878"/>
      <c r="D9878"/>
      <c r="E9878"/>
      <c r="F9878"/>
      <c r="G9878"/>
      <c r="H9878"/>
      <c r="I9878"/>
      <c r="J9878"/>
      <c r="K9878" s="1"/>
      <c r="L9878" s="2"/>
    </row>
    <row r="9879" spans="1:12" x14ac:dyDescent="0.2">
      <c r="A9879"/>
      <c r="B9879"/>
      <c r="C9879"/>
      <c r="D9879"/>
      <c r="E9879"/>
      <c r="F9879"/>
      <c r="G9879"/>
      <c r="H9879"/>
      <c r="I9879"/>
      <c r="J9879"/>
      <c r="K9879" s="1"/>
      <c r="L9879" s="2"/>
    </row>
    <row r="9880" spans="1:12" x14ac:dyDescent="0.2">
      <c r="A9880"/>
      <c r="B9880"/>
      <c r="C9880"/>
      <c r="D9880"/>
      <c r="E9880"/>
      <c r="F9880"/>
      <c r="G9880"/>
      <c r="H9880"/>
      <c r="I9880"/>
      <c r="J9880"/>
      <c r="K9880" s="1"/>
      <c r="L9880" s="2"/>
    </row>
    <row r="9881" spans="1:12" x14ac:dyDescent="0.2">
      <c r="A9881"/>
      <c r="B9881"/>
      <c r="C9881"/>
      <c r="D9881"/>
      <c r="E9881"/>
      <c r="F9881"/>
      <c r="G9881"/>
      <c r="H9881"/>
      <c r="I9881"/>
      <c r="J9881"/>
      <c r="K9881" s="1"/>
      <c r="L9881" s="2"/>
    </row>
    <row r="9882" spans="1:12" x14ac:dyDescent="0.2">
      <c r="A9882"/>
      <c r="B9882"/>
      <c r="C9882"/>
      <c r="D9882"/>
      <c r="E9882"/>
      <c r="F9882"/>
      <c r="G9882"/>
      <c r="H9882"/>
      <c r="I9882"/>
      <c r="J9882"/>
      <c r="K9882" s="1"/>
      <c r="L9882" s="2"/>
    </row>
    <row r="9883" spans="1:12" x14ac:dyDescent="0.2">
      <c r="A9883"/>
      <c r="B9883"/>
      <c r="C9883"/>
      <c r="D9883"/>
      <c r="E9883"/>
      <c r="F9883"/>
      <c r="G9883"/>
      <c r="H9883"/>
      <c r="I9883"/>
      <c r="J9883"/>
      <c r="K9883" s="1"/>
      <c r="L9883" s="2"/>
    </row>
    <row r="9884" spans="1:12" x14ac:dyDescent="0.2">
      <c r="A9884"/>
      <c r="B9884"/>
      <c r="C9884"/>
      <c r="D9884"/>
      <c r="E9884"/>
      <c r="F9884"/>
      <c r="G9884"/>
      <c r="H9884"/>
      <c r="I9884"/>
      <c r="J9884"/>
      <c r="K9884" s="1"/>
      <c r="L9884" s="2"/>
    </row>
    <row r="9885" spans="1:12" x14ac:dyDescent="0.2">
      <c r="A9885"/>
      <c r="B9885"/>
      <c r="C9885"/>
      <c r="D9885"/>
      <c r="E9885"/>
      <c r="F9885"/>
      <c r="G9885"/>
      <c r="H9885"/>
      <c r="I9885"/>
      <c r="J9885"/>
      <c r="K9885" s="1"/>
      <c r="L9885" s="2"/>
    </row>
    <row r="9886" spans="1:12" x14ac:dyDescent="0.2">
      <c r="A9886"/>
      <c r="B9886"/>
      <c r="C9886"/>
      <c r="D9886"/>
      <c r="E9886"/>
      <c r="F9886"/>
      <c r="G9886"/>
      <c r="H9886"/>
      <c r="I9886"/>
      <c r="J9886"/>
      <c r="K9886" s="1"/>
      <c r="L9886" s="2"/>
    </row>
    <row r="9887" spans="1:12" x14ac:dyDescent="0.2">
      <c r="A9887"/>
      <c r="B9887"/>
      <c r="C9887"/>
      <c r="D9887"/>
      <c r="E9887"/>
      <c r="F9887"/>
      <c r="G9887"/>
      <c r="H9887"/>
      <c r="I9887"/>
      <c r="J9887"/>
      <c r="K9887" s="1"/>
      <c r="L9887" s="2"/>
    </row>
    <row r="9888" spans="1:12" x14ac:dyDescent="0.2">
      <c r="A9888"/>
      <c r="B9888"/>
      <c r="C9888"/>
      <c r="D9888"/>
      <c r="E9888"/>
      <c r="F9888"/>
      <c r="G9888"/>
      <c r="H9888"/>
      <c r="I9888"/>
      <c r="J9888"/>
      <c r="K9888" s="1"/>
      <c r="L9888" s="2"/>
    </row>
    <row r="9889" spans="1:12" x14ac:dyDescent="0.2">
      <c r="A9889"/>
      <c r="B9889"/>
      <c r="C9889"/>
      <c r="D9889"/>
      <c r="E9889"/>
      <c r="F9889"/>
      <c r="G9889"/>
      <c r="H9889"/>
      <c r="I9889"/>
      <c r="J9889"/>
      <c r="K9889" s="1"/>
      <c r="L9889" s="2"/>
    </row>
    <row r="9890" spans="1:12" x14ac:dyDescent="0.2">
      <c r="A9890"/>
      <c r="B9890"/>
      <c r="C9890"/>
      <c r="D9890"/>
      <c r="E9890"/>
      <c r="F9890"/>
      <c r="G9890"/>
      <c r="H9890"/>
      <c r="I9890"/>
      <c r="J9890"/>
      <c r="K9890" s="1"/>
      <c r="L9890" s="2"/>
    </row>
    <row r="9891" spans="1:12" x14ac:dyDescent="0.2">
      <c r="A9891"/>
      <c r="B9891"/>
      <c r="C9891"/>
      <c r="D9891"/>
      <c r="E9891"/>
      <c r="F9891"/>
      <c r="G9891"/>
      <c r="H9891"/>
      <c r="I9891"/>
      <c r="J9891"/>
      <c r="K9891" s="1"/>
      <c r="L9891" s="2"/>
    </row>
    <row r="9892" spans="1:12" x14ac:dyDescent="0.2">
      <c r="A9892"/>
      <c r="B9892"/>
      <c r="C9892"/>
      <c r="D9892"/>
      <c r="E9892"/>
      <c r="F9892"/>
      <c r="G9892"/>
      <c r="H9892"/>
      <c r="I9892"/>
      <c r="J9892"/>
      <c r="K9892" s="1"/>
      <c r="L9892" s="2"/>
    </row>
    <row r="9893" spans="1:12" x14ac:dyDescent="0.2">
      <c r="A9893"/>
      <c r="B9893"/>
      <c r="C9893"/>
      <c r="D9893"/>
      <c r="E9893"/>
      <c r="F9893"/>
      <c r="G9893"/>
      <c r="H9893"/>
      <c r="I9893"/>
      <c r="J9893"/>
      <c r="K9893" s="1"/>
      <c r="L9893" s="2"/>
    </row>
    <row r="9894" spans="1:12" x14ac:dyDescent="0.2">
      <c r="A9894"/>
      <c r="B9894"/>
      <c r="C9894"/>
      <c r="D9894"/>
      <c r="E9894"/>
      <c r="F9894"/>
      <c r="G9894"/>
      <c r="H9894"/>
      <c r="I9894"/>
      <c r="J9894"/>
      <c r="K9894" s="1"/>
      <c r="L9894" s="2"/>
    </row>
    <row r="9895" spans="1:12" x14ac:dyDescent="0.2">
      <c r="A9895"/>
      <c r="B9895"/>
      <c r="C9895"/>
      <c r="D9895"/>
      <c r="E9895"/>
      <c r="F9895"/>
      <c r="G9895"/>
      <c r="H9895"/>
      <c r="I9895"/>
      <c r="J9895"/>
      <c r="K9895" s="1"/>
      <c r="L9895" s="2"/>
    </row>
    <row r="9896" spans="1:12" x14ac:dyDescent="0.2">
      <c r="A9896"/>
      <c r="B9896"/>
      <c r="C9896"/>
      <c r="D9896"/>
      <c r="E9896"/>
      <c r="F9896"/>
      <c r="G9896"/>
      <c r="H9896"/>
      <c r="I9896"/>
      <c r="J9896"/>
      <c r="K9896" s="1"/>
      <c r="L9896" s="2"/>
    </row>
    <row r="9897" spans="1:12" x14ac:dyDescent="0.2">
      <c r="A9897"/>
      <c r="B9897"/>
      <c r="C9897"/>
      <c r="D9897"/>
      <c r="E9897"/>
      <c r="F9897"/>
      <c r="G9897"/>
      <c r="H9897"/>
      <c r="I9897"/>
      <c r="J9897"/>
      <c r="K9897" s="1"/>
      <c r="L9897" s="2"/>
    </row>
    <row r="9898" spans="1:12" x14ac:dyDescent="0.2">
      <c r="A9898"/>
      <c r="B9898"/>
      <c r="C9898"/>
      <c r="D9898"/>
      <c r="E9898"/>
      <c r="F9898"/>
      <c r="G9898"/>
      <c r="H9898"/>
      <c r="I9898"/>
      <c r="J9898"/>
      <c r="K9898" s="1"/>
      <c r="L9898" s="2"/>
    </row>
    <row r="9899" spans="1:12" x14ac:dyDescent="0.2">
      <c r="A9899"/>
      <c r="B9899"/>
      <c r="C9899"/>
      <c r="D9899"/>
      <c r="E9899"/>
      <c r="F9899"/>
      <c r="G9899"/>
      <c r="H9899"/>
      <c r="I9899"/>
      <c r="J9899"/>
      <c r="K9899" s="1"/>
      <c r="L9899" s="2"/>
    </row>
    <row r="9900" spans="1:12" x14ac:dyDescent="0.2">
      <c r="A9900"/>
      <c r="B9900"/>
      <c r="C9900"/>
      <c r="D9900"/>
      <c r="E9900"/>
      <c r="F9900"/>
      <c r="G9900"/>
      <c r="H9900"/>
      <c r="I9900"/>
      <c r="J9900"/>
      <c r="K9900" s="1"/>
      <c r="L9900" s="2"/>
    </row>
    <row r="9901" spans="1:12" x14ac:dyDescent="0.2">
      <c r="A9901"/>
      <c r="B9901"/>
      <c r="C9901"/>
      <c r="D9901"/>
      <c r="E9901"/>
      <c r="F9901"/>
      <c r="G9901"/>
      <c r="H9901"/>
      <c r="I9901"/>
      <c r="J9901"/>
      <c r="K9901" s="1"/>
      <c r="L9901" s="2"/>
    </row>
    <row r="9902" spans="1:12" x14ac:dyDescent="0.2">
      <c r="A9902"/>
      <c r="B9902"/>
      <c r="C9902"/>
      <c r="D9902"/>
      <c r="E9902"/>
      <c r="F9902"/>
      <c r="G9902"/>
      <c r="H9902"/>
      <c r="I9902"/>
      <c r="J9902"/>
      <c r="K9902" s="1"/>
      <c r="L9902" s="2"/>
    </row>
    <row r="9903" spans="1:12" x14ac:dyDescent="0.2">
      <c r="A9903"/>
      <c r="B9903"/>
      <c r="C9903"/>
      <c r="D9903"/>
      <c r="E9903"/>
      <c r="F9903"/>
      <c r="G9903"/>
      <c r="H9903"/>
      <c r="I9903"/>
      <c r="J9903"/>
      <c r="K9903" s="1"/>
      <c r="L9903" s="2"/>
    </row>
    <row r="9904" spans="1:12" x14ac:dyDescent="0.2">
      <c r="A9904"/>
      <c r="B9904"/>
      <c r="C9904"/>
      <c r="D9904"/>
      <c r="E9904"/>
      <c r="F9904"/>
      <c r="G9904"/>
      <c r="H9904"/>
      <c r="I9904"/>
      <c r="J9904"/>
      <c r="K9904" s="1"/>
      <c r="L9904" s="2"/>
    </row>
    <row r="9905" spans="1:12" x14ac:dyDescent="0.2">
      <c r="A9905"/>
      <c r="B9905"/>
      <c r="C9905"/>
      <c r="D9905"/>
      <c r="E9905"/>
      <c r="F9905"/>
      <c r="G9905"/>
      <c r="H9905"/>
      <c r="I9905"/>
      <c r="J9905"/>
      <c r="K9905" s="1"/>
      <c r="L9905" s="2"/>
    </row>
    <row r="9906" spans="1:12" x14ac:dyDescent="0.2">
      <c r="A9906"/>
      <c r="B9906"/>
      <c r="C9906"/>
      <c r="D9906"/>
      <c r="E9906"/>
      <c r="F9906"/>
      <c r="G9906"/>
      <c r="H9906"/>
      <c r="I9906"/>
      <c r="J9906"/>
      <c r="K9906" s="1"/>
      <c r="L9906" s="2"/>
    </row>
    <row r="9907" spans="1:12" x14ac:dyDescent="0.2">
      <c r="A9907"/>
      <c r="B9907"/>
      <c r="C9907"/>
      <c r="D9907"/>
      <c r="E9907"/>
      <c r="F9907"/>
      <c r="G9907"/>
      <c r="H9907"/>
      <c r="I9907"/>
      <c r="J9907"/>
      <c r="K9907" s="1"/>
      <c r="L9907" s="2"/>
    </row>
    <row r="9908" spans="1:12" x14ac:dyDescent="0.2">
      <c r="A9908"/>
      <c r="B9908"/>
      <c r="C9908"/>
      <c r="D9908"/>
      <c r="E9908"/>
      <c r="F9908"/>
      <c r="G9908"/>
      <c r="H9908"/>
      <c r="I9908"/>
      <c r="J9908"/>
      <c r="K9908" s="1"/>
      <c r="L9908" s="2"/>
    </row>
    <row r="9909" spans="1:12" x14ac:dyDescent="0.2">
      <c r="A9909"/>
      <c r="B9909"/>
      <c r="C9909"/>
      <c r="D9909"/>
      <c r="E9909"/>
      <c r="F9909"/>
      <c r="G9909"/>
      <c r="H9909"/>
      <c r="I9909"/>
      <c r="J9909"/>
      <c r="K9909" s="1"/>
      <c r="L9909" s="2"/>
    </row>
    <row r="9910" spans="1:12" x14ac:dyDescent="0.2">
      <c r="A9910"/>
      <c r="B9910"/>
      <c r="C9910"/>
      <c r="D9910"/>
      <c r="E9910"/>
      <c r="F9910"/>
      <c r="G9910"/>
      <c r="H9910"/>
      <c r="I9910"/>
      <c r="J9910"/>
      <c r="K9910" s="1"/>
      <c r="L9910" s="2"/>
    </row>
    <row r="9911" spans="1:12" x14ac:dyDescent="0.2">
      <c r="A9911"/>
      <c r="B9911"/>
      <c r="C9911"/>
      <c r="D9911"/>
      <c r="E9911"/>
      <c r="F9911"/>
      <c r="G9911"/>
      <c r="H9911"/>
      <c r="I9911"/>
      <c r="J9911"/>
      <c r="K9911" s="1"/>
      <c r="L9911" s="2"/>
    </row>
    <row r="9912" spans="1:12" x14ac:dyDescent="0.2">
      <c r="A9912"/>
      <c r="B9912"/>
      <c r="C9912"/>
      <c r="D9912"/>
      <c r="E9912"/>
      <c r="F9912"/>
      <c r="G9912"/>
      <c r="H9912"/>
      <c r="I9912"/>
      <c r="J9912"/>
      <c r="K9912" s="1"/>
      <c r="L9912" s="2"/>
    </row>
    <row r="9913" spans="1:12" x14ac:dyDescent="0.2">
      <c r="A9913"/>
      <c r="B9913"/>
      <c r="C9913"/>
      <c r="D9913"/>
      <c r="E9913"/>
      <c r="F9913"/>
      <c r="G9913"/>
      <c r="H9913"/>
      <c r="I9913"/>
      <c r="J9913"/>
      <c r="K9913" s="1"/>
      <c r="L9913" s="2"/>
    </row>
    <row r="9914" spans="1:12" x14ac:dyDescent="0.2">
      <c r="A9914"/>
      <c r="B9914"/>
      <c r="C9914"/>
      <c r="D9914"/>
      <c r="E9914"/>
      <c r="F9914"/>
      <c r="G9914"/>
      <c r="H9914"/>
      <c r="I9914"/>
      <c r="J9914"/>
      <c r="K9914" s="1"/>
      <c r="L9914" s="2"/>
    </row>
    <row r="9915" spans="1:12" x14ac:dyDescent="0.2">
      <c r="A9915"/>
      <c r="B9915"/>
      <c r="C9915"/>
      <c r="D9915"/>
      <c r="E9915"/>
      <c r="F9915"/>
      <c r="G9915"/>
      <c r="H9915"/>
      <c r="I9915"/>
      <c r="J9915"/>
      <c r="K9915" s="1"/>
      <c r="L9915" s="2"/>
    </row>
    <row r="9916" spans="1:12" x14ac:dyDescent="0.2">
      <c r="A9916"/>
      <c r="B9916"/>
      <c r="C9916"/>
      <c r="D9916"/>
      <c r="E9916"/>
      <c r="F9916"/>
      <c r="G9916"/>
      <c r="H9916"/>
      <c r="I9916"/>
      <c r="J9916"/>
      <c r="K9916" s="1"/>
      <c r="L9916" s="2"/>
    </row>
    <row r="9917" spans="1:12" x14ac:dyDescent="0.2">
      <c r="A9917"/>
      <c r="B9917"/>
      <c r="C9917"/>
      <c r="D9917"/>
      <c r="E9917"/>
      <c r="F9917"/>
      <c r="G9917"/>
      <c r="H9917"/>
      <c r="I9917"/>
      <c r="J9917"/>
      <c r="K9917" s="1"/>
      <c r="L9917" s="2"/>
    </row>
    <row r="9918" spans="1:12" x14ac:dyDescent="0.2">
      <c r="A9918"/>
      <c r="B9918"/>
      <c r="C9918"/>
      <c r="D9918"/>
      <c r="E9918"/>
      <c r="F9918"/>
      <c r="G9918"/>
      <c r="H9918"/>
      <c r="I9918"/>
      <c r="J9918"/>
      <c r="K9918" s="1"/>
      <c r="L9918" s="2"/>
    </row>
    <row r="9919" spans="1:12" x14ac:dyDescent="0.2">
      <c r="A9919"/>
      <c r="B9919"/>
      <c r="C9919"/>
      <c r="D9919"/>
      <c r="E9919"/>
      <c r="F9919"/>
      <c r="G9919"/>
      <c r="H9919"/>
      <c r="I9919"/>
      <c r="J9919"/>
      <c r="K9919" s="1"/>
      <c r="L9919" s="2"/>
    </row>
    <row r="9920" spans="1:12" x14ac:dyDescent="0.2">
      <c r="A9920"/>
      <c r="B9920"/>
      <c r="C9920"/>
      <c r="D9920"/>
      <c r="E9920"/>
      <c r="F9920"/>
      <c r="G9920"/>
      <c r="H9920"/>
      <c r="I9920"/>
      <c r="J9920"/>
      <c r="K9920" s="1"/>
      <c r="L9920" s="2"/>
    </row>
    <row r="9921" spans="1:12" x14ac:dyDescent="0.2">
      <c r="A9921"/>
      <c r="B9921"/>
      <c r="C9921"/>
      <c r="D9921"/>
      <c r="E9921"/>
      <c r="F9921"/>
      <c r="G9921"/>
      <c r="H9921"/>
      <c r="I9921"/>
      <c r="J9921"/>
      <c r="K9921" s="1"/>
      <c r="L9921" s="2"/>
    </row>
    <row r="9922" spans="1:12" x14ac:dyDescent="0.2">
      <c r="A9922"/>
      <c r="B9922"/>
      <c r="C9922"/>
      <c r="D9922"/>
      <c r="E9922"/>
      <c r="F9922"/>
      <c r="G9922"/>
      <c r="H9922"/>
      <c r="I9922"/>
      <c r="J9922"/>
      <c r="K9922" s="1"/>
      <c r="L9922" s="2"/>
    </row>
    <row r="9923" spans="1:12" x14ac:dyDescent="0.2">
      <c r="A9923"/>
      <c r="B9923"/>
      <c r="C9923"/>
      <c r="D9923"/>
      <c r="E9923"/>
      <c r="F9923"/>
      <c r="G9923"/>
      <c r="H9923"/>
      <c r="I9923"/>
      <c r="J9923"/>
      <c r="K9923" s="1"/>
      <c r="L9923" s="2"/>
    </row>
    <row r="9924" spans="1:12" x14ac:dyDescent="0.2">
      <c r="A9924"/>
      <c r="B9924"/>
      <c r="C9924"/>
      <c r="D9924"/>
      <c r="E9924"/>
      <c r="F9924"/>
      <c r="G9924"/>
      <c r="H9924"/>
      <c r="I9924"/>
      <c r="J9924"/>
      <c r="K9924" s="1"/>
      <c r="L9924" s="2"/>
    </row>
    <row r="9925" spans="1:12" x14ac:dyDescent="0.2">
      <c r="A9925"/>
      <c r="B9925"/>
      <c r="C9925"/>
      <c r="D9925"/>
      <c r="E9925"/>
      <c r="F9925"/>
      <c r="G9925"/>
      <c r="H9925"/>
      <c r="I9925"/>
      <c r="J9925"/>
      <c r="K9925" s="1"/>
      <c r="L9925" s="2"/>
    </row>
    <row r="9926" spans="1:12" x14ac:dyDescent="0.2">
      <c r="A9926"/>
      <c r="B9926"/>
      <c r="C9926"/>
      <c r="D9926"/>
      <c r="E9926"/>
      <c r="F9926"/>
      <c r="G9926"/>
      <c r="H9926"/>
      <c r="I9926"/>
      <c r="J9926"/>
      <c r="K9926" s="1"/>
      <c r="L9926" s="2"/>
    </row>
    <row r="9927" spans="1:12" x14ac:dyDescent="0.2">
      <c r="A9927"/>
      <c r="B9927"/>
      <c r="C9927"/>
      <c r="D9927"/>
      <c r="E9927"/>
      <c r="F9927"/>
      <c r="G9927"/>
      <c r="H9927"/>
      <c r="I9927"/>
      <c r="J9927"/>
      <c r="K9927" s="1"/>
      <c r="L9927" s="2"/>
    </row>
    <row r="9928" spans="1:12" x14ac:dyDescent="0.2">
      <c r="A9928"/>
      <c r="B9928"/>
      <c r="C9928"/>
      <c r="D9928"/>
      <c r="E9928"/>
      <c r="F9928"/>
      <c r="G9928"/>
      <c r="H9928"/>
      <c r="I9928"/>
      <c r="J9928"/>
      <c r="K9928" s="1"/>
      <c r="L9928" s="2"/>
    </row>
    <row r="9929" spans="1:12" x14ac:dyDescent="0.2">
      <c r="A9929"/>
      <c r="B9929"/>
      <c r="C9929"/>
      <c r="D9929"/>
      <c r="E9929"/>
      <c r="F9929"/>
      <c r="G9929"/>
      <c r="H9929"/>
      <c r="I9929"/>
      <c r="J9929"/>
      <c r="K9929" s="1"/>
      <c r="L9929" s="2"/>
    </row>
    <row r="9930" spans="1:12" x14ac:dyDescent="0.2">
      <c r="A9930"/>
      <c r="B9930"/>
      <c r="C9930"/>
      <c r="D9930"/>
      <c r="E9930"/>
      <c r="F9930"/>
      <c r="G9930"/>
      <c r="H9930"/>
      <c r="I9930"/>
      <c r="J9930"/>
      <c r="K9930" s="1"/>
      <c r="L9930" s="2"/>
    </row>
    <row r="9931" spans="1:12" x14ac:dyDescent="0.2">
      <c r="A9931"/>
      <c r="B9931"/>
      <c r="C9931"/>
      <c r="D9931"/>
      <c r="E9931"/>
      <c r="F9931"/>
      <c r="G9931"/>
      <c r="H9931"/>
      <c r="I9931"/>
      <c r="J9931"/>
      <c r="K9931" s="1"/>
      <c r="L9931" s="2"/>
    </row>
    <row r="9932" spans="1:12" x14ac:dyDescent="0.2">
      <c r="A9932"/>
      <c r="B9932"/>
      <c r="C9932"/>
      <c r="D9932"/>
      <c r="E9932"/>
      <c r="F9932"/>
      <c r="G9932"/>
      <c r="H9932"/>
      <c r="I9932"/>
      <c r="J9932"/>
      <c r="K9932" s="1"/>
      <c r="L9932" s="2"/>
    </row>
    <row r="9933" spans="1:12" x14ac:dyDescent="0.2">
      <c r="A9933"/>
      <c r="B9933"/>
      <c r="C9933"/>
      <c r="D9933"/>
      <c r="E9933"/>
      <c r="F9933"/>
      <c r="G9933"/>
      <c r="H9933"/>
      <c r="I9933"/>
      <c r="J9933"/>
      <c r="K9933" s="1"/>
      <c r="L9933" s="2"/>
    </row>
    <row r="9934" spans="1:12" x14ac:dyDescent="0.2">
      <c r="A9934"/>
      <c r="B9934"/>
      <c r="C9934"/>
      <c r="D9934"/>
      <c r="E9934"/>
      <c r="F9934"/>
      <c r="G9934"/>
      <c r="H9934"/>
      <c r="I9934"/>
      <c r="J9934"/>
      <c r="K9934" s="1"/>
      <c r="L9934" s="2"/>
    </row>
    <row r="9935" spans="1:12" x14ac:dyDescent="0.2">
      <c r="A9935"/>
      <c r="B9935"/>
      <c r="C9935"/>
      <c r="D9935"/>
      <c r="E9935"/>
      <c r="F9935"/>
      <c r="G9935"/>
      <c r="H9935"/>
      <c r="I9935"/>
      <c r="J9935"/>
      <c r="K9935" s="1"/>
      <c r="L9935" s="2"/>
    </row>
    <row r="9936" spans="1:12" x14ac:dyDescent="0.2">
      <c r="A9936"/>
      <c r="B9936"/>
      <c r="C9936"/>
      <c r="D9936"/>
      <c r="E9936"/>
      <c r="F9936"/>
      <c r="G9936"/>
      <c r="H9936"/>
      <c r="I9936"/>
      <c r="J9936"/>
      <c r="K9936" s="1"/>
      <c r="L9936" s="2"/>
    </row>
    <row r="9937" spans="1:12" x14ac:dyDescent="0.2">
      <c r="A9937"/>
      <c r="B9937"/>
      <c r="C9937"/>
      <c r="D9937"/>
      <c r="E9937"/>
      <c r="F9937"/>
      <c r="G9937"/>
      <c r="H9937"/>
      <c r="I9937"/>
      <c r="J9937"/>
      <c r="K9937" s="1"/>
      <c r="L9937" s="2"/>
    </row>
    <row r="9938" spans="1:12" x14ac:dyDescent="0.2">
      <c r="A9938"/>
      <c r="B9938"/>
      <c r="C9938"/>
      <c r="D9938"/>
      <c r="E9938"/>
      <c r="F9938"/>
      <c r="G9938"/>
      <c r="H9938"/>
      <c r="I9938"/>
      <c r="J9938"/>
      <c r="K9938" s="1"/>
      <c r="L9938" s="2"/>
    </row>
    <row r="9939" spans="1:12" x14ac:dyDescent="0.2">
      <c r="A9939"/>
      <c r="B9939"/>
      <c r="C9939"/>
      <c r="D9939"/>
      <c r="E9939"/>
      <c r="F9939"/>
      <c r="G9939"/>
      <c r="H9939"/>
      <c r="I9939"/>
      <c r="J9939"/>
      <c r="K9939" s="1"/>
      <c r="L9939" s="2"/>
    </row>
    <row r="9940" spans="1:12" x14ac:dyDescent="0.2">
      <c r="A9940"/>
      <c r="B9940"/>
      <c r="C9940"/>
      <c r="D9940"/>
      <c r="E9940"/>
      <c r="F9940"/>
      <c r="G9940"/>
      <c r="H9940"/>
      <c r="I9940"/>
      <c r="J9940"/>
      <c r="K9940" s="1"/>
      <c r="L9940" s="2"/>
    </row>
    <row r="9941" spans="1:12" x14ac:dyDescent="0.2">
      <c r="A9941"/>
      <c r="B9941"/>
      <c r="C9941"/>
      <c r="D9941"/>
      <c r="E9941"/>
      <c r="F9941"/>
      <c r="G9941"/>
      <c r="H9941"/>
      <c r="I9941"/>
      <c r="J9941"/>
      <c r="K9941" s="1"/>
      <c r="L9941" s="2"/>
    </row>
    <row r="9942" spans="1:12" x14ac:dyDescent="0.2">
      <c r="A9942"/>
      <c r="B9942"/>
      <c r="C9942"/>
      <c r="D9942"/>
      <c r="E9942"/>
      <c r="F9942"/>
      <c r="G9942"/>
      <c r="H9942"/>
      <c r="I9942"/>
      <c r="J9942"/>
      <c r="K9942" s="1"/>
      <c r="L9942" s="2"/>
    </row>
    <row r="9943" spans="1:12" x14ac:dyDescent="0.2">
      <c r="A9943"/>
      <c r="B9943"/>
      <c r="C9943"/>
      <c r="D9943"/>
      <c r="E9943"/>
      <c r="F9943"/>
      <c r="G9943"/>
      <c r="H9943"/>
      <c r="I9943"/>
      <c r="J9943"/>
      <c r="K9943" s="1"/>
      <c r="L9943" s="2"/>
    </row>
    <row r="9944" spans="1:12" x14ac:dyDescent="0.2">
      <c r="A9944"/>
      <c r="B9944"/>
      <c r="C9944"/>
      <c r="D9944"/>
      <c r="E9944"/>
      <c r="F9944"/>
      <c r="G9944"/>
      <c r="H9944"/>
      <c r="I9944"/>
      <c r="J9944"/>
      <c r="K9944" s="1"/>
      <c r="L9944" s="2"/>
    </row>
    <row r="9945" spans="1:12" x14ac:dyDescent="0.2">
      <c r="A9945"/>
      <c r="B9945"/>
      <c r="C9945"/>
      <c r="D9945"/>
      <c r="E9945"/>
      <c r="F9945"/>
      <c r="G9945"/>
      <c r="H9945"/>
      <c r="I9945"/>
      <c r="J9945"/>
      <c r="K9945" s="1"/>
      <c r="L9945" s="2"/>
    </row>
    <row r="9946" spans="1:12" x14ac:dyDescent="0.2">
      <c r="A9946"/>
      <c r="B9946"/>
      <c r="C9946"/>
      <c r="D9946"/>
      <c r="E9946"/>
      <c r="F9946"/>
      <c r="G9946"/>
      <c r="H9946"/>
      <c r="I9946"/>
      <c r="J9946"/>
      <c r="K9946" s="1"/>
      <c r="L9946" s="2"/>
    </row>
    <row r="9947" spans="1:12" x14ac:dyDescent="0.2">
      <c r="A9947"/>
      <c r="B9947"/>
      <c r="C9947"/>
      <c r="D9947"/>
      <c r="E9947"/>
      <c r="F9947"/>
      <c r="G9947"/>
      <c r="H9947"/>
      <c r="I9947"/>
      <c r="J9947"/>
      <c r="K9947" s="1"/>
      <c r="L9947" s="2"/>
    </row>
    <row r="9948" spans="1:12" x14ac:dyDescent="0.2">
      <c r="A9948"/>
      <c r="B9948"/>
      <c r="C9948"/>
      <c r="D9948"/>
      <c r="E9948"/>
      <c r="F9948"/>
      <c r="G9948"/>
      <c r="H9948"/>
      <c r="I9948"/>
      <c r="J9948"/>
      <c r="K9948" s="1"/>
      <c r="L9948" s="2"/>
    </row>
    <row r="9949" spans="1:12" x14ac:dyDescent="0.2">
      <c r="A9949"/>
      <c r="B9949"/>
      <c r="C9949"/>
      <c r="D9949"/>
      <c r="E9949"/>
      <c r="F9949"/>
      <c r="G9949"/>
      <c r="H9949"/>
      <c r="I9949"/>
      <c r="J9949"/>
      <c r="K9949" s="1"/>
      <c r="L9949" s="2"/>
    </row>
    <row r="9950" spans="1:12" x14ac:dyDescent="0.2">
      <c r="A9950"/>
      <c r="B9950"/>
      <c r="C9950"/>
      <c r="D9950"/>
      <c r="E9950"/>
      <c r="F9950"/>
      <c r="G9950"/>
      <c r="H9950"/>
      <c r="I9950"/>
      <c r="J9950"/>
      <c r="K9950" s="1"/>
      <c r="L9950" s="2"/>
    </row>
    <row r="9951" spans="1:12" x14ac:dyDescent="0.2">
      <c r="A9951"/>
      <c r="B9951"/>
      <c r="C9951"/>
      <c r="D9951"/>
      <c r="E9951"/>
      <c r="F9951"/>
      <c r="G9951"/>
      <c r="H9951"/>
      <c r="I9951"/>
      <c r="J9951"/>
      <c r="K9951" s="1"/>
      <c r="L9951" s="2"/>
    </row>
    <row r="9952" spans="1:12" x14ac:dyDescent="0.2">
      <c r="A9952"/>
      <c r="B9952"/>
      <c r="C9952"/>
      <c r="D9952"/>
      <c r="E9952"/>
      <c r="F9952"/>
      <c r="G9952"/>
      <c r="H9952"/>
      <c r="I9952"/>
      <c r="J9952"/>
      <c r="K9952" s="1"/>
      <c r="L9952" s="2"/>
    </row>
    <row r="9953" spans="1:12" x14ac:dyDescent="0.2">
      <c r="A9953"/>
      <c r="B9953"/>
      <c r="C9953"/>
      <c r="D9953"/>
      <c r="E9953"/>
      <c r="F9953"/>
      <c r="G9953"/>
      <c r="H9953"/>
      <c r="I9953"/>
      <c r="J9953"/>
      <c r="K9953" s="1"/>
      <c r="L9953" s="2"/>
    </row>
    <row r="9954" spans="1:12" x14ac:dyDescent="0.2">
      <c r="A9954"/>
      <c r="B9954"/>
      <c r="C9954"/>
      <c r="D9954"/>
      <c r="E9954"/>
      <c r="F9954"/>
      <c r="G9954"/>
      <c r="H9954"/>
      <c r="I9954"/>
      <c r="J9954"/>
      <c r="K9954" s="1"/>
      <c r="L9954" s="2"/>
    </row>
    <row r="9955" spans="1:12" x14ac:dyDescent="0.2">
      <c r="A9955"/>
      <c r="B9955"/>
      <c r="C9955"/>
      <c r="D9955"/>
      <c r="E9955"/>
      <c r="F9955"/>
      <c r="G9955"/>
      <c r="H9955"/>
      <c r="I9955"/>
      <c r="J9955"/>
      <c r="K9955" s="1"/>
      <c r="L9955" s="2"/>
    </row>
    <row r="9956" spans="1:12" x14ac:dyDescent="0.2">
      <c r="A9956"/>
      <c r="B9956"/>
      <c r="C9956"/>
      <c r="D9956"/>
      <c r="E9956"/>
      <c r="F9956"/>
      <c r="G9956"/>
      <c r="H9956"/>
      <c r="I9956"/>
      <c r="J9956"/>
      <c r="K9956" s="1"/>
      <c r="L9956" s="2"/>
    </row>
    <row r="9957" spans="1:12" x14ac:dyDescent="0.2">
      <c r="A9957"/>
      <c r="B9957"/>
      <c r="C9957"/>
      <c r="D9957"/>
      <c r="E9957"/>
      <c r="F9957"/>
      <c r="G9957"/>
      <c r="H9957"/>
      <c r="I9957"/>
      <c r="J9957"/>
      <c r="K9957" s="1"/>
      <c r="L9957" s="2"/>
    </row>
    <row r="9958" spans="1:12" x14ac:dyDescent="0.2">
      <c r="A9958"/>
      <c r="B9958"/>
      <c r="C9958"/>
      <c r="D9958"/>
      <c r="E9958"/>
      <c r="F9958"/>
      <c r="G9958"/>
      <c r="H9958"/>
      <c r="I9958"/>
      <c r="J9958"/>
      <c r="K9958" s="1"/>
      <c r="L9958" s="2"/>
    </row>
    <row r="9959" spans="1:12" x14ac:dyDescent="0.2">
      <c r="A9959"/>
      <c r="B9959"/>
      <c r="C9959"/>
      <c r="D9959"/>
      <c r="E9959"/>
      <c r="F9959"/>
      <c r="G9959"/>
      <c r="H9959"/>
      <c r="I9959"/>
      <c r="J9959"/>
      <c r="K9959" s="1"/>
      <c r="L9959" s="2"/>
    </row>
    <row r="9960" spans="1:12" x14ac:dyDescent="0.2">
      <c r="A9960"/>
      <c r="B9960"/>
      <c r="C9960"/>
      <c r="D9960"/>
      <c r="E9960"/>
      <c r="F9960"/>
      <c r="G9960"/>
      <c r="H9960"/>
      <c r="I9960"/>
      <c r="J9960"/>
      <c r="K9960" s="1"/>
      <c r="L9960" s="2"/>
    </row>
    <row r="9961" spans="1:12" x14ac:dyDescent="0.2">
      <c r="A9961"/>
      <c r="B9961"/>
      <c r="C9961"/>
      <c r="D9961"/>
      <c r="E9961"/>
      <c r="F9961"/>
      <c r="G9961"/>
      <c r="H9961"/>
      <c r="I9961"/>
      <c r="J9961"/>
      <c r="K9961" s="1"/>
      <c r="L9961" s="2"/>
    </row>
    <row r="9962" spans="1:12" x14ac:dyDescent="0.2">
      <c r="A9962"/>
      <c r="B9962"/>
      <c r="C9962"/>
      <c r="D9962"/>
      <c r="E9962"/>
      <c r="F9962"/>
      <c r="G9962"/>
      <c r="H9962"/>
      <c r="I9962"/>
      <c r="J9962"/>
      <c r="K9962" s="1"/>
      <c r="L9962" s="2"/>
    </row>
    <row r="9963" spans="1:12" x14ac:dyDescent="0.2">
      <c r="A9963"/>
      <c r="B9963"/>
      <c r="C9963"/>
      <c r="D9963"/>
      <c r="E9963"/>
      <c r="F9963"/>
      <c r="G9963"/>
      <c r="H9963"/>
      <c r="I9963"/>
      <c r="J9963"/>
      <c r="K9963" s="1"/>
      <c r="L9963" s="2"/>
    </row>
    <row r="9964" spans="1:12" x14ac:dyDescent="0.2">
      <c r="A9964"/>
      <c r="B9964"/>
      <c r="C9964"/>
      <c r="D9964"/>
      <c r="E9964"/>
      <c r="F9964"/>
      <c r="G9964"/>
      <c r="H9964"/>
      <c r="I9964"/>
      <c r="J9964"/>
      <c r="K9964" s="1"/>
      <c r="L9964" s="2"/>
    </row>
    <row r="9965" spans="1:12" x14ac:dyDescent="0.2">
      <c r="A9965"/>
      <c r="B9965"/>
      <c r="C9965"/>
      <c r="D9965"/>
      <c r="E9965"/>
      <c r="F9965"/>
      <c r="G9965"/>
      <c r="H9965"/>
      <c r="I9965"/>
      <c r="J9965"/>
      <c r="K9965" s="1"/>
      <c r="L9965" s="2"/>
    </row>
    <row r="9966" spans="1:12" x14ac:dyDescent="0.2">
      <c r="A9966"/>
      <c r="B9966"/>
      <c r="C9966"/>
      <c r="D9966"/>
      <c r="E9966"/>
      <c r="F9966"/>
      <c r="G9966"/>
      <c r="H9966"/>
      <c r="I9966"/>
      <c r="J9966"/>
      <c r="K9966" s="1"/>
      <c r="L9966" s="2"/>
    </row>
    <row r="9967" spans="1:12" x14ac:dyDescent="0.2">
      <c r="A9967"/>
      <c r="B9967"/>
      <c r="C9967"/>
      <c r="D9967"/>
      <c r="E9967"/>
      <c r="F9967"/>
      <c r="G9967"/>
      <c r="H9967"/>
      <c r="I9967"/>
      <c r="J9967"/>
      <c r="K9967" s="1"/>
      <c r="L9967" s="2"/>
    </row>
    <row r="9968" spans="1:12" x14ac:dyDescent="0.2">
      <c r="A9968"/>
      <c r="B9968"/>
      <c r="C9968"/>
      <c r="D9968"/>
      <c r="E9968"/>
      <c r="F9968"/>
      <c r="G9968"/>
      <c r="H9968"/>
      <c r="I9968"/>
      <c r="J9968"/>
      <c r="K9968" s="1"/>
      <c r="L9968" s="2"/>
    </row>
    <row r="9969" spans="1:12" x14ac:dyDescent="0.2">
      <c r="A9969"/>
      <c r="B9969"/>
      <c r="C9969"/>
      <c r="D9969"/>
      <c r="E9969"/>
      <c r="F9969"/>
      <c r="G9969"/>
      <c r="H9969"/>
      <c r="I9969"/>
      <c r="J9969"/>
      <c r="K9969" s="1"/>
      <c r="L9969" s="2"/>
    </row>
    <row r="9970" spans="1:12" x14ac:dyDescent="0.2">
      <c r="A9970"/>
      <c r="B9970"/>
      <c r="C9970"/>
      <c r="D9970"/>
      <c r="E9970"/>
      <c r="F9970"/>
      <c r="G9970"/>
      <c r="H9970"/>
      <c r="I9970"/>
      <c r="J9970"/>
      <c r="K9970" s="1"/>
      <c r="L9970" s="2"/>
    </row>
    <row r="9971" spans="1:12" x14ac:dyDescent="0.2">
      <c r="A9971"/>
      <c r="B9971"/>
      <c r="C9971"/>
      <c r="D9971"/>
      <c r="E9971"/>
      <c r="F9971"/>
      <c r="G9971"/>
      <c r="H9971"/>
      <c r="I9971"/>
      <c r="J9971"/>
      <c r="K9971" s="1"/>
      <c r="L9971" s="2"/>
    </row>
    <row r="9972" spans="1:12" x14ac:dyDescent="0.2">
      <c r="A9972"/>
      <c r="B9972"/>
      <c r="C9972"/>
      <c r="D9972"/>
      <c r="E9972"/>
      <c r="F9972"/>
      <c r="G9972"/>
      <c r="H9972"/>
      <c r="I9972"/>
      <c r="J9972"/>
      <c r="K9972" s="1"/>
      <c r="L9972" s="2"/>
    </row>
    <row r="9973" spans="1:12" x14ac:dyDescent="0.2">
      <c r="A9973"/>
      <c r="B9973"/>
      <c r="C9973"/>
      <c r="D9973"/>
      <c r="E9973"/>
      <c r="F9973"/>
      <c r="G9973"/>
      <c r="H9973"/>
      <c r="I9973"/>
      <c r="J9973"/>
      <c r="K9973" s="1"/>
      <c r="L9973" s="2"/>
    </row>
    <row r="9974" spans="1:12" x14ac:dyDescent="0.2">
      <c r="A9974"/>
      <c r="B9974"/>
      <c r="C9974"/>
      <c r="D9974"/>
      <c r="E9974"/>
      <c r="F9974"/>
      <c r="G9974"/>
      <c r="H9974"/>
      <c r="I9974"/>
      <c r="J9974"/>
      <c r="K9974" s="1"/>
      <c r="L9974" s="2"/>
    </row>
    <row r="9975" spans="1:12" x14ac:dyDescent="0.2">
      <c r="A9975"/>
      <c r="B9975"/>
      <c r="C9975"/>
      <c r="D9975"/>
      <c r="E9975"/>
      <c r="F9975"/>
      <c r="G9975"/>
      <c r="H9975"/>
      <c r="I9975"/>
      <c r="J9975"/>
      <c r="K9975" s="1"/>
      <c r="L9975" s="2"/>
    </row>
    <row r="9976" spans="1:12" x14ac:dyDescent="0.2">
      <c r="A9976"/>
      <c r="B9976"/>
      <c r="C9976"/>
      <c r="D9976"/>
      <c r="E9976"/>
      <c r="F9976"/>
      <c r="G9976"/>
      <c r="H9976"/>
      <c r="I9976"/>
      <c r="J9976"/>
      <c r="K9976" s="1"/>
      <c r="L9976" s="2"/>
    </row>
    <row r="9977" spans="1:12" x14ac:dyDescent="0.2">
      <c r="A9977"/>
      <c r="B9977"/>
      <c r="C9977"/>
      <c r="D9977"/>
      <c r="E9977"/>
      <c r="F9977"/>
      <c r="G9977"/>
      <c r="H9977"/>
      <c r="I9977"/>
      <c r="J9977"/>
      <c r="K9977" s="1"/>
      <c r="L9977" s="2"/>
    </row>
    <row r="9978" spans="1:12" x14ac:dyDescent="0.2">
      <c r="A9978"/>
      <c r="B9978"/>
      <c r="C9978"/>
      <c r="D9978"/>
      <c r="E9978"/>
      <c r="F9978"/>
      <c r="G9978"/>
      <c r="H9978"/>
      <c r="I9978"/>
      <c r="J9978"/>
      <c r="K9978" s="1"/>
      <c r="L9978" s="2"/>
    </row>
    <row r="9979" spans="1:12" x14ac:dyDescent="0.2">
      <c r="A9979"/>
      <c r="B9979"/>
      <c r="C9979"/>
      <c r="D9979"/>
      <c r="E9979"/>
      <c r="F9979"/>
      <c r="G9979"/>
      <c r="H9979"/>
      <c r="I9979"/>
      <c r="J9979"/>
      <c r="K9979" s="1"/>
      <c r="L9979" s="2"/>
    </row>
    <row r="9980" spans="1:12" x14ac:dyDescent="0.2">
      <c r="A9980"/>
      <c r="B9980"/>
      <c r="C9980"/>
      <c r="D9980"/>
      <c r="E9980"/>
      <c r="F9980"/>
      <c r="G9980"/>
      <c r="H9980"/>
      <c r="I9980"/>
      <c r="J9980"/>
      <c r="K9980" s="1"/>
      <c r="L9980" s="2"/>
    </row>
    <row r="9981" spans="1:12" x14ac:dyDescent="0.2">
      <c r="A9981"/>
      <c r="B9981"/>
      <c r="C9981"/>
      <c r="D9981"/>
      <c r="E9981"/>
      <c r="F9981"/>
      <c r="G9981"/>
      <c r="H9981"/>
      <c r="I9981"/>
      <c r="J9981"/>
      <c r="K9981" s="1"/>
      <c r="L9981" s="2"/>
    </row>
    <row r="9982" spans="1:12" x14ac:dyDescent="0.2">
      <c r="A9982"/>
      <c r="B9982"/>
      <c r="C9982"/>
      <c r="D9982"/>
      <c r="E9982"/>
      <c r="F9982"/>
      <c r="G9982"/>
      <c r="H9982"/>
      <c r="I9982"/>
      <c r="J9982"/>
      <c r="K9982" s="1"/>
      <c r="L9982" s="2"/>
    </row>
    <row r="9983" spans="1:12" x14ac:dyDescent="0.2">
      <c r="A9983"/>
      <c r="B9983"/>
      <c r="C9983"/>
      <c r="D9983"/>
      <c r="E9983"/>
      <c r="F9983"/>
      <c r="G9983"/>
      <c r="H9983"/>
      <c r="I9983"/>
      <c r="J9983"/>
      <c r="K9983" s="1"/>
      <c r="L9983" s="2"/>
    </row>
    <row r="9984" spans="1:12" x14ac:dyDescent="0.2">
      <c r="A9984"/>
      <c r="B9984"/>
      <c r="C9984"/>
      <c r="D9984"/>
      <c r="E9984"/>
      <c r="F9984"/>
      <c r="G9984"/>
      <c r="H9984"/>
      <c r="I9984"/>
      <c r="J9984"/>
      <c r="K9984" s="1"/>
      <c r="L9984" s="2"/>
    </row>
    <row r="9985" spans="1:12" x14ac:dyDescent="0.2">
      <c r="A9985"/>
      <c r="B9985"/>
      <c r="C9985"/>
      <c r="D9985"/>
      <c r="E9985"/>
      <c r="F9985"/>
      <c r="G9985"/>
      <c r="H9985"/>
      <c r="I9985"/>
      <c r="J9985"/>
      <c r="K9985" s="1"/>
      <c r="L9985" s="2"/>
    </row>
    <row r="9986" spans="1:12" x14ac:dyDescent="0.2">
      <c r="A9986"/>
      <c r="B9986"/>
      <c r="C9986"/>
      <c r="D9986"/>
      <c r="E9986"/>
      <c r="F9986"/>
      <c r="G9986"/>
      <c r="H9986"/>
      <c r="I9986"/>
      <c r="J9986"/>
      <c r="K9986" s="1"/>
      <c r="L9986" s="2"/>
    </row>
    <row r="9987" spans="1:12" x14ac:dyDescent="0.2">
      <c r="A9987"/>
      <c r="B9987"/>
      <c r="C9987"/>
      <c r="D9987"/>
      <c r="E9987"/>
      <c r="F9987"/>
      <c r="G9987"/>
      <c r="H9987"/>
      <c r="I9987"/>
      <c r="J9987"/>
      <c r="K9987" s="1"/>
      <c r="L9987" s="2"/>
    </row>
    <row r="9988" spans="1:12" x14ac:dyDescent="0.2">
      <c r="A9988"/>
      <c r="B9988"/>
      <c r="C9988"/>
      <c r="D9988"/>
      <c r="E9988"/>
      <c r="F9988"/>
      <c r="G9988"/>
      <c r="H9988"/>
      <c r="I9988"/>
      <c r="J9988"/>
      <c r="K9988" s="1"/>
      <c r="L9988" s="2"/>
    </row>
    <row r="9989" spans="1:12" x14ac:dyDescent="0.2">
      <c r="A9989"/>
      <c r="B9989"/>
      <c r="C9989"/>
      <c r="D9989"/>
      <c r="E9989"/>
      <c r="F9989"/>
      <c r="G9989"/>
      <c r="H9989"/>
      <c r="I9989"/>
      <c r="J9989"/>
      <c r="K9989" s="1"/>
      <c r="L9989" s="2"/>
    </row>
    <row r="9990" spans="1:12" x14ac:dyDescent="0.2">
      <c r="A9990"/>
      <c r="B9990"/>
      <c r="C9990"/>
      <c r="D9990"/>
      <c r="E9990"/>
      <c r="F9990"/>
      <c r="G9990"/>
      <c r="H9990"/>
      <c r="I9990"/>
      <c r="J9990"/>
      <c r="K9990" s="1"/>
      <c r="L9990" s="2"/>
    </row>
    <row r="9991" spans="1:12" x14ac:dyDescent="0.2">
      <c r="A9991"/>
      <c r="B9991"/>
      <c r="C9991"/>
      <c r="D9991"/>
      <c r="E9991"/>
      <c r="F9991"/>
      <c r="G9991"/>
      <c r="H9991"/>
      <c r="I9991"/>
      <c r="J9991"/>
      <c r="K9991" s="1"/>
      <c r="L9991" s="2"/>
    </row>
    <row r="9992" spans="1:12" x14ac:dyDescent="0.2">
      <c r="A9992"/>
      <c r="B9992"/>
      <c r="C9992"/>
      <c r="D9992"/>
      <c r="E9992"/>
      <c r="F9992"/>
      <c r="G9992"/>
      <c r="H9992"/>
      <c r="I9992"/>
      <c r="J9992"/>
      <c r="K9992" s="1"/>
      <c r="L9992" s="2"/>
    </row>
    <row r="9993" spans="1:12" x14ac:dyDescent="0.2">
      <c r="A9993"/>
      <c r="B9993"/>
      <c r="C9993"/>
      <c r="D9993"/>
      <c r="E9993"/>
      <c r="F9993"/>
      <c r="G9993"/>
      <c r="H9993"/>
      <c r="I9993"/>
      <c r="J9993"/>
      <c r="K9993" s="1"/>
      <c r="L9993" s="2"/>
    </row>
    <row r="9994" spans="1:12" x14ac:dyDescent="0.2">
      <c r="A9994"/>
      <c r="B9994"/>
      <c r="C9994"/>
      <c r="D9994"/>
      <c r="E9994"/>
      <c r="F9994"/>
      <c r="G9994"/>
      <c r="H9994"/>
      <c r="I9994"/>
      <c r="J9994"/>
      <c r="K9994" s="1"/>
      <c r="L9994" s="2"/>
    </row>
    <row r="9995" spans="1:12" x14ac:dyDescent="0.2">
      <c r="A9995"/>
      <c r="B9995"/>
      <c r="C9995"/>
      <c r="D9995"/>
      <c r="E9995"/>
      <c r="F9995"/>
      <c r="G9995"/>
      <c r="H9995"/>
      <c r="I9995"/>
      <c r="J9995"/>
      <c r="K9995" s="1"/>
      <c r="L9995" s="2"/>
    </row>
    <row r="9996" spans="1:12" x14ac:dyDescent="0.2">
      <c r="A9996"/>
      <c r="B9996"/>
      <c r="C9996"/>
      <c r="D9996"/>
      <c r="E9996"/>
      <c r="F9996"/>
      <c r="G9996"/>
      <c r="H9996"/>
      <c r="I9996"/>
      <c r="J9996"/>
      <c r="K9996" s="1"/>
      <c r="L9996" s="2"/>
    </row>
    <row r="9997" spans="1:12" x14ac:dyDescent="0.2">
      <c r="A9997"/>
      <c r="B9997"/>
      <c r="C9997"/>
      <c r="D9997"/>
      <c r="E9997"/>
      <c r="F9997"/>
      <c r="G9997"/>
      <c r="H9997"/>
      <c r="I9997"/>
      <c r="J9997"/>
      <c r="K9997" s="1"/>
      <c r="L9997" s="2"/>
    </row>
    <row r="9998" spans="1:12" x14ac:dyDescent="0.2">
      <c r="A9998"/>
      <c r="B9998"/>
      <c r="C9998"/>
      <c r="D9998"/>
      <c r="E9998"/>
      <c r="F9998"/>
      <c r="G9998"/>
      <c r="H9998"/>
      <c r="I9998"/>
      <c r="J9998"/>
      <c r="K9998" s="1"/>
      <c r="L9998" s="2"/>
    </row>
    <row r="9999" spans="1:12" x14ac:dyDescent="0.2">
      <c r="A9999"/>
      <c r="B9999"/>
      <c r="C9999"/>
      <c r="D9999"/>
      <c r="E9999"/>
      <c r="F9999"/>
      <c r="G9999"/>
      <c r="H9999"/>
      <c r="I9999"/>
      <c r="J9999"/>
      <c r="K9999" s="1"/>
      <c r="L9999" s="2"/>
    </row>
    <row r="10000" spans="1:12" x14ac:dyDescent="0.2">
      <c r="A10000"/>
      <c r="B10000"/>
      <c r="C10000"/>
      <c r="D10000"/>
      <c r="E10000"/>
      <c r="F10000"/>
      <c r="G10000"/>
      <c r="H10000"/>
      <c r="I10000"/>
      <c r="J10000"/>
      <c r="K10000" s="1"/>
      <c r="L10000" s="2"/>
    </row>
    <row r="10001" spans="1:12" x14ac:dyDescent="0.2">
      <c r="A10001"/>
      <c r="B10001"/>
      <c r="C10001"/>
      <c r="D10001"/>
      <c r="E10001"/>
      <c r="F10001"/>
      <c r="G10001"/>
      <c r="H10001"/>
      <c r="I10001"/>
      <c r="J10001"/>
      <c r="K10001" s="1"/>
      <c r="L10001" s="2"/>
    </row>
    <row r="10002" spans="1:12" x14ac:dyDescent="0.2">
      <c r="A10002"/>
      <c r="B10002"/>
      <c r="C10002"/>
      <c r="D10002"/>
      <c r="E10002"/>
      <c r="F10002"/>
      <c r="G10002"/>
      <c r="H10002"/>
      <c r="I10002"/>
      <c r="J10002"/>
      <c r="K10002" s="1"/>
      <c r="L10002" s="2"/>
    </row>
    <row r="10003" spans="1:12" x14ac:dyDescent="0.2">
      <c r="A10003"/>
      <c r="B10003"/>
      <c r="C10003"/>
      <c r="D10003"/>
      <c r="E10003"/>
      <c r="F10003"/>
      <c r="G10003"/>
      <c r="H10003"/>
      <c r="I10003"/>
      <c r="J10003"/>
      <c r="K10003" s="1"/>
      <c r="L10003" s="2"/>
    </row>
    <row r="10004" spans="1:12" x14ac:dyDescent="0.2">
      <c r="A10004"/>
      <c r="B10004"/>
      <c r="C10004"/>
      <c r="D10004"/>
      <c r="E10004"/>
      <c r="F10004"/>
      <c r="G10004"/>
      <c r="H10004"/>
      <c r="I10004"/>
      <c r="J10004"/>
      <c r="K10004" s="1"/>
      <c r="L10004" s="2"/>
    </row>
    <row r="10005" spans="1:12" x14ac:dyDescent="0.2">
      <c r="A10005"/>
      <c r="B10005"/>
      <c r="C10005"/>
      <c r="D10005"/>
      <c r="E10005"/>
      <c r="F10005"/>
      <c r="G10005"/>
      <c r="H10005"/>
      <c r="I10005"/>
      <c r="J10005"/>
      <c r="K10005" s="1"/>
      <c r="L10005" s="2"/>
    </row>
    <row r="10006" spans="1:12" x14ac:dyDescent="0.2">
      <c r="A10006"/>
      <c r="B10006"/>
      <c r="C10006"/>
      <c r="D10006"/>
      <c r="E10006"/>
      <c r="F10006"/>
      <c r="G10006"/>
      <c r="H10006"/>
      <c r="I10006"/>
      <c r="J10006"/>
      <c r="K10006" s="1"/>
      <c r="L10006" s="2"/>
    </row>
    <row r="10007" spans="1:12" x14ac:dyDescent="0.2">
      <c r="A10007"/>
      <c r="B10007"/>
      <c r="C10007"/>
      <c r="D10007"/>
      <c r="E10007"/>
      <c r="F10007"/>
      <c r="G10007"/>
      <c r="H10007"/>
      <c r="I10007"/>
      <c r="J10007"/>
      <c r="K10007" s="1"/>
      <c r="L10007" s="2"/>
    </row>
    <row r="10008" spans="1:12" x14ac:dyDescent="0.2">
      <c r="A10008"/>
      <c r="B10008"/>
      <c r="C10008"/>
      <c r="D10008"/>
      <c r="E10008"/>
      <c r="F10008"/>
      <c r="G10008"/>
      <c r="H10008"/>
      <c r="I10008"/>
      <c r="J10008"/>
      <c r="K10008" s="1"/>
      <c r="L10008" s="2"/>
    </row>
    <row r="10009" spans="1:12" x14ac:dyDescent="0.2">
      <c r="A10009"/>
      <c r="B10009"/>
      <c r="C10009"/>
      <c r="D10009"/>
      <c r="E10009"/>
      <c r="F10009"/>
      <c r="G10009"/>
      <c r="H10009"/>
      <c r="I10009"/>
      <c r="J10009"/>
      <c r="K10009" s="1"/>
      <c r="L10009" s="2"/>
    </row>
    <row r="10010" spans="1:12" x14ac:dyDescent="0.2">
      <c r="A10010"/>
      <c r="B10010"/>
      <c r="C10010"/>
      <c r="D10010"/>
      <c r="E10010"/>
      <c r="F10010"/>
      <c r="G10010"/>
      <c r="H10010"/>
      <c r="I10010"/>
      <c r="J10010"/>
      <c r="K10010" s="1"/>
      <c r="L10010" s="2"/>
    </row>
    <row r="10011" spans="1:12" x14ac:dyDescent="0.2">
      <c r="A10011"/>
      <c r="B10011"/>
      <c r="C10011"/>
      <c r="D10011"/>
      <c r="E10011"/>
      <c r="F10011"/>
      <c r="G10011"/>
      <c r="H10011"/>
      <c r="I10011"/>
      <c r="J10011"/>
      <c r="K10011" s="1"/>
      <c r="L10011" s="2"/>
    </row>
    <row r="10012" spans="1:12" x14ac:dyDescent="0.2">
      <c r="A10012"/>
      <c r="B10012"/>
      <c r="C10012"/>
      <c r="D10012"/>
      <c r="E10012"/>
      <c r="F10012"/>
      <c r="G10012"/>
      <c r="H10012"/>
      <c r="I10012"/>
      <c r="J10012"/>
      <c r="K10012" s="1"/>
      <c r="L10012" s="2"/>
    </row>
    <row r="10013" spans="1:12" x14ac:dyDescent="0.2">
      <c r="A10013"/>
      <c r="B10013"/>
      <c r="C10013"/>
      <c r="D10013"/>
      <c r="E10013"/>
      <c r="F10013"/>
      <c r="G10013"/>
      <c r="H10013"/>
      <c r="I10013"/>
      <c r="J10013"/>
      <c r="K10013" s="1"/>
      <c r="L10013" s="2"/>
    </row>
    <row r="10014" spans="1:12" x14ac:dyDescent="0.2">
      <c r="A10014"/>
      <c r="B10014"/>
      <c r="C10014"/>
      <c r="D10014"/>
      <c r="E10014"/>
      <c r="F10014"/>
      <c r="G10014"/>
      <c r="H10014"/>
      <c r="I10014"/>
      <c r="J10014"/>
      <c r="K10014" s="1"/>
      <c r="L10014" s="2"/>
    </row>
    <row r="10015" spans="1:12" x14ac:dyDescent="0.2">
      <c r="A10015"/>
      <c r="B10015"/>
      <c r="C10015"/>
      <c r="D10015"/>
      <c r="E10015"/>
      <c r="F10015"/>
      <c r="G10015"/>
      <c r="H10015"/>
      <c r="I10015"/>
      <c r="J10015"/>
      <c r="K10015" s="1"/>
      <c r="L10015" s="2"/>
    </row>
    <row r="10016" spans="1:12" x14ac:dyDescent="0.2">
      <c r="A10016"/>
      <c r="B10016"/>
      <c r="C10016"/>
      <c r="D10016"/>
      <c r="E10016"/>
      <c r="F10016"/>
      <c r="G10016"/>
      <c r="H10016"/>
      <c r="I10016"/>
      <c r="J10016"/>
      <c r="K10016" s="1"/>
      <c r="L10016" s="2"/>
    </row>
    <row r="10017" spans="1:12" x14ac:dyDescent="0.2">
      <c r="A10017"/>
      <c r="B10017"/>
      <c r="C10017"/>
      <c r="D10017"/>
      <c r="E10017"/>
      <c r="F10017"/>
      <c r="G10017"/>
      <c r="H10017"/>
      <c r="I10017"/>
      <c r="J10017"/>
      <c r="K10017" s="1"/>
      <c r="L10017" s="2"/>
    </row>
    <row r="10018" spans="1:12" x14ac:dyDescent="0.2">
      <c r="A10018"/>
      <c r="B10018"/>
      <c r="C10018"/>
      <c r="D10018"/>
      <c r="E10018"/>
      <c r="F10018"/>
      <c r="G10018"/>
      <c r="H10018"/>
      <c r="I10018"/>
      <c r="J10018"/>
      <c r="K10018" s="1"/>
      <c r="L10018" s="2"/>
    </row>
    <row r="10019" spans="1:12" x14ac:dyDescent="0.2">
      <c r="A10019"/>
      <c r="B10019"/>
      <c r="C10019"/>
      <c r="D10019"/>
      <c r="E10019"/>
      <c r="F10019"/>
      <c r="G10019"/>
      <c r="H10019"/>
      <c r="I10019"/>
      <c r="J10019"/>
      <c r="K10019" s="1"/>
      <c r="L10019" s="2"/>
    </row>
    <row r="10020" spans="1:12" x14ac:dyDescent="0.2">
      <c r="A10020"/>
      <c r="B10020"/>
      <c r="C10020"/>
      <c r="D10020"/>
      <c r="E10020"/>
      <c r="F10020"/>
      <c r="G10020"/>
      <c r="H10020"/>
      <c r="I10020"/>
      <c r="J10020"/>
      <c r="K10020" s="1"/>
      <c r="L10020" s="2"/>
    </row>
    <row r="10021" spans="1:12" x14ac:dyDescent="0.2">
      <c r="A10021"/>
      <c r="B10021"/>
      <c r="C10021"/>
      <c r="D10021"/>
      <c r="E10021"/>
      <c r="F10021"/>
      <c r="G10021"/>
      <c r="H10021"/>
      <c r="I10021"/>
      <c r="J10021"/>
      <c r="K10021" s="1"/>
      <c r="L10021" s="2"/>
    </row>
    <row r="10022" spans="1:12" x14ac:dyDescent="0.2">
      <c r="A10022"/>
      <c r="B10022"/>
      <c r="C10022"/>
      <c r="D10022"/>
      <c r="E10022"/>
      <c r="F10022"/>
      <c r="G10022"/>
      <c r="H10022"/>
      <c r="I10022"/>
      <c r="J10022"/>
      <c r="K10022" s="1"/>
      <c r="L10022" s="2"/>
    </row>
    <row r="10023" spans="1:12" x14ac:dyDescent="0.2">
      <c r="A10023"/>
      <c r="B10023"/>
      <c r="C10023"/>
      <c r="D10023"/>
      <c r="E10023"/>
      <c r="F10023"/>
      <c r="G10023"/>
      <c r="H10023"/>
      <c r="I10023"/>
      <c r="J10023"/>
      <c r="K10023" s="1"/>
      <c r="L10023" s="2"/>
    </row>
    <row r="10024" spans="1:12" x14ac:dyDescent="0.2">
      <c r="A10024"/>
      <c r="B10024"/>
      <c r="C10024"/>
      <c r="D10024"/>
      <c r="E10024"/>
      <c r="F10024"/>
      <c r="G10024"/>
      <c r="H10024"/>
      <c r="I10024"/>
      <c r="J10024"/>
      <c r="K10024" s="1"/>
      <c r="L10024" s="2"/>
    </row>
    <row r="10025" spans="1:12" x14ac:dyDescent="0.2">
      <c r="A10025"/>
      <c r="B10025"/>
      <c r="C10025"/>
      <c r="D10025"/>
      <c r="E10025"/>
      <c r="F10025"/>
      <c r="G10025"/>
      <c r="H10025"/>
      <c r="I10025"/>
      <c r="J10025"/>
      <c r="K10025" s="1"/>
      <c r="L10025" s="2"/>
    </row>
    <row r="10026" spans="1:12" x14ac:dyDescent="0.2">
      <c r="A10026"/>
      <c r="B10026"/>
      <c r="C10026"/>
      <c r="D10026"/>
      <c r="E10026"/>
      <c r="F10026"/>
      <c r="G10026"/>
      <c r="H10026"/>
      <c r="I10026"/>
      <c r="J10026"/>
      <c r="K10026" s="1"/>
      <c r="L10026" s="2"/>
    </row>
    <row r="10027" spans="1:12" x14ac:dyDescent="0.2">
      <c r="A10027"/>
      <c r="B10027"/>
      <c r="C10027"/>
      <c r="D10027"/>
      <c r="E10027"/>
      <c r="F10027"/>
      <c r="G10027"/>
      <c r="H10027"/>
      <c r="I10027"/>
      <c r="J10027"/>
      <c r="K10027" s="1"/>
      <c r="L10027" s="2"/>
    </row>
    <row r="10028" spans="1:12" x14ac:dyDescent="0.2">
      <c r="A10028"/>
      <c r="B10028"/>
      <c r="C10028"/>
      <c r="D10028"/>
      <c r="E10028"/>
      <c r="F10028"/>
      <c r="G10028"/>
      <c r="H10028"/>
      <c r="I10028"/>
      <c r="J10028"/>
      <c r="K10028" s="1"/>
      <c r="L10028" s="2"/>
    </row>
    <row r="10029" spans="1:12" x14ac:dyDescent="0.2">
      <c r="A10029"/>
      <c r="B10029"/>
      <c r="C10029"/>
      <c r="D10029"/>
      <c r="E10029"/>
      <c r="F10029"/>
      <c r="G10029"/>
      <c r="H10029"/>
      <c r="I10029"/>
      <c r="J10029"/>
      <c r="K10029" s="1"/>
      <c r="L10029" s="2"/>
    </row>
    <row r="10030" spans="1:12" x14ac:dyDescent="0.2">
      <c r="A10030"/>
      <c r="B10030"/>
      <c r="C10030"/>
      <c r="D10030"/>
      <c r="E10030"/>
      <c r="F10030"/>
      <c r="G10030"/>
      <c r="H10030"/>
      <c r="I10030"/>
      <c r="J10030"/>
      <c r="K10030" s="1"/>
      <c r="L10030" s="2"/>
    </row>
    <row r="10031" spans="1:12" x14ac:dyDescent="0.2">
      <c r="A10031"/>
      <c r="B10031"/>
      <c r="C10031"/>
      <c r="D10031"/>
      <c r="E10031"/>
      <c r="F10031"/>
      <c r="G10031"/>
      <c r="H10031"/>
      <c r="I10031"/>
      <c r="J10031"/>
      <c r="K10031" s="1"/>
      <c r="L10031" s="2"/>
    </row>
    <row r="10032" spans="1:12" x14ac:dyDescent="0.2">
      <c r="A10032"/>
      <c r="B10032"/>
      <c r="C10032"/>
      <c r="D10032"/>
      <c r="E10032"/>
      <c r="F10032"/>
      <c r="G10032"/>
      <c r="H10032"/>
      <c r="I10032"/>
      <c r="J10032"/>
      <c r="K10032" s="1"/>
      <c r="L10032" s="2"/>
    </row>
    <row r="10033" spans="1:12" x14ac:dyDescent="0.2">
      <c r="A10033"/>
      <c r="B10033"/>
      <c r="C10033"/>
      <c r="D10033"/>
      <c r="E10033"/>
      <c r="F10033"/>
      <c r="G10033"/>
      <c r="H10033"/>
      <c r="I10033"/>
      <c r="J10033"/>
      <c r="K10033" s="1"/>
      <c r="L10033" s="2"/>
    </row>
    <row r="10034" spans="1:12" x14ac:dyDescent="0.2">
      <c r="A10034"/>
      <c r="B10034"/>
      <c r="C10034"/>
      <c r="D10034"/>
      <c r="E10034"/>
      <c r="F10034"/>
      <c r="G10034"/>
      <c r="H10034"/>
      <c r="I10034"/>
      <c r="J10034"/>
      <c r="K10034" s="1"/>
      <c r="L10034" s="2"/>
    </row>
    <row r="10035" spans="1:12" x14ac:dyDescent="0.2">
      <c r="A10035"/>
      <c r="B10035"/>
      <c r="C10035"/>
      <c r="D10035"/>
      <c r="E10035"/>
      <c r="F10035"/>
      <c r="G10035"/>
      <c r="H10035"/>
      <c r="I10035"/>
      <c r="J10035"/>
      <c r="K10035" s="1"/>
      <c r="L10035" s="2"/>
    </row>
    <row r="10036" spans="1:12" x14ac:dyDescent="0.2">
      <c r="A10036"/>
      <c r="B10036"/>
      <c r="C10036"/>
      <c r="D10036"/>
      <c r="E10036"/>
      <c r="F10036"/>
      <c r="G10036"/>
      <c r="H10036"/>
      <c r="I10036"/>
      <c r="J10036"/>
      <c r="K10036" s="1"/>
      <c r="L10036" s="2"/>
    </row>
    <row r="10037" spans="1:12" x14ac:dyDescent="0.2">
      <c r="A10037"/>
      <c r="B10037"/>
      <c r="C10037"/>
      <c r="D10037"/>
      <c r="E10037"/>
      <c r="F10037"/>
      <c r="G10037"/>
      <c r="H10037"/>
      <c r="I10037"/>
      <c r="J10037"/>
      <c r="K10037" s="1"/>
      <c r="L10037" s="2"/>
    </row>
    <row r="10038" spans="1:12" x14ac:dyDescent="0.2">
      <c r="A10038"/>
      <c r="B10038"/>
      <c r="C10038"/>
      <c r="D10038"/>
      <c r="E10038"/>
      <c r="F10038"/>
      <c r="G10038"/>
      <c r="H10038"/>
      <c r="I10038"/>
      <c r="J10038"/>
      <c r="K10038" s="1"/>
      <c r="L10038" s="2"/>
    </row>
    <row r="10039" spans="1:12" x14ac:dyDescent="0.2">
      <c r="A10039"/>
      <c r="B10039"/>
      <c r="C10039"/>
      <c r="D10039"/>
      <c r="E10039"/>
      <c r="F10039"/>
      <c r="G10039"/>
      <c r="H10039"/>
      <c r="I10039"/>
      <c r="J10039"/>
      <c r="K10039" s="1"/>
      <c r="L10039" s="2"/>
    </row>
    <row r="10040" spans="1:12" x14ac:dyDescent="0.2">
      <c r="A10040"/>
      <c r="B10040"/>
      <c r="C10040"/>
      <c r="D10040"/>
      <c r="E10040"/>
      <c r="F10040"/>
      <c r="G10040"/>
      <c r="H10040"/>
      <c r="I10040"/>
      <c r="J10040"/>
      <c r="K10040" s="1"/>
      <c r="L10040" s="2"/>
    </row>
    <row r="10041" spans="1:12" x14ac:dyDescent="0.2">
      <c r="A10041"/>
      <c r="B10041"/>
      <c r="C10041"/>
      <c r="D10041"/>
      <c r="E10041"/>
      <c r="F10041"/>
      <c r="G10041"/>
      <c r="H10041"/>
      <c r="I10041"/>
      <c r="J10041"/>
      <c r="K10041" s="1"/>
      <c r="L10041" s="2"/>
    </row>
    <row r="10042" spans="1:12" x14ac:dyDescent="0.2">
      <c r="A10042"/>
      <c r="B10042"/>
      <c r="C10042"/>
      <c r="D10042"/>
      <c r="E10042"/>
      <c r="F10042"/>
      <c r="G10042"/>
      <c r="H10042"/>
      <c r="I10042"/>
      <c r="J10042"/>
      <c r="K10042" s="1"/>
      <c r="L10042" s="2"/>
    </row>
    <row r="10043" spans="1:12" x14ac:dyDescent="0.2">
      <c r="A10043"/>
      <c r="B10043"/>
      <c r="C10043"/>
      <c r="D10043"/>
      <c r="E10043"/>
      <c r="F10043"/>
      <c r="G10043"/>
      <c r="H10043"/>
      <c r="I10043"/>
      <c r="J10043"/>
      <c r="K10043" s="1"/>
      <c r="L10043" s="2"/>
    </row>
    <row r="10044" spans="1:12" x14ac:dyDescent="0.2">
      <c r="A10044"/>
      <c r="B10044"/>
      <c r="C10044"/>
      <c r="D10044"/>
      <c r="E10044"/>
      <c r="F10044"/>
      <c r="G10044"/>
      <c r="H10044"/>
      <c r="I10044"/>
      <c r="J10044"/>
      <c r="K10044" s="1"/>
      <c r="L10044" s="2"/>
    </row>
    <row r="10045" spans="1:12" x14ac:dyDescent="0.2">
      <c r="A10045"/>
      <c r="B10045"/>
      <c r="C10045"/>
      <c r="D10045"/>
      <c r="E10045"/>
      <c r="F10045"/>
      <c r="G10045"/>
      <c r="H10045"/>
      <c r="I10045"/>
      <c r="J10045"/>
      <c r="K10045" s="1"/>
      <c r="L10045" s="2"/>
    </row>
    <row r="10046" spans="1:12" x14ac:dyDescent="0.2">
      <c r="A10046"/>
      <c r="B10046"/>
      <c r="C10046"/>
      <c r="D10046"/>
      <c r="E10046"/>
      <c r="F10046"/>
      <c r="G10046"/>
      <c r="H10046"/>
      <c r="I10046"/>
      <c r="J10046"/>
      <c r="K10046" s="1"/>
      <c r="L10046" s="2"/>
    </row>
    <row r="10047" spans="1:12" x14ac:dyDescent="0.2">
      <c r="A10047"/>
      <c r="B10047"/>
      <c r="C10047"/>
      <c r="D10047"/>
      <c r="E10047"/>
      <c r="F10047"/>
      <c r="G10047"/>
      <c r="H10047"/>
      <c r="I10047"/>
      <c r="J10047"/>
      <c r="K10047" s="1"/>
      <c r="L10047" s="2"/>
    </row>
    <row r="10048" spans="1:12" x14ac:dyDescent="0.2">
      <c r="A10048"/>
      <c r="B10048"/>
      <c r="C10048"/>
      <c r="D10048"/>
      <c r="E10048"/>
      <c r="F10048"/>
      <c r="G10048"/>
      <c r="H10048"/>
      <c r="I10048"/>
      <c r="J10048"/>
      <c r="K10048" s="1"/>
      <c r="L10048" s="2"/>
    </row>
    <row r="10049" spans="1:12" x14ac:dyDescent="0.2">
      <c r="A10049"/>
      <c r="B10049"/>
      <c r="C10049"/>
      <c r="D10049"/>
      <c r="E10049"/>
      <c r="F10049"/>
      <c r="G10049"/>
      <c r="H10049"/>
      <c r="I10049"/>
      <c r="J10049"/>
      <c r="K10049" s="1"/>
      <c r="L10049" s="2"/>
    </row>
    <row r="10050" spans="1:12" x14ac:dyDescent="0.2">
      <c r="A10050"/>
      <c r="B10050"/>
      <c r="C10050"/>
      <c r="D10050"/>
      <c r="E10050"/>
      <c r="F10050"/>
      <c r="G10050"/>
      <c r="H10050"/>
      <c r="I10050"/>
      <c r="J10050"/>
      <c r="K10050" s="1"/>
      <c r="L10050" s="2"/>
    </row>
    <row r="10051" spans="1:12" x14ac:dyDescent="0.2">
      <c r="A10051"/>
      <c r="B10051"/>
      <c r="C10051"/>
      <c r="D10051"/>
      <c r="E10051"/>
      <c r="F10051"/>
      <c r="G10051"/>
      <c r="H10051"/>
      <c r="I10051"/>
      <c r="J10051"/>
      <c r="K10051" s="1"/>
      <c r="L10051" s="2"/>
    </row>
    <row r="10052" spans="1:12" x14ac:dyDescent="0.2">
      <c r="A10052"/>
      <c r="B10052"/>
      <c r="C10052"/>
      <c r="D10052"/>
      <c r="E10052"/>
      <c r="F10052"/>
      <c r="G10052"/>
      <c r="H10052"/>
      <c r="I10052"/>
      <c r="J10052"/>
      <c r="K10052" s="1"/>
      <c r="L10052" s="2"/>
    </row>
    <row r="10053" spans="1:12" x14ac:dyDescent="0.2">
      <c r="A10053"/>
      <c r="B10053"/>
      <c r="C10053"/>
      <c r="D10053"/>
      <c r="E10053"/>
      <c r="F10053"/>
      <c r="G10053"/>
      <c r="H10053"/>
      <c r="I10053"/>
      <c r="J10053"/>
      <c r="K10053" s="1"/>
      <c r="L10053" s="2"/>
    </row>
    <row r="10054" spans="1:12" x14ac:dyDescent="0.2">
      <c r="A10054"/>
      <c r="B10054"/>
      <c r="C10054"/>
      <c r="D10054"/>
      <c r="E10054"/>
      <c r="F10054"/>
      <c r="G10054"/>
      <c r="H10054"/>
      <c r="I10054"/>
      <c r="J10054"/>
      <c r="K10054" s="1"/>
      <c r="L10054" s="2"/>
    </row>
    <row r="10055" spans="1:12" x14ac:dyDescent="0.2">
      <c r="A10055"/>
      <c r="B10055"/>
      <c r="C10055"/>
      <c r="D10055"/>
      <c r="E10055"/>
      <c r="F10055"/>
      <c r="G10055"/>
      <c r="H10055"/>
      <c r="I10055"/>
      <c r="J10055"/>
      <c r="K10055" s="1"/>
      <c r="L10055" s="2"/>
    </row>
    <row r="10056" spans="1:12" x14ac:dyDescent="0.2">
      <c r="A10056"/>
      <c r="B10056"/>
      <c r="C10056"/>
      <c r="D10056"/>
      <c r="E10056"/>
      <c r="F10056"/>
      <c r="G10056"/>
      <c r="H10056"/>
      <c r="I10056"/>
      <c r="J10056"/>
      <c r="K10056" s="1"/>
      <c r="L10056" s="2"/>
    </row>
    <row r="10057" spans="1:12" x14ac:dyDescent="0.2">
      <c r="A10057"/>
      <c r="B10057"/>
      <c r="C10057"/>
      <c r="D10057"/>
      <c r="E10057"/>
      <c r="F10057"/>
      <c r="G10057"/>
      <c r="H10057"/>
      <c r="I10057"/>
      <c r="J10057"/>
      <c r="K10057" s="1"/>
      <c r="L10057" s="2"/>
    </row>
    <row r="10058" spans="1:12" x14ac:dyDescent="0.2">
      <c r="A10058"/>
      <c r="B10058"/>
      <c r="C10058"/>
      <c r="D10058"/>
      <c r="E10058"/>
      <c r="F10058"/>
      <c r="G10058"/>
      <c r="H10058"/>
      <c r="I10058"/>
      <c r="J10058"/>
      <c r="K10058" s="1"/>
      <c r="L10058" s="2"/>
    </row>
    <row r="10059" spans="1:12" x14ac:dyDescent="0.2">
      <c r="A10059"/>
      <c r="B10059"/>
      <c r="C10059"/>
      <c r="D10059"/>
      <c r="E10059"/>
      <c r="F10059"/>
      <c r="G10059"/>
      <c r="H10059"/>
      <c r="I10059"/>
      <c r="J10059"/>
      <c r="K10059" s="1"/>
      <c r="L10059" s="2"/>
    </row>
    <row r="10060" spans="1:12" x14ac:dyDescent="0.2">
      <c r="A10060"/>
      <c r="B10060"/>
      <c r="C10060"/>
      <c r="D10060"/>
      <c r="E10060"/>
      <c r="F10060"/>
      <c r="G10060"/>
      <c r="H10060"/>
      <c r="I10060"/>
      <c r="J10060"/>
      <c r="K10060" s="1"/>
      <c r="L10060" s="2"/>
    </row>
    <row r="10061" spans="1:12" x14ac:dyDescent="0.2">
      <c r="A10061"/>
      <c r="B10061"/>
      <c r="C10061"/>
      <c r="D10061"/>
      <c r="E10061"/>
      <c r="F10061"/>
      <c r="G10061"/>
      <c r="H10061"/>
      <c r="I10061"/>
      <c r="J10061"/>
      <c r="K10061" s="1"/>
      <c r="L10061" s="2"/>
    </row>
    <row r="10062" spans="1:12" x14ac:dyDescent="0.2">
      <c r="A10062"/>
      <c r="B10062"/>
      <c r="C10062"/>
      <c r="D10062"/>
      <c r="E10062"/>
      <c r="F10062"/>
      <c r="G10062"/>
      <c r="H10062"/>
      <c r="I10062"/>
      <c r="J10062"/>
      <c r="K10062" s="1"/>
      <c r="L10062" s="2"/>
    </row>
    <row r="10063" spans="1:12" x14ac:dyDescent="0.2">
      <c r="A10063"/>
      <c r="B10063"/>
      <c r="C10063"/>
      <c r="D10063"/>
      <c r="E10063"/>
      <c r="F10063"/>
      <c r="G10063"/>
      <c r="H10063"/>
      <c r="I10063"/>
      <c r="J10063"/>
      <c r="K10063" s="1"/>
      <c r="L10063" s="2"/>
    </row>
    <row r="10064" spans="1:12" x14ac:dyDescent="0.2">
      <c r="A10064"/>
      <c r="B10064"/>
      <c r="C10064"/>
      <c r="D10064"/>
      <c r="E10064"/>
      <c r="F10064"/>
      <c r="G10064"/>
      <c r="H10064"/>
      <c r="I10064"/>
      <c r="J10064"/>
      <c r="K10064" s="1"/>
      <c r="L10064" s="2"/>
    </row>
    <row r="10065" spans="1:12" x14ac:dyDescent="0.2">
      <c r="A10065"/>
      <c r="B10065"/>
      <c r="C10065"/>
      <c r="D10065"/>
      <c r="E10065"/>
      <c r="F10065"/>
      <c r="G10065"/>
      <c r="H10065"/>
      <c r="I10065"/>
      <c r="J10065"/>
      <c r="K10065" s="1"/>
      <c r="L10065" s="2"/>
    </row>
    <row r="10066" spans="1:12" x14ac:dyDescent="0.2">
      <c r="A10066"/>
      <c r="B10066"/>
      <c r="C10066"/>
      <c r="D10066"/>
      <c r="E10066"/>
      <c r="F10066"/>
      <c r="G10066"/>
      <c r="H10066"/>
      <c r="I10066"/>
      <c r="J10066"/>
      <c r="K10066" s="1"/>
      <c r="L10066" s="2"/>
    </row>
    <row r="10067" spans="1:12" x14ac:dyDescent="0.2">
      <c r="A10067"/>
      <c r="B10067"/>
      <c r="C10067"/>
      <c r="D10067"/>
      <c r="E10067"/>
      <c r="F10067"/>
      <c r="G10067"/>
      <c r="H10067"/>
      <c r="I10067"/>
      <c r="J10067"/>
      <c r="K10067" s="1"/>
      <c r="L10067" s="2"/>
    </row>
    <row r="10068" spans="1:12" x14ac:dyDescent="0.2">
      <c r="A10068"/>
      <c r="B10068"/>
      <c r="C10068"/>
      <c r="D10068"/>
      <c r="E10068"/>
      <c r="F10068"/>
      <c r="G10068"/>
      <c r="H10068"/>
      <c r="I10068"/>
      <c r="J10068"/>
      <c r="K10068" s="1"/>
      <c r="L10068" s="2"/>
    </row>
    <row r="10069" spans="1:12" x14ac:dyDescent="0.2">
      <c r="A10069"/>
      <c r="B10069"/>
      <c r="C10069"/>
      <c r="D10069"/>
      <c r="E10069"/>
      <c r="F10069"/>
      <c r="G10069"/>
      <c r="H10069"/>
      <c r="I10069"/>
      <c r="J10069"/>
      <c r="K10069" s="1"/>
      <c r="L10069" s="2"/>
    </row>
    <row r="10070" spans="1:12" x14ac:dyDescent="0.2">
      <c r="A10070"/>
      <c r="B10070"/>
      <c r="C10070"/>
      <c r="D10070"/>
      <c r="E10070"/>
      <c r="F10070"/>
      <c r="G10070"/>
      <c r="H10070"/>
      <c r="I10070"/>
      <c r="J10070"/>
      <c r="K10070" s="1"/>
      <c r="L10070" s="2"/>
    </row>
    <row r="10071" spans="1:12" x14ac:dyDescent="0.2">
      <c r="A10071"/>
      <c r="B10071"/>
      <c r="C10071"/>
      <c r="D10071"/>
      <c r="E10071"/>
      <c r="F10071"/>
      <c r="G10071"/>
      <c r="H10071"/>
      <c r="I10071"/>
      <c r="J10071"/>
      <c r="K10071" s="1"/>
      <c r="L10071" s="2"/>
    </row>
    <row r="10072" spans="1:12" x14ac:dyDescent="0.2">
      <c r="A10072"/>
      <c r="B10072"/>
      <c r="C10072"/>
      <c r="D10072"/>
      <c r="E10072"/>
      <c r="F10072"/>
      <c r="G10072"/>
      <c r="H10072"/>
      <c r="I10072"/>
      <c r="J10072"/>
      <c r="K10072" s="1"/>
      <c r="L10072" s="2"/>
    </row>
    <row r="10073" spans="1:12" x14ac:dyDescent="0.2">
      <c r="A10073"/>
      <c r="B10073"/>
      <c r="C10073"/>
      <c r="D10073"/>
      <c r="E10073"/>
      <c r="F10073"/>
      <c r="G10073"/>
      <c r="H10073"/>
      <c r="I10073"/>
      <c r="J10073"/>
      <c r="K10073" s="1"/>
      <c r="L10073" s="2"/>
    </row>
    <row r="10074" spans="1:12" x14ac:dyDescent="0.2">
      <c r="A10074"/>
      <c r="B10074"/>
      <c r="C10074"/>
      <c r="D10074"/>
      <c r="E10074"/>
      <c r="F10074"/>
      <c r="G10074"/>
      <c r="H10074"/>
      <c r="I10074"/>
      <c r="J10074"/>
      <c r="K10074" s="1"/>
      <c r="L10074" s="2"/>
    </row>
    <row r="10075" spans="1:12" x14ac:dyDescent="0.2">
      <c r="A10075"/>
      <c r="B10075"/>
      <c r="C10075"/>
      <c r="D10075"/>
      <c r="E10075"/>
      <c r="F10075"/>
      <c r="G10075"/>
      <c r="H10075"/>
      <c r="I10075"/>
      <c r="J10075"/>
      <c r="K10075" s="1"/>
      <c r="L10075" s="2"/>
    </row>
    <row r="10076" spans="1:12" x14ac:dyDescent="0.2">
      <c r="A10076"/>
      <c r="B10076"/>
      <c r="C10076"/>
      <c r="D10076"/>
      <c r="E10076"/>
      <c r="F10076"/>
      <c r="G10076"/>
      <c r="H10076"/>
      <c r="I10076"/>
      <c r="J10076"/>
      <c r="K10076" s="1"/>
      <c r="L10076" s="2"/>
    </row>
    <row r="10077" spans="1:12" x14ac:dyDescent="0.2">
      <c r="A10077"/>
      <c r="B10077"/>
      <c r="C10077"/>
      <c r="D10077"/>
      <c r="E10077"/>
      <c r="F10077"/>
      <c r="G10077"/>
      <c r="H10077"/>
      <c r="I10077"/>
      <c r="J10077"/>
      <c r="K10077" s="1"/>
      <c r="L10077" s="2"/>
    </row>
    <row r="10078" spans="1:12" x14ac:dyDescent="0.2">
      <c r="A10078"/>
      <c r="B10078"/>
      <c r="C10078"/>
      <c r="D10078"/>
      <c r="E10078"/>
      <c r="F10078"/>
      <c r="G10078"/>
      <c r="H10078"/>
      <c r="I10078"/>
      <c r="J10078"/>
      <c r="K10078" s="1"/>
      <c r="L10078" s="2"/>
    </row>
    <row r="10079" spans="1:12" x14ac:dyDescent="0.2">
      <c r="A10079"/>
      <c r="B10079"/>
      <c r="C10079"/>
      <c r="D10079"/>
      <c r="E10079"/>
      <c r="F10079"/>
      <c r="G10079"/>
      <c r="H10079"/>
      <c r="I10079"/>
      <c r="J10079"/>
      <c r="K10079" s="1"/>
      <c r="L10079" s="2"/>
    </row>
    <row r="10080" spans="1:12" x14ac:dyDescent="0.2">
      <c r="A10080"/>
      <c r="B10080"/>
      <c r="C10080"/>
      <c r="D10080"/>
      <c r="E10080"/>
      <c r="F10080"/>
      <c r="G10080"/>
      <c r="H10080"/>
      <c r="I10080"/>
      <c r="J10080"/>
      <c r="K10080" s="1"/>
      <c r="L10080" s="2"/>
    </row>
    <row r="10081" spans="1:12" x14ac:dyDescent="0.2">
      <c r="A10081"/>
      <c r="B10081"/>
      <c r="C10081"/>
      <c r="D10081"/>
      <c r="E10081"/>
      <c r="F10081"/>
      <c r="G10081"/>
      <c r="H10081"/>
      <c r="I10081"/>
      <c r="J10081"/>
      <c r="K10081" s="1"/>
      <c r="L10081" s="2"/>
    </row>
    <row r="10082" spans="1:12" x14ac:dyDescent="0.2">
      <c r="A10082"/>
      <c r="B10082"/>
      <c r="C10082"/>
      <c r="D10082"/>
      <c r="E10082"/>
      <c r="F10082"/>
      <c r="G10082"/>
      <c r="H10082"/>
      <c r="I10082"/>
      <c r="J10082"/>
      <c r="K10082" s="1"/>
      <c r="L10082" s="2"/>
    </row>
    <row r="10083" spans="1:12" x14ac:dyDescent="0.2">
      <c r="A10083"/>
      <c r="B10083"/>
      <c r="C10083"/>
      <c r="D10083"/>
      <c r="E10083"/>
      <c r="F10083"/>
      <c r="G10083"/>
      <c r="H10083"/>
      <c r="I10083"/>
      <c r="J10083"/>
      <c r="K10083" s="1"/>
      <c r="L10083" s="2"/>
    </row>
    <row r="10084" spans="1:12" x14ac:dyDescent="0.2">
      <c r="A10084"/>
      <c r="B10084"/>
      <c r="C10084"/>
      <c r="D10084"/>
      <c r="E10084"/>
      <c r="F10084"/>
      <c r="G10084"/>
      <c r="H10084"/>
      <c r="I10084"/>
      <c r="J10084"/>
      <c r="K10084" s="1"/>
      <c r="L10084" s="2"/>
    </row>
    <row r="10085" spans="1:12" x14ac:dyDescent="0.2">
      <c r="A10085"/>
      <c r="B10085"/>
      <c r="C10085"/>
      <c r="D10085"/>
      <c r="E10085"/>
      <c r="F10085"/>
      <c r="G10085"/>
      <c r="H10085"/>
      <c r="I10085"/>
      <c r="J10085"/>
      <c r="K10085" s="1"/>
      <c r="L10085" s="2"/>
    </row>
    <row r="10086" spans="1:12" x14ac:dyDescent="0.2">
      <c r="A10086"/>
      <c r="B10086"/>
      <c r="C10086"/>
      <c r="D10086"/>
      <c r="E10086"/>
      <c r="F10086"/>
      <c r="G10086"/>
      <c r="H10086"/>
      <c r="I10086"/>
      <c r="J10086"/>
      <c r="K10086" s="1"/>
      <c r="L10086" s="2"/>
    </row>
    <row r="10087" spans="1:12" x14ac:dyDescent="0.2">
      <c r="A10087"/>
      <c r="B10087"/>
      <c r="C10087"/>
      <c r="D10087"/>
      <c r="E10087"/>
      <c r="F10087"/>
      <c r="G10087"/>
      <c r="H10087"/>
      <c r="I10087"/>
      <c r="J10087"/>
      <c r="K10087" s="1"/>
      <c r="L10087" s="2"/>
    </row>
    <row r="10088" spans="1:12" x14ac:dyDescent="0.2">
      <c r="A10088"/>
      <c r="B10088"/>
      <c r="C10088"/>
      <c r="D10088"/>
      <c r="E10088"/>
      <c r="F10088"/>
      <c r="G10088"/>
      <c r="H10088"/>
      <c r="I10088"/>
      <c r="J10088"/>
      <c r="K10088" s="1"/>
      <c r="L10088" s="2"/>
    </row>
    <row r="10089" spans="1:12" x14ac:dyDescent="0.2">
      <c r="A10089"/>
      <c r="B10089"/>
      <c r="C10089"/>
      <c r="D10089"/>
      <c r="E10089"/>
      <c r="F10089"/>
      <c r="G10089"/>
      <c r="H10089"/>
      <c r="I10089"/>
      <c r="J10089"/>
      <c r="K10089" s="1"/>
      <c r="L10089" s="2"/>
    </row>
    <row r="10090" spans="1:12" x14ac:dyDescent="0.2">
      <c r="A10090"/>
      <c r="B10090"/>
      <c r="C10090"/>
      <c r="D10090"/>
      <c r="E10090"/>
      <c r="F10090"/>
      <c r="G10090"/>
      <c r="H10090"/>
      <c r="I10090"/>
      <c r="J10090"/>
      <c r="K10090" s="1"/>
      <c r="L10090" s="2"/>
    </row>
    <row r="10091" spans="1:12" x14ac:dyDescent="0.2">
      <c r="A10091"/>
      <c r="B10091"/>
      <c r="C10091"/>
      <c r="D10091"/>
      <c r="E10091"/>
      <c r="F10091"/>
      <c r="G10091"/>
      <c r="H10091"/>
      <c r="I10091"/>
      <c r="J10091"/>
      <c r="K10091" s="1"/>
      <c r="L10091" s="2"/>
    </row>
    <row r="10092" spans="1:12" x14ac:dyDescent="0.2">
      <c r="A10092"/>
      <c r="B10092"/>
      <c r="C10092"/>
      <c r="D10092"/>
      <c r="E10092"/>
      <c r="F10092"/>
      <c r="G10092"/>
      <c r="H10092"/>
      <c r="I10092"/>
      <c r="J10092"/>
      <c r="K10092" s="1"/>
      <c r="L10092" s="2"/>
    </row>
    <row r="10093" spans="1:12" x14ac:dyDescent="0.2">
      <c r="A10093"/>
      <c r="B10093"/>
      <c r="C10093"/>
      <c r="D10093"/>
      <c r="E10093"/>
      <c r="F10093"/>
      <c r="G10093"/>
      <c r="H10093"/>
      <c r="I10093"/>
      <c r="J10093"/>
      <c r="K10093" s="1"/>
      <c r="L10093" s="2"/>
    </row>
    <row r="10094" spans="1:12" x14ac:dyDescent="0.2">
      <c r="A10094"/>
      <c r="B10094"/>
      <c r="C10094"/>
      <c r="D10094"/>
      <c r="E10094"/>
      <c r="F10094"/>
      <c r="G10094"/>
      <c r="H10094"/>
      <c r="I10094"/>
      <c r="J10094"/>
      <c r="K10094" s="1"/>
      <c r="L10094" s="2"/>
    </row>
    <row r="10095" spans="1:12" x14ac:dyDescent="0.2">
      <c r="A10095"/>
      <c r="B10095"/>
      <c r="C10095"/>
      <c r="D10095"/>
      <c r="E10095"/>
      <c r="F10095"/>
      <c r="G10095"/>
      <c r="H10095"/>
      <c r="I10095"/>
      <c r="J10095"/>
      <c r="K10095" s="1"/>
      <c r="L10095" s="2"/>
    </row>
    <row r="10096" spans="1:12" x14ac:dyDescent="0.2">
      <c r="A10096"/>
      <c r="B10096"/>
      <c r="C10096"/>
      <c r="D10096"/>
      <c r="E10096"/>
      <c r="F10096"/>
      <c r="G10096"/>
      <c r="H10096"/>
      <c r="I10096"/>
      <c r="J10096"/>
      <c r="K10096" s="1"/>
      <c r="L10096" s="2"/>
    </row>
    <row r="10097" spans="1:12" x14ac:dyDescent="0.2">
      <c r="A10097"/>
      <c r="B10097"/>
      <c r="C10097"/>
      <c r="D10097"/>
      <c r="E10097"/>
      <c r="F10097"/>
      <c r="G10097"/>
      <c r="H10097"/>
      <c r="I10097"/>
      <c r="J10097"/>
      <c r="K10097" s="1"/>
      <c r="L10097" s="2"/>
    </row>
    <row r="10098" spans="1:12" x14ac:dyDescent="0.2">
      <c r="A10098"/>
      <c r="B10098"/>
      <c r="C10098"/>
      <c r="D10098"/>
      <c r="E10098"/>
      <c r="F10098"/>
      <c r="G10098"/>
      <c r="H10098"/>
      <c r="I10098"/>
      <c r="J10098"/>
      <c r="K10098" s="1"/>
      <c r="L10098" s="2"/>
    </row>
    <row r="10099" spans="1:12" x14ac:dyDescent="0.2">
      <c r="A10099"/>
      <c r="B10099"/>
      <c r="C10099"/>
      <c r="D10099"/>
      <c r="E10099"/>
      <c r="F10099"/>
      <c r="G10099"/>
      <c r="H10099"/>
      <c r="I10099"/>
      <c r="J10099"/>
      <c r="K10099" s="1"/>
      <c r="L10099" s="2"/>
    </row>
    <row r="10100" spans="1:12" x14ac:dyDescent="0.2">
      <c r="A10100"/>
      <c r="B10100"/>
      <c r="C10100"/>
      <c r="D10100"/>
      <c r="E10100"/>
      <c r="F10100"/>
      <c r="G10100"/>
      <c r="H10100"/>
      <c r="I10100"/>
      <c r="J10100"/>
      <c r="K10100" s="1"/>
      <c r="L10100" s="2"/>
    </row>
    <row r="10101" spans="1:12" x14ac:dyDescent="0.2">
      <c r="A10101"/>
      <c r="B10101"/>
      <c r="C10101"/>
      <c r="D10101"/>
      <c r="E10101"/>
      <c r="F10101"/>
      <c r="G10101"/>
      <c r="H10101"/>
      <c r="I10101"/>
      <c r="J10101"/>
      <c r="K10101" s="1"/>
      <c r="L10101" s="2"/>
    </row>
    <row r="10102" spans="1:12" x14ac:dyDescent="0.2">
      <c r="A10102"/>
      <c r="B10102"/>
      <c r="C10102"/>
      <c r="D10102"/>
      <c r="E10102"/>
      <c r="F10102"/>
      <c r="G10102"/>
      <c r="H10102"/>
      <c r="I10102"/>
      <c r="J10102"/>
      <c r="K10102" s="1"/>
      <c r="L10102" s="2"/>
    </row>
    <row r="10103" spans="1:12" x14ac:dyDescent="0.2">
      <c r="A10103"/>
      <c r="B10103"/>
      <c r="C10103"/>
      <c r="D10103"/>
      <c r="E10103"/>
      <c r="F10103"/>
      <c r="G10103"/>
      <c r="H10103"/>
      <c r="I10103"/>
      <c r="J10103"/>
      <c r="K10103" s="1"/>
      <c r="L10103" s="2"/>
    </row>
    <row r="10104" spans="1:12" x14ac:dyDescent="0.2">
      <c r="A10104"/>
      <c r="B10104"/>
      <c r="C10104"/>
      <c r="D10104"/>
      <c r="E10104"/>
      <c r="F10104"/>
      <c r="G10104"/>
      <c r="H10104"/>
      <c r="I10104"/>
      <c r="J10104"/>
      <c r="K10104" s="1"/>
      <c r="L10104" s="2"/>
    </row>
    <row r="10105" spans="1:12" x14ac:dyDescent="0.2">
      <c r="A10105"/>
      <c r="B10105"/>
      <c r="C10105"/>
      <c r="D10105"/>
      <c r="E10105"/>
      <c r="F10105"/>
      <c r="G10105"/>
      <c r="H10105"/>
      <c r="I10105"/>
      <c r="J10105"/>
      <c r="K10105" s="1"/>
      <c r="L10105" s="2"/>
    </row>
    <row r="10106" spans="1:12" x14ac:dyDescent="0.2">
      <c r="A10106"/>
      <c r="B10106"/>
      <c r="C10106"/>
      <c r="D10106"/>
      <c r="E10106"/>
      <c r="F10106"/>
      <c r="G10106"/>
      <c r="H10106"/>
      <c r="I10106"/>
      <c r="J10106"/>
      <c r="K10106" s="1"/>
      <c r="L10106" s="2"/>
    </row>
    <row r="10107" spans="1:12" x14ac:dyDescent="0.2">
      <c r="A10107"/>
      <c r="B10107"/>
      <c r="C10107"/>
      <c r="D10107"/>
      <c r="E10107"/>
      <c r="F10107"/>
      <c r="G10107"/>
      <c r="H10107"/>
      <c r="I10107"/>
      <c r="J10107"/>
      <c r="K10107" s="1"/>
      <c r="L10107" s="2"/>
    </row>
    <row r="10108" spans="1:12" x14ac:dyDescent="0.2">
      <c r="A10108"/>
      <c r="B10108"/>
      <c r="C10108"/>
      <c r="D10108"/>
      <c r="E10108"/>
      <c r="F10108"/>
      <c r="G10108"/>
      <c r="H10108"/>
      <c r="I10108"/>
      <c r="J10108"/>
      <c r="K10108" s="1"/>
      <c r="L10108" s="2"/>
    </row>
    <row r="10109" spans="1:12" x14ac:dyDescent="0.2">
      <c r="A10109"/>
      <c r="B10109"/>
      <c r="C10109"/>
      <c r="D10109"/>
      <c r="E10109"/>
      <c r="F10109"/>
      <c r="G10109"/>
      <c r="H10109"/>
      <c r="I10109"/>
      <c r="J10109"/>
      <c r="K10109" s="1"/>
      <c r="L10109" s="2"/>
    </row>
    <row r="10110" spans="1:12" x14ac:dyDescent="0.2">
      <c r="A10110"/>
      <c r="B10110"/>
      <c r="C10110"/>
      <c r="D10110"/>
      <c r="E10110"/>
      <c r="F10110"/>
      <c r="G10110"/>
      <c r="H10110"/>
      <c r="I10110"/>
      <c r="J10110"/>
      <c r="K10110" s="1"/>
      <c r="L10110" s="2"/>
    </row>
    <row r="10111" spans="1:12" x14ac:dyDescent="0.2">
      <c r="A10111"/>
      <c r="B10111"/>
      <c r="C10111"/>
      <c r="D10111"/>
      <c r="E10111"/>
      <c r="F10111"/>
      <c r="G10111"/>
      <c r="H10111"/>
      <c r="I10111"/>
      <c r="J10111"/>
      <c r="K10111" s="1"/>
      <c r="L10111" s="2"/>
    </row>
    <row r="10112" spans="1:12" x14ac:dyDescent="0.2">
      <c r="A10112"/>
      <c r="B10112"/>
      <c r="C10112"/>
      <c r="D10112"/>
      <c r="E10112"/>
      <c r="F10112"/>
      <c r="G10112"/>
      <c r="H10112"/>
      <c r="I10112"/>
      <c r="J10112"/>
      <c r="K10112" s="1"/>
      <c r="L10112" s="2"/>
    </row>
    <row r="10113" spans="1:12" x14ac:dyDescent="0.2">
      <c r="A10113"/>
      <c r="B10113"/>
      <c r="C10113"/>
      <c r="D10113"/>
      <c r="E10113"/>
      <c r="F10113"/>
      <c r="G10113"/>
      <c r="H10113"/>
      <c r="I10113"/>
      <c r="J10113"/>
      <c r="K10113" s="1"/>
      <c r="L10113" s="2"/>
    </row>
    <row r="10114" spans="1:12" x14ac:dyDescent="0.2">
      <c r="A10114"/>
      <c r="B10114"/>
      <c r="C10114"/>
      <c r="D10114"/>
      <c r="E10114"/>
      <c r="F10114"/>
      <c r="G10114"/>
      <c r="H10114"/>
      <c r="I10114"/>
      <c r="J10114"/>
      <c r="K10114" s="1"/>
      <c r="L10114" s="2"/>
    </row>
    <row r="10115" spans="1:12" x14ac:dyDescent="0.2">
      <c r="A10115"/>
      <c r="B10115"/>
      <c r="C10115"/>
      <c r="D10115"/>
      <c r="E10115"/>
      <c r="F10115"/>
      <c r="G10115"/>
      <c r="H10115"/>
      <c r="I10115"/>
      <c r="J10115"/>
      <c r="K10115" s="1"/>
      <c r="L10115" s="2"/>
    </row>
    <row r="10116" spans="1:12" x14ac:dyDescent="0.2">
      <c r="A10116"/>
      <c r="B10116"/>
      <c r="C10116"/>
      <c r="D10116"/>
      <c r="E10116"/>
      <c r="F10116"/>
      <c r="G10116"/>
      <c r="H10116"/>
      <c r="I10116"/>
      <c r="J10116"/>
      <c r="K10116" s="1"/>
      <c r="L10116" s="2"/>
    </row>
    <row r="10117" spans="1:12" x14ac:dyDescent="0.2">
      <c r="A10117"/>
      <c r="B10117"/>
      <c r="C10117"/>
      <c r="D10117"/>
      <c r="E10117"/>
      <c r="F10117"/>
      <c r="G10117"/>
      <c r="H10117"/>
      <c r="I10117"/>
      <c r="J10117"/>
      <c r="K10117" s="1"/>
      <c r="L10117" s="2"/>
    </row>
    <row r="10118" spans="1:12" x14ac:dyDescent="0.2">
      <c r="A10118"/>
      <c r="B10118"/>
      <c r="C10118"/>
      <c r="D10118"/>
      <c r="E10118"/>
      <c r="F10118"/>
      <c r="G10118"/>
      <c r="H10118"/>
      <c r="I10118"/>
      <c r="J10118"/>
      <c r="K10118" s="1"/>
      <c r="L10118" s="2"/>
    </row>
    <row r="10119" spans="1:12" x14ac:dyDescent="0.2">
      <c r="A10119"/>
      <c r="B10119"/>
      <c r="C10119"/>
      <c r="D10119"/>
      <c r="E10119"/>
      <c r="F10119"/>
      <c r="G10119"/>
      <c r="H10119"/>
      <c r="I10119"/>
      <c r="J10119"/>
      <c r="K10119" s="1"/>
      <c r="L10119" s="2"/>
    </row>
    <row r="10120" spans="1:12" x14ac:dyDescent="0.2">
      <c r="A10120"/>
      <c r="B10120"/>
      <c r="C10120"/>
      <c r="D10120"/>
      <c r="E10120"/>
      <c r="F10120"/>
      <c r="G10120"/>
      <c r="H10120"/>
      <c r="I10120"/>
      <c r="J10120"/>
      <c r="K10120" s="1"/>
      <c r="L10120" s="2"/>
    </row>
    <row r="10121" spans="1:12" x14ac:dyDescent="0.2">
      <c r="A10121"/>
      <c r="B10121"/>
      <c r="C10121"/>
      <c r="D10121"/>
      <c r="E10121"/>
      <c r="F10121"/>
      <c r="G10121"/>
      <c r="H10121"/>
      <c r="I10121"/>
      <c r="J10121"/>
      <c r="K10121" s="1"/>
      <c r="L10121" s="2"/>
    </row>
    <row r="10122" spans="1:12" x14ac:dyDescent="0.2">
      <c r="A10122"/>
      <c r="B10122"/>
      <c r="C10122"/>
      <c r="D10122"/>
      <c r="E10122"/>
      <c r="F10122"/>
      <c r="G10122"/>
      <c r="H10122"/>
      <c r="I10122"/>
      <c r="J10122"/>
      <c r="K10122" s="1"/>
      <c r="L10122" s="2"/>
    </row>
    <row r="10123" spans="1:12" x14ac:dyDescent="0.2">
      <c r="A10123"/>
      <c r="B10123"/>
      <c r="C10123"/>
      <c r="D10123"/>
      <c r="E10123"/>
      <c r="F10123"/>
      <c r="G10123"/>
      <c r="H10123"/>
      <c r="I10123"/>
      <c r="J10123"/>
      <c r="K10123" s="1"/>
      <c r="L10123" s="2"/>
    </row>
    <row r="10124" spans="1:12" x14ac:dyDescent="0.2">
      <c r="A10124"/>
      <c r="B10124"/>
      <c r="C10124"/>
      <c r="D10124"/>
      <c r="E10124"/>
      <c r="F10124"/>
      <c r="G10124"/>
      <c r="H10124"/>
      <c r="I10124"/>
      <c r="J10124"/>
      <c r="K10124" s="1"/>
      <c r="L10124" s="2"/>
    </row>
    <row r="10125" spans="1:12" x14ac:dyDescent="0.2">
      <c r="A10125"/>
      <c r="B10125"/>
      <c r="C10125"/>
      <c r="D10125"/>
      <c r="E10125"/>
      <c r="F10125"/>
      <c r="G10125"/>
      <c r="H10125"/>
      <c r="I10125"/>
      <c r="J10125"/>
      <c r="K10125" s="1"/>
      <c r="L10125" s="2"/>
    </row>
    <row r="10126" spans="1:12" x14ac:dyDescent="0.2">
      <c r="A10126"/>
      <c r="B10126"/>
      <c r="C10126"/>
      <c r="D10126"/>
      <c r="E10126"/>
      <c r="F10126"/>
      <c r="G10126"/>
      <c r="H10126"/>
      <c r="I10126"/>
      <c r="J10126"/>
      <c r="K10126" s="1"/>
      <c r="L10126" s="2"/>
    </row>
    <row r="10127" spans="1:12" x14ac:dyDescent="0.2">
      <c r="A10127"/>
      <c r="B10127"/>
      <c r="C10127"/>
      <c r="D10127"/>
      <c r="E10127"/>
      <c r="F10127"/>
      <c r="G10127"/>
      <c r="H10127"/>
      <c r="I10127"/>
      <c r="J10127"/>
      <c r="K10127" s="1"/>
      <c r="L10127" s="2"/>
    </row>
    <row r="10128" spans="1:12" x14ac:dyDescent="0.2">
      <c r="A10128"/>
      <c r="B10128"/>
      <c r="C10128"/>
      <c r="D10128"/>
      <c r="E10128"/>
      <c r="F10128"/>
      <c r="G10128"/>
      <c r="H10128"/>
      <c r="I10128"/>
      <c r="J10128"/>
      <c r="K10128" s="1"/>
      <c r="L10128" s="2"/>
    </row>
    <row r="10129" spans="1:12" x14ac:dyDescent="0.2">
      <c r="A10129"/>
      <c r="B10129"/>
      <c r="C10129"/>
      <c r="D10129"/>
      <c r="E10129"/>
      <c r="F10129"/>
      <c r="G10129"/>
      <c r="H10129"/>
      <c r="I10129"/>
      <c r="J10129"/>
      <c r="K10129" s="1"/>
      <c r="L10129" s="2"/>
    </row>
    <row r="10130" spans="1:12" x14ac:dyDescent="0.2">
      <c r="A10130"/>
      <c r="B10130"/>
      <c r="C10130"/>
      <c r="D10130"/>
      <c r="E10130"/>
      <c r="F10130"/>
      <c r="G10130"/>
      <c r="H10130"/>
      <c r="I10130"/>
      <c r="J10130"/>
      <c r="K10130" s="1"/>
      <c r="L10130" s="2"/>
    </row>
    <row r="10131" spans="1:12" x14ac:dyDescent="0.2">
      <c r="A10131"/>
      <c r="B10131"/>
      <c r="C10131"/>
      <c r="D10131"/>
      <c r="E10131"/>
      <c r="F10131"/>
      <c r="G10131"/>
      <c r="H10131"/>
      <c r="I10131"/>
      <c r="J10131"/>
      <c r="K10131" s="1"/>
      <c r="L10131" s="2"/>
    </row>
    <row r="10132" spans="1:12" x14ac:dyDescent="0.2">
      <c r="A10132"/>
      <c r="B10132"/>
      <c r="C10132"/>
      <c r="D10132"/>
      <c r="E10132"/>
      <c r="F10132"/>
      <c r="G10132"/>
      <c r="H10132"/>
      <c r="I10132"/>
      <c r="J10132"/>
      <c r="K10132" s="1"/>
      <c r="L10132" s="2"/>
    </row>
    <row r="10133" spans="1:12" x14ac:dyDescent="0.2">
      <c r="A10133"/>
      <c r="B10133"/>
      <c r="C10133"/>
      <c r="D10133"/>
      <c r="E10133"/>
      <c r="F10133"/>
      <c r="G10133"/>
      <c r="H10133"/>
      <c r="I10133"/>
      <c r="J10133"/>
      <c r="K10133" s="1"/>
      <c r="L10133" s="2"/>
    </row>
    <row r="10134" spans="1:12" x14ac:dyDescent="0.2">
      <c r="A10134"/>
      <c r="B10134"/>
      <c r="C10134"/>
      <c r="D10134"/>
      <c r="E10134"/>
      <c r="F10134"/>
      <c r="G10134"/>
      <c r="H10134"/>
      <c r="I10134"/>
      <c r="J10134"/>
      <c r="K10134" s="1"/>
      <c r="L10134" s="2"/>
    </row>
    <row r="10135" spans="1:12" x14ac:dyDescent="0.2">
      <c r="A10135"/>
      <c r="B10135"/>
      <c r="C10135"/>
      <c r="D10135"/>
      <c r="E10135"/>
      <c r="F10135"/>
      <c r="G10135"/>
      <c r="H10135"/>
      <c r="I10135"/>
      <c r="J10135"/>
      <c r="K10135" s="1"/>
      <c r="L10135" s="2"/>
    </row>
    <row r="10136" spans="1:12" x14ac:dyDescent="0.2">
      <c r="A10136"/>
      <c r="B10136"/>
      <c r="C10136"/>
      <c r="D10136"/>
      <c r="E10136"/>
      <c r="F10136"/>
      <c r="G10136"/>
      <c r="H10136"/>
      <c r="I10136"/>
      <c r="J10136"/>
      <c r="K10136" s="1"/>
      <c r="L10136" s="2"/>
    </row>
    <row r="10137" spans="1:12" x14ac:dyDescent="0.2">
      <c r="A10137"/>
      <c r="B10137"/>
      <c r="C10137"/>
      <c r="D10137"/>
      <c r="E10137"/>
      <c r="F10137"/>
      <c r="G10137"/>
      <c r="H10137"/>
      <c r="I10137"/>
      <c r="J10137"/>
      <c r="K10137" s="1"/>
      <c r="L10137" s="2"/>
    </row>
    <row r="10138" spans="1:12" x14ac:dyDescent="0.2">
      <c r="A10138"/>
      <c r="B10138"/>
      <c r="C10138"/>
      <c r="D10138"/>
      <c r="E10138"/>
      <c r="F10138"/>
      <c r="G10138"/>
      <c r="H10138"/>
      <c r="I10138"/>
      <c r="J10138"/>
      <c r="K10138" s="1"/>
      <c r="L10138" s="2"/>
    </row>
    <row r="10139" spans="1:12" x14ac:dyDescent="0.2">
      <c r="A10139"/>
      <c r="B10139"/>
      <c r="C10139"/>
      <c r="D10139"/>
      <c r="E10139"/>
      <c r="F10139"/>
      <c r="G10139"/>
      <c r="H10139"/>
      <c r="I10139"/>
      <c r="J10139"/>
      <c r="K10139" s="1"/>
      <c r="L10139" s="2"/>
    </row>
    <row r="10140" spans="1:12" x14ac:dyDescent="0.2">
      <c r="A10140"/>
      <c r="B10140"/>
      <c r="C10140"/>
      <c r="D10140"/>
      <c r="E10140"/>
      <c r="F10140"/>
      <c r="G10140"/>
      <c r="H10140"/>
      <c r="I10140"/>
      <c r="J10140"/>
      <c r="K10140" s="1"/>
      <c r="L10140" s="2"/>
    </row>
    <row r="10141" spans="1:12" x14ac:dyDescent="0.2">
      <c r="A10141"/>
      <c r="B10141"/>
      <c r="C10141"/>
      <c r="D10141"/>
      <c r="E10141"/>
      <c r="F10141"/>
      <c r="G10141"/>
      <c r="H10141"/>
      <c r="I10141"/>
      <c r="J10141"/>
      <c r="K10141" s="1"/>
      <c r="L10141" s="2"/>
    </row>
    <row r="10142" spans="1:12" x14ac:dyDescent="0.2">
      <c r="A10142"/>
      <c r="B10142"/>
      <c r="C10142"/>
      <c r="D10142"/>
      <c r="E10142"/>
      <c r="F10142"/>
      <c r="G10142"/>
      <c r="H10142"/>
      <c r="I10142"/>
      <c r="J10142"/>
      <c r="K10142" s="1"/>
      <c r="L10142" s="2"/>
    </row>
    <row r="10143" spans="1:12" x14ac:dyDescent="0.2">
      <c r="A10143"/>
      <c r="B10143"/>
      <c r="C10143"/>
      <c r="D10143"/>
      <c r="E10143"/>
      <c r="F10143"/>
      <c r="G10143"/>
      <c r="H10143"/>
      <c r="I10143"/>
      <c r="J10143"/>
      <c r="K10143" s="1"/>
      <c r="L10143" s="2"/>
    </row>
    <row r="10144" spans="1:12" x14ac:dyDescent="0.2">
      <c r="A10144"/>
      <c r="B10144"/>
      <c r="C10144"/>
      <c r="D10144"/>
      <c r="E10144"/>
      <c r="F10144"/>
      <c r="G10144"/>
      <c r="H10144"/>
      <c r="I10144"/>
      <c r="J10144"/>
      <c r="K10144" s="1"/>
      <c r="L10144" s="2"/>
    </row>
    <row r="10145" spans="1:12" x14ac:dyDescent="0.2">
      <c r="A10145"/>
      <c r="B10145"/>
      <c r="C10145"/>
      <c r="D10145"/>
      <c r="E10145"/>
      <c r="F10145"/>
      <c r="G10145"/>
      <c r="H10145"/>
      <c r="I10145"/>
      <c r="J10145"/>
      <c r="K10145" s="1"/>
      <c r="L10145" s="2"/>
    </row>
    <row r="10146" spans="1:12" x14ac:dyDescent="0.2">
      <c r="A10146"/>
      <c r="B10146"/>
      <c r="C10146"/>
      <c r="D10146"/>
      <c r="E10146"/>
      <c r="F10146"/>
      <c r="G10146"/>
      <c r="H10146"/>
      <c r="I10146"/>
      <c r="J10146"/>
      <c r="K10146" s="1"/>
      <c r="L10146" s="2"/>
    </row>
    <row r="10147" spans="1:12" x14ac:dyDescent="0.2">
      <c r="A10147"/>
      <c r="B10147"/>
      <c r="C10147"/>
      <c r="D10147"/>
      <c r="E10147"/>
      <c r="F10147"/>
      <c r="G10147"/>
      <c r="H10147"/>
      <c r="I10147"/>
      <c r="J10147"/>
      <c r="K10147" s="1"/>
      <c r="L10147" s="2"/>
    </row>
    <row r="10148" spans="1:12" x14ac:dyDescent="0.2">
      <c r="A10148"/>
      <c r="B10148"/>
      <c r="C10148"/>
      <c r="D10148"/>
      <c r="E10148"/>
      <c r="F10148"/>
      <c r="G10148"/>
      <c r="H10148"/>
      <c r="I10148"/>
      <c r="J10148"/>
      <c r="K10148" s="1"/>
      <c r="L10148" s="2"/>
    </row>
    <row r="10149" spans="1:12" x14ac:dyDescent="0.2">
      <c r="A10149"/>
      <c r="B10149"/>
      <c r="C10149"/>
      <c r="D10149"/>
      <c r="E10149"/>
      <c r="F10149"/>
      <c r="G10149"/>
      <c r="H10149"/>
      <c r="I10149"/>
      <c r="J10149"/>
      <c r="K10149" s="1"/>
      <c r="L10149" s="2"/>
    </row>
    <row r="10150" spans="1:12" x14ac:dyDescent="0.2">
      <c r="A10150"/>
      <c r="B10150"/>
      <c r="C10150"/>
      <c r="D10150"/>
      <c r="E10150"/>
      <c r="F10150"/>
      <c r="G10150"/>
      <c r="H10150"/>
      <c r="I10150"/>
      <c r="J10150"/>
      <c r="K10150" s="1"/>
      <c r="L10150" s="2"/>
    </row>
    <row r="10151" spans="1:12" x14ac:dyDescent="0.2">
      <c r="A10151"/>
      <c r="B10151"/>
      <c r="C10151"/>
      <c r="D10151"/>
      <c r="E10151"/>
      <c r="F10151"/>
      <c r="G10151"/>
      <c r="H10151"/>
      <c r="I10151"/>
      <c r="J10151"/>
      <c r="K10151" s="1"/>
      <c r="L10151" s="2"/>
    </row>
    <row r="10152" spans="1:12" x14ac:dyDescent="0.2">
      <c r="A10152"/>
      <c r="B10152"/>
      <c r="C10152"/>
      <c r="D10152"/>
      <c r="E10152"/>
      <c r="F10152"/>
      <c r="G10152"/>
      <c r="H10152"/>
      <c r="I10152"/>
      <c r="J10152"/>
      <c r="K10152" s="1"/>
      <c r="L10152" s="2"/>
    </row>
    <row r="10153" spans="1:12" x14ac:dyDescent="0.2">
      <c r="A10153"/>
      <c r="B10153"/>
      <c r="C10153"/>
      <c r="D10153"/>
      <c r="E10153"/>
      <c r="F10153"/>
      <c r="G10153"/>
      <c r="H10153"/>
      <c r="I10153"/>
      <c r="J10153"/>
      <c r="K10153" s="1"/>
      <c r="L10153" s="2"/>
    </row>
    <row r="10154" spans="1:12" x14ac:dyDescent="0.2">
      <c r="A10154"/>
      <c r="B10154"/>
      <c r="C10154"/>
      <c r="D10154"/>
      <c r="E10154"/>
      <c r="F10154"/>
      <c r="G10154"/>
      <c r="H10154"/>
      <c r="I10154"/>
      <c r="J10154"/>
      <c r="K10154" s="1"/>
      <c r="L10154" s="2"/>
    </row>
    <row r="10155" spans="1:12" x14ac:dyDescent="0.2">
      <c r="A10155"/>
      <c r="B10155"/>
      <c r="C10155"/>
      <c r="D10155"/>
      <c r="E10155"/>
      <c r="F10155"/>
      <c r="G10155"/>
      <c r="H10155"/>
      <c r="I10155"/>
      <c r="J10155"/>
      <c r="K10155" s="1"/>
      <c r="L10155" s="2"/>
    </row>
    <row r="10156" spans="1:12" x14ac:dyDescent="0.2">
      <c r="A10156"/>
      <c r="B10156"/>
      <c r="C10156"/>
      <c r="D10156"/>
      <c r="E10156"/>
      <c r="F10156"/>
      <c r="G10156"/>
      <c r="H10156"/>
      <c r="I10156"/>
      <c r="J10156"/>
      <c r="K10156" s="1"/>
      <c r="L10156" s="2"/>
    </row>
    <row r="10157" spans="1:12" x14ac:dyDescent="0.2">
      <c r="A10157"/>
      <c r="B10157"/>
      <c r="C10157"/>
      <c r="D10157"/>
      <c r="E10157"/>
      <c r="F10157"/>
      <c r="G10157"/>
      <c r="H10157"/>
      <c r="I10157"/>
      <c r="J10157"/>
      <c r="K10157" s="1"/>
      <c r="L10157" s="2"/>
    </row>
    <row r="10158" spans="1:12" x14ac:dyDescent="0.2">
      <c r="A10158"/>
      <c r="B10158"/>
      <c r="C10158"/>
      <c r="D10158"/>
      <c r="E10158"/>
      <c r="F10158"/>
      <c r="G10158"/>
      <c r="H10158"/>
      <c r="I10158"/>
      <c r="J10158"/>
      <c r="K10158" s="1"/>
      <c r="L10158" s="2"/>
    </row>
    <row r="10159" spans="1:12" x14ac:dyDescent="0.2">
      <c r="A10159"/>
      <c r="B10159"/>
      <c r="C10159"/>
      <c r="D10159"/>
      <c r="E10159"/>
      <c r="F10159"/>
      <c r="G10159"/>
      <c r="H10159"/>
      <c r="I10159"/>
      <c r="J10159"/>
      <c r="K10159" s="1"/>
      <c r="L10159" s="2"/>
    </row>
    <row r="10160" spans="1:12" x14ac:dyDescent="0.2">
      <c r="A10160"/>
      <c r="B10160"/>
      <c r="C10160"/>
      <c r="D10160"/>
      <c r="E10160"/>
      <c r="F10160"/>
      <c r="G10160"/>
      <c r="H10160"/>
      <c r="I10160"/>
      <c r="J10160"/>
      <c r="K10160" s="1"/>
      <c r="L10160" s="2"/>
    </row>
    <row r="10161" spans="1:12" x14ac:dyDescent="0.2">
      <c r="A10161"/>
      <c r="B10161"/>
      <c r="C10161"/>
      <c r="D10161"/>
      <c r="E10161"/>
      <c r="F10161"/>
      <c r="G10161"/>
      <c r="H10161"/>
      <c r="I10161"/>
      <c r="J10161"/>
      <c r="K10161" s="1"/>
      <c r="L10161" s="2"/>
    </row>
    <row r="10162" spans="1:12" x14ac:dyDescent="0.2">
      <c r="A10162"/>
      <c r="B10162"/>
      <c r="C10162"/>
      <c r="D10162"/>
      <c r="E10162"/>
      <c r="F10162"/>
      <c r="G10162"/>
      <c r="H10162"/>
      <c r="I10162"/>
      <c r="J10162"/>
      <c r="K10162" s="1"/>
      <c r="L10162" s="2"/>
    </row>
    <row r="10163" spans="1:12" x14ac:dyDescent="0.2">
      <c r="A10163"/>
      <c r="B10163"/>
      <c r="C10163"/>
      <c r="D10163"/>
      <c r="E10163"/>
      <c r="F10163"/>
      <c r="G10163"/>
      <c r="H10163"/>
      <c r="I10163"/>
      <c r="J10163"/>
      <c r="K10163" s="1"/>
      <c r="L10163" s="2"/>
    </row>
    <row r="10164" spans="1:12" x14ac:dyDescent="0.2">
      <c r="A10164"/>
      <c r="B10164"/>
      <c r="C10164"/>
      <c r="D10164"/>
      <c r="E10164"/>
      <c r="F10164"/>
      <c r="G10164"/>
      <c r="H10164"/>
      <c r="I10164"/>
      <c r="J10164"/>
      <c r="K10164" s="1"/>
      <c r="L10164" s="2"/>
    </row>
    <row r="10165" spans="1:12" x14ac:dyDescent="0.2">
      <c r="A10165"/>
      <c r="B10165"/>
      <c r="C10165"/>
      <c r="D10165"/>
      <c r="E10165"/>
      <c r="F10165"/>
      <c r="G10165"/>
      <c r="H10165"/>
      <c r="I10165"/>
      <c r="J10165"/>
      <c r="K10165" s="1"/>
      <c r="L10165" s="2"/>
    </row>
    <row r="10166" spans="1:12" x14ac:dyDescent="0.2">
      <c r="A10166"/>
      <c r="B10166"/>
      <c r="C10166"/>
      <c r="D10166"/>
      <c r="E10166"/>
      <c r="F10166"/>
      <c r="G10166"/>
      <c r="H10166"/>
      <c r="I10166"/>
      <c r="J10166"/>
      <c r="K10166" s="1"/>
      <c r="L10166" s="2"/>
    </row>
    <row r="10167" spans="1:12" x14ac:dyDescent="0.2">
      <c r="A10167"/>
      <c r="B10167"/>
      <c r="C10167"/>
      <c r="D10167"/>
      <c r="E10167"/>
      <c r="F10167"/>
      <c r="G10167"/>
      <c r="H10167"/>
      <c r="I10167"/>
      <c r="J10167"/>
      <c r="K10167" s="1"/>
      <c r="L10167" s="2"/>
    </row>
    <row r="10168" spans="1:12" x14ac:dyDescent="0.2">
      <c r="A10168"/>
      <c r="B10168"/>
      <c r="C10168"/>
      <c r="D10168"/>
      <c r="E10168"/>
      <c r="F10168"/>
      <c r="G10168"/>
      <c r="H10168"/>
      <c r="I10168"/>
      <c r="J10168"/>
      <c r="K10168" s="1"/>
      <c r="L10168" s="2"/>
    </row>
    <row r="10169" spans="1:12" x14ac:dyDescent="0.2">
      <c r="A10169"/>
      <c r="B10169"/>
      <c r="C10169"/>
      <c r="D10169"/>
      <c r="E10169"/>
      <c r="F10169"/>
      <c r="G10169"/>
      <c r="H10169"/>
      <c r="I10169"/>
      <c r="J10169"/>
      <c r="K10169" s="1"/>
      <c r="L10169" s="2"/>
    </row>
    <row r="10170" spans="1:12" x14ac:dyDescent="0.2">
      <c r="A10170"/>
      <c r="B10170"/>
      <c r="C10170"/>
      <c r="D10170"/>
      <c r="E10170"/>
      <c r="F10170"/>
      <c r="G10170"/>
      <c r="H10170"/>
      <c r="I10170"/>
      <c r="J10170"/>
      <c r="K10170" s="1"/>
      <c r="L10170" s="2"/>
    </row>
    <row r="10171" spans="1:12" x14ac:dyDescent="0.2">
      <c r="A10171"/>
      <c r="B10171"/>
      <c r="C10171"/>
      <c r="D10171"/>
      <c r="E10171"/>
      <c r="F10171"/>
      <c r="G10171"/>
      <c r="H10171"/>
      <c r="I10171"/>
      <c r="J10171"/>
      <c r="K10171" s="1"/>
      <c r="L10171" s="2"/>
    </row>
    <row r="10172" spans="1:12" x14ac:dyDescent="0.2">
      <c r="A10172"/>
      <c r="B10172"/>
      <c r="C10172"/>
      <c r="D10172"/>
      <c r="E10172"/>
      <c r="F10172"/>
      <c r="G10172"/>
      <c r="H10172"/>
      <c r="I10172"/>
      <c r="J10172"/>
      <c r="K10172" s="1"/>
      <c r="L10172" s="2"/>
    </row>
    <row r="10173" spans="1:12" x14ac:dyDescent="0.2">
      <c r="A10173"/>
      <c r="B10173"/>
      <c r="C10173"/>
      <c r="D10173"/>
      <c r="E10173"/>
      <c r="F10173"/>
      <c r="G10173"/>
      <c r="H10173"/>
      <c r="I10173"/>
      <c r="J10173"/>
      <c r="K10173" s="1"/>
      <c r="L10173" s="2"/>
    </row>
    <row r="10174" spans="1:12" x14ac:dyDescent="0.2">
      <c r="A10174"/>
      <c r="B10174"/>
      <c r="C10174"/>
      <c r="D10174"/>
      <c r="E10174"/>
      <c r="F10174"/>
      <c r="G10174"/>
      <c r="H10174"/>
      <c r="I10174"/>
      <c r="J10174"/>
      <c r="K10174" s="1"/>
      <c r="L10174" s="2"/>
    </row>
    <row r="10175" spans="1:12" x14ac:dyDescent="0.2">
      <c r="A10175"/>
      <c r="B10175"/>
      <c r="C10175"/>
      <c r="D10175"/>
      <c r="E10175"/>
      <c r="F10175"/>
      <c r="G10175"/>
      <c r="H10175"/>
      <c r="I10175"/>
      <c r="J10175"/>
      <c r="K10175" s="1"/>
      <c r="L10175" s="2"/>
    </row>
    <row r="10176" spans="1:12" x14ac:dyDescent="0.2">
      <c r="A10176"/>
      <c r="B10176"/>
      <c r="C10176"/>
      <c r="D10176"/>
      <c r="E10176"/>
      <c r="F10176"/>
      <c r="G10176"/>
      <c r="H10176"/>
      <c r="I10176"/>
      <c r="J10176"/>
      <c r="K10176" s="1"/>
      <c r="L10176" s="2"/>
    </row>
    <row r="10177" spans="1:12" x14ac:dyDescent="0.2">
      <c r="A10177"/>
      <c r="B10177"/>
      <c r="C10177"/>
      <c r="D10177"/>
      <c r="E10177"/>
      <c r="F10177"/>
      <c r="G10177"/>
      <c r="H10177"/>
      <c r="I10177"/>
      <c r="J10177"/>
      <c r="K10177" s="1"/>
      <c r="L10177" s="2"/>
    </row>
    <row r="10178" spans="1:12" x14ac:dyDescent="0.2">
      <c r="A10178"/>
      <c r="B10178"/>
      <c r="C10178"/>
      <c r="D10178"/>
      <c r="E10178"/>
      <c r="F10178"/>
      <c r="G10178"/>
      <c r="H10178"/>
      <c r="I10178"/>
      <c r="J10178"/>
      <c r="K10178" s="1"/>
      <c r="L10178" s="2"/>
    </row>
    <row r="10179" spans="1:12" x14ac:dyDescent="0.2">
      <c r="A10179"/>
      <c r="B10179"/>
      <c r="C10179"/>
      <c r="D10179"/>
      <c r="E10179"/>
      <c r="F10179"/>
      <c r="G10179"/>
      <c r="H10179"/>
      <c r="I10179"/>
      <c r="J10179"/>
      <c r="K10179" s="1"/>
      <c r="L10179" s="2"/>
    </row>
    <row r="10180" spans="1:12" x14ac:dyDescent="0.2">
      <c r="A10180"/>
      <c r="B10180"/>
      <c r="C10180"/>
      <c r="D10180"/>
      <c r="E10180"/>
      <c r="F10180"/>
      <c r="G10180"/>
      <c r="H10180"/>
      <c r="I10180"/>
      <c r="J10180"/>
      <c r="K10180" s="1"/>
      <c r="L10180" s="2"/>
    </row>
    <row r="10181" spans="1:12" x14ac:dyDescent="0.2">
      <c r="A10181"/>
      <c r="B10181"/>
      <c r="C10181"/>
      <c r="D10181"/>
      <c r="E10181"/>
      <c r="F10181"/>
      <c r="G10181"/>
      <c r="H10181"/>
      <c r="I10181"/>
      <c r="J10181"/>
      <c r="K10181" s="1"/>
      <c r="L10181" s="2"/>
    </row>
    <row r="10182" spans="1:12" x14ac:dyDescent="0.2">
      <c r="A10182"/>
      <c r="B10182"/>
      <c r="C10182"/>
      <c r="D10182"/>
      <c r="E10182"/>
      <c r="F10182"/>
      <c r="G10182"/>
      <c r="H10182"/>
      <c r="I10182"/>
      <c r="J10182"/>
      <c r="K10182" s="1"/>
      <c r="L10182" s="2"/>
    </row>
    <row r="10183" spans="1:12" x14ac:dyDescent="0.2">
      <c r="A10183"/>
      <c r="B10183"/>
      <c r="C10183"/>
      <c r="D10183"/>
      <c r="E10183"/>
      <c r="F10183"/>
      <c r="G10183"/>
      <c r="H10183"/>
      <c r="I10183"/>
      <c r="J10183"/>
      <c r="K10183" s="1"/>
      <c r="L10183" s="2"/>
    </row>
    <row r="10184" spans="1:12" x14ac:dyDescent="0.2">
      <c r="A10184"/>
      <c r="B10184"/>
      <c r="C10184"/>
      <c r="D10184"/>
      <c r="E10184"/>
      <c r="F10184"/>
      <c r="G10184"/>
      <c r="H10184"/>
      <c r="I10184"/>
      <c r="J10184"/>
      <c r="K10184" s="1"/>
      <c r="L10184" s="2"/>
    </row>
    <row r="10185" spans="1:12" x14ac:dyDescent="0.2">
      <c r="A10185"/>
      <c r="B10185"/>
      <c r="C10185"/>
      <c r="D10185"/>
      <c r="E10185"/>
      <c r="F10185"/>
      <c r="G10185"/>
      <c r="H10185"/>
      <c r="I10185"/>
      <c r="J10185"/>
      <c r="K10185" s="1"/>
      <c r="L10185" s="2"/>
    </row>
    <row r="10186" spans="1:12" x14ac:dyDescent="0.2">
      <c r="A10186"/>
      <c r="B10186"/>
      <c r="C10186"/>
      <c r="D10186"/>
      <c r="E10186"/>
      <c r="F10186"/>
      <c r="G10186"/>
      <c r="H10186"/>
      <c r="I10186"/>
      <c r="J10186"/>
      <c r="K10186" s="1"/>
      <c r="L10186" s="2"/>
    </row>
    <row r="10187" spans="1:12" x14ac:dyDescent="0.2">
      <c r="A10187"/>
      <c r="B10187"/>
      <c r="C10187"/>
      <c r="D10187"/>
      <c r="E10187"/>
      <c r="F10187"/>
      <c r="G10187"/>
      <c r="H10187"/>
      <c r="I10187"/>
      <c r="J10187"/>
      <c r="K10187" s="1"/>
      <c r="L10187" s="2"/>
    </row>
    <row r="10188" spans="1:12" x14ac:dyDescent="0.2">
      <c r="A10188"/>
      <c r="B10188"/>
      <c r="C10188"/>
      <c r="D10188"/>
      <c r="E10188"/>
      <c r="F10188"/>
      <c r="G10188"/>
      <c r="H10188"/>
      <c r="I10188"/>
      <c r="J10188"/>
      <c r="K10188" s="1"/>
      <c r="L10188" s="2"/>
    </row>
    <row r="10189" spans="1:12" x14ac:dyDescent="0.2">
      <c r="A10189"/>
      <c r="B10189"/>
      <c r="C10189"/>
      <c r="D10189"/>
      <c r="E10189"/>
      <c r="F10189"/>
      <c r="G10189"/>
      <c r="H10189"/>
      <c r="I10189"/>
      <c r="J10189"/>
      <c r="K10189" s="1"/>
      <c r="L10189" s="2"/>
    </row>
    <row r="10190" spans="1:12" x14ac:dyDescent="0.2">
      <c r="A10190"/>
      <c r="B10190"/>
      <c r="C10190"/>
      <c r="D10190"/>
      <c r="E10190"/>
      <c r="F10190"/>
      <c r="G10190"/>
      <c r="H10190"/>
      <c r="I10190"/>
      <c r="J10190"/>
      <c r="K10190" s="1"/>
      <c r="L10190" s="2"/>
    </row>
    <row r="10191" spans="1:12" x14ac:dyDescent="0.2">
      <c r="A10191"/>
      <c r="B10191"/>
      <c r="C10191"/>
      <c r="D10191"/>
      <c r="E10191"/>
      <c r="F10191"/>
      <c r="G10191"/>
      <c r="H10191"/>
      <c r="I10191"/>
      <c r="J10191"/>
      <c r="K10191" s="1"/>
      <c r="L10191" s="2"/>
    </row>
    <row r="10192" spans="1:12" x14ac:dyDescent="0.2">
      <c r="A10192"/>
      <c r="B10192"/>
      <c r="C10192"/>
      <c r="D10192"/>
      <c r="E10192"/>
      <c r="F10192"/>
      <c r="G10192"/>
      <c r="H10192"/>
      <c r="I10192"/>
      <c r="J10192"/>
      <c r="K10192" s="1"/>
      <c r="L10192" s="2"/>
    </row>
    <row r="10193" spans="1:12" x14ac:dyDescent="0.2">
      <c r="A10193"/>
      <c r="B10193"/>
      <c r="C10193"/>
      <c r="D10193"/>
      <c r="E10193"/>
      <c r="F10193"/>
      <c r="G10193"/>
      <c r="H10193"/>
      <c r="I10193"/>
      <c r="J10193"/>
      <c r="K10193" s="1"/>
      <c r="L10193" s="2"/>
    </row>
    <row r="10194" spans="1:12" x14ac:dyDescent="0.2">
      <c r="A10194"/>
      <c r="B10194"/>
      <c r="C10194"/>
      <c r="D10194"/>
      <c r="E10194"/>
      <c r="F10194"/>
      <c r="G10194"/>
      <c r="H10194"/>
      <c r="I10194"/>
      <c r="J10194"/>
      <c r="K10194" s="1"/>
      <c r="L10194" s="2"/>
    </row>
    <row r="10195" spans="1:12" x14ac:dyDescent="0.2">
      <c r="A10195"/>
      <c r="B10195"/>
      <c r="C10195"/>
      <c r="D10195"/>
      <c r="E10195"/>
      <c r="F10195"/>
      <c r="G10195"/>
      <c r="H10195"/>
      <c r="I10195"/>
      <c r="J10195"/>
      <c r="K10195" s="1"/>
      <c r="L10195" s="2"/>
    </row>
    <row r="10196" spans="1:12" x14ac:dyDescent="0.2">
      <c r="A10196"/>
      <c r="B10196"/>
      <c r="C10196"/>
      <c r="D10196"/>
      <c r="E10196"/>
      <c r="F10196"/>
      <c r="G10196"/>
      <c r="H10196"/>
      <c r="I10196"/>
      <c r="J10196"/>
      <c r="K10196" s="1"/>
      <c r="L10196" s="2"/>
    </row>
    <row r="10197" spans="1:12" x14ac:dyDescent="0.2">
      <c r="A10197"/>
      <c r="B10197"/>
      <c r="C10197"/>
      <c r="D10197"/>
      <c r="E10197"/>
      <c r="F10197"/>
      <c r="G10197"/>
      <c r="H10197"/>
      <c r="I10197"/>
      <c r="J10197"/>
      <c r="K10197" s="1"/>
      <c r="L10197" s="2"/>
    </row>
    <row r="10198" spans="1:12" x14ac:dyDescent="0.2">
      <c r="A10198"/>
      <c r="B10198"/>
      <c r="C10198"/>
      <c r="D10198"/>
      <c r="E10198"/>
      <c r="F10198"/>
      <c r="G10198"/>
      <c r="H10198"/>
      <c r="I10198"/>
      <c r="J10198"/>
      <c r="K10198" s="1"/>
      <c r="L10198" s="2"/>
    </row>
    <row r="10199" spans="1:12" x14ac:dyDescent="0.2">
      <c r="A10199"/>
      <c r="B10199"/>
      <c r="C10199"/>
      <c r="D10199"/>
      <c r="E10199"/>
      <c r="F10199"/>
      <c r="G10199"/>
      <c r="H10199"/>
      <c r="I10199"/>
      <c r="J10199"/>
      <c r="K10199" s="1"/>
      <c r="L10199" s="2"/>
    </row>
    <row r="10200" spans="1:12" x14ac:dyDescent="0.2">
      <c r="A10200"/>
      <c r="B10200"/>
      <c r="C10200"/>
      <c r="D10200"/>
      <c r="E10200"/>
      <c r="F10200"/>
      <c r="G10200"/>
      <c r="H10200"/>
      <c r="I10200"/>
      <c r="J10200"/>
      <c r="K10200" s="1"/>
      <c r="L10200" s="2"/>
    </row>
    <row r="10201" spans="1:12" x14ac:dyDescent="0.2">
      <c r="A10201"/>
      <c r="B10201"/>
      <c r="C10201"/>
      <c r="D10201"/>
      <c r="E10201"/>
      <c r="F10201"/>
      <c r="G10201"/>
      <c r="H10201"/>
      <c r="I10201"/>
      <c r="J10201"/>
      <c r="K10201" s="1"/>
      <c r="L10201" s="2"/>
    </row>
    <row r="10202" spans="1:12" x14ac:dyDescent="0.2">
      <c r="A10202"/>
      <c r="B10202"/>
      <c r="C10202"/>
      <c r="D10202"/>
      <c r="E10202"/>
      <c r="F10202"/>
      <c r="G10202"/>
      <c r="H10202"/>
      <c r="I10202"/>
      <c r="J10202"/>
      <c r="K10202" s="1"/>
      <c r="L10202" s="2"/>
    </row>
    <row r="10203" spans="1:12" x14ac:dyDescent="0.2">
      <c r="A10203"/>
      <c r="B10203"/>
      <c r="C10203"/>
      <c r="D10203"/>
      <c r="E10203"/>
      <c r="F10203"/>
      <c r="G10203"/>
      <c r="H10203"/>
      <c r="I10203"/>
      <c r="J10203"/>
      <c r="K10203" s="1"/>
      <c r="L10203" s="2"/>
    </row>
    <row r="10204" spans="1:12" x14ac:dyDescent="0.2">
      <c r="A10204"/>
      <c r="B10204"/>
      <c r="C10204"/>
      <c r="D10204"/>
      <c r="E10204"/>
      <c r="F10204"/>
      <c r="G10204"/>
      <c r="H10204"/>
      <c r="I10204"/>
      <c r="J10204"/>
      <c r="K10204" s="1"/>
      <c r="L10204" s="2"/>
    </row>
    <row r="10205" spans="1:12" x14ac:dyDescent="0.2">
      <c r="A10205"/>
      <c r="B10205"/>
      <c r="C10205"/>
      <c r="D10205"/>
      <c r="E10205"/>
      <c r="F10205"/>
      <c r="G10205"/>
      <c r="H10205"/>
      <c r="I10205"/>
      <c r="J10205"/>
      <c r="K10205" s="1"/>
      <c r="L10205" s="2"/>
    </row>
    <row r="10206" spans="1:12" x14ac:dyDescent="0.2">
      <c r="A10206"/>
      <c r="B10206"/>
      <c r="C10206"/>
      <c r="D10206"/>
      <c r="E10206"/>
      <c r="F10206"/>
      <c r="G10206"/>
      <c r="H10206"/>
      <c r="I10206"/>
      <c r="J10206"/>
      <c r="K10206" s="1"/>
      <c r="L10206" s="2"/>
    </row>
    <row r="10207" spans="1:12" x14ac:dyDescent="0.2">
      <c r="A10207"/>
      <c r="B10207"/>
      <c r="C10207"/>
      <c r="D10207"/>
      <c r="E10207"/>
      <c r="F10207"/>
      <c r="G10207"/>
      <c r="H10207"/>
      <c r="I10207"/>
      <c r="J10207"/>
      <c r="K10207" s="1"/>
      <c r="L10207" s="2"/>
    </row>
    <row r="10208" spans="1:12" x14ac:dyDescent="0.2">
      <c r="A10208"/>
      <c r="B10208"/>
      <c r="C10208"/>
      <c r="D10208"/>
      <c r="E10208"/>
      <c r="F10208"/>
      <c r="G10208"/>
      <c r="H10208"/>
      <c r="I10208"/>
      <c r="J10208"/>
      <c r="K10208" s="1"/>
      <c r="L10208" s="2"/>
    </row>
    <row r="10209" spans="1:12" x14ac:dyDescent="0.2">
      <c r="A10209"/>
      <c r="B10209"/>
      <c r="C10209"/>
      <c r="D10209"/>
      <c r="E10209"/>
      <c r="F10209"/>
      <c r="G10209"/>
      <c r="H10209"/>
      <c r="I10209"/>
      <c r="J10209"/>
      <c r="K10209" s="1"/>
      <c r="L10209" s="2"/>
    </row>
    <row r="10210" spans="1:12" x14ac:dyDescent="0.2">
      <c r="A10210"/>
      <c r="B10210"/>
      <c r="C10210"/>
      <c r="D10210"/>
      <c r="E10210"/>
      <c r="F10210"/>
      <c r="G10210"/>
      <c r="H10210"/>
      <c r="I10210"/>
      <c r="J10210"/>
      <c r="K10210" s="1"/>
      <c r="L10210" s="2"/>
    </row>
    <row r="10211" spans="1:12" x14ac:dyDescent="0.2">
      <c r="A10211"/>
      <c r="B10211"/>
      <c r="C10211"/>
      <c r="D10211"/>
      <c r="E10211"/>
      <c r="F10211"/>
      <c r="G10211"/>
      <c r="H10211"/>
      <c r="I10211"/>
      <c r="J10211"/>
      <c r="K10211" s="1"/>
      <c r="L10211" s="2"/>
    </row>
    <row r="10212" spans="1:12" x14ac:dyDescent="0.2">
      <c r="A10212"/>
      <c r="B10212"/>
      <c r="C10212"/>
      <c r="D10212"/>
      <c r="E10212"/>
      <c r="F10212"/>
      <c r="G10212"/>
      <c r="H10212"/>
      <c r="I10212"/>
      <c r="J10212"/>
      <c r="K10212" s="1"/>
      <c r="L10212" s="2"/>
    </row>
    <row r="10213" spans="1:12" x14ac:dyDescent="0.2">
      <c r="A10213"/>
      <c r="B10213"/>
      <c r="C10213"/>
      <c r="D10213"/>
      <c r="E10213"/>
      <c r="F10213"/>
      <c r="G10213"/>
      <c r="H10213"/>
      <c r="I10213"/>
      <c r="J10213"/>
      <c r="K10213" s="1"/>
      <c r="L10213" s="2"/>
    </row>
    <row r="10214" spans="1:12" x14ac:dyDescent="0.2">
      <c r="A10214"/>
      <c r="B10214"/>
      <c r="C10214"/>
      <c r="D10214"/>
      <c r="E10214"/>
      <c r="F10214"/>
      <c r="G10214"/>
      <c r="H10214"/>
      <c r="I10214"/>
      <c r="J10214"/>
      <c r="K10214" s="1"/>
      <c r="L10214" s="2"/>
    </row>
    <row r="10215" spans="1:12" x14ac:dyDescent="0.2">
      <c r="A10215"/>
      <c r="B10215"/>
      <c r="C10215"/>
      <c r="D10215"/>
      <c r="E10215"/>
      <c r="F10215"/>
      <c r="G10215"/>
      <c r="H10215"/>
      <c r="I10215"/>
      <c r="J10215"/>
      <c r="K10215" s="1"/>
      <c r="L10215" s="2"/>
    </row>
    <row r="10216" spans="1:12" x14ac:dyDescent="0.2">
      <c r="A10216"/>
      <c r="B10216"/>
      <c r="C10216"/>
      <c r="D10216"/>
      <c r="E10216"/>
      <c r="F10216"/>
      <c r="G10216"/>
      <c r="H10216"/>
      <c r="I10216"/>
      <c r="J10216"/>
      <c r="K10216" s="1"/>
      <c r="L10216" s="2"/>
    </row>
    <row r="10217" spans="1:12" x14ac:dyDescent="0.2">
      <c r="A10217"/>
      <c r="B10217"/>
      <c r="C10217"/>
      <c r="D10217"/>
      <c r="E10217"/>
      <c r="F10217"/>
      <c r="G10217"/>
      <c r="H10217"/>
      <c r="I10217"/>
      <c r="J10217"/>
      <c r="K10217" s="1"/>
      <c r="L10217" s="2"/>
    </row>
    <row r="10218" spans="1:12" x14ac:dyDescent="0.2">
      <c r="A10218"/>
      <c r="B10218"/>
      <c r="C10218"/>
      <c r="D10218"/>
      <c r="E10218"/>
      <c r="F10218"/>
      <c r="G10218"/>
      <c r="H10218"/>
      <c r="I10218"/>
      <c r="J10218"/>
      <c r="K10218" s="1"/>
      <c r="L10218" s="2"/>
    </row>
    <row r="10219" spans="1:12" x14ac:dyDescent="0.2">
      <c r="A10219"/>
      <c r="B10219"/>
      <c r="C10219"/>
      <c r="D10219"/>
      <c r="E10219"/>
      <c r="F10219"/>
      <c r="G10219"/>
      <c r="H10219"/>
      <c r="I10219"/>
      <c r="J10219"/>
      <c r="K10219" s="1"/>
      <c r="L10219" s="2"/>
    </row>
    <row r="10220" spans="1:12" x14ac:dyDescent="0.2">
      <c r="A10220"/>
      <c r="B10220"/>
      <c r="C10220"/>
      <c r="D10220"/>
      <c r="E10220"/>
      <c r="F10220"/>
      <c r="G10220"/>
      <c r="H10220"/>
      <c r="I10220"/>
      <c r="J10220"/>
      <c r="K10220" s="1"/>
      <c r="L10220" s="2"/>
    </row>
    <row r="10221" spans="1:12" x14ac:dyDescent="0.2">
      <c r="A10221"/>
      <c r="B10221"/>
      <c r="C10221"/>
      <c r="D10221"/>
      <c r="E10221"/>
      <c r="F10221"/>
      <c r="G10221"/>
      <c r="H10221"/>
      <c r="I10221"/>
      <c r="J10221"/>
      <c r="K10221" s="1"/>
      <c r="L10221" s="2"/>
    </row>
    <row r="10222" spans="1:12" x14ac:dyDescent="0.2">
      <c r="A10222"/>
      <c r="B10222"/>
      <c r="C10222"/>
      <c r="D10222"/>
      <c r="E10222"/>
      <c r="F10222"/>
      <c r="G10222"/>
      <c r="H10222"/>
      <c r="I10222"/>
      <c r="J10222"/>
      <c r="K10222" s="1"/>
      <c r="L10222" s="2"/>
    </row>
    <row r="10223" spans="1:12" x14ac:dyDescent="0.2">
      <c r="A10223"/>
      <c r="B10223"/>
      <c r="C10223"/>
      <c r="D10223"/>
      <c r="E10223"/>
      <c r="F10223"/>
      <c r="G10223"/>
      <c r="H10223"/>
      <c r="I10223"/>
      <c r="J10223"/>
      <c r="K10223" s="1"/>
      <c r="L10223" s="2"/>
    </row>
    <row r="10224" spans="1:12" x14ac:dyDescent="0.2">
      <c r="A10224"/>
      <c r="B10224"/>
      <c r="C10224"/>
      <c r="D10224"/>
      <c r="E10224"/>
      <c r="F10224"/>
      <c r="G10224"/>
      <c r="H10224"/>
      <c r="I10224"/>
      <c r="J10224"/>
      <c r="K10224" s="1"/>
      <c r="L10224" s="2"/>
    </row>
    <row r="10225" spans="1:12" x14ac:dyDescent="0.2">
      <c r="A10225"/>
      <c r="B10225"/>
      <c r="C10225"/>
      <c r="D10225"/>
      <c r="E10225"/>
      <c r="F10225"/>
      <c r="G10225"/>
      <c r="H10225"/>
      <c r="I10225"/>
      <c r="J10225"/>
      <c r="K10225" s="1"/>
      <c r="L10225" s="2"/>
    </row>
    <row r="10226" spans="1:12" x14ac:dyDescent="0.2">
      <c r="A10226"/>
      <c r="B10226"/>
      <c r="C10226"/>
      <c r="D10226"/>
      <c r="E10226"/>
      <c r="F10226"/>
      <c r="G10226"/>
      <c r="H10226"/>
      <c r="I10226"/>
      <c r="J10226"/>
      <c r="K10226" s="1"/>
      <c r="L10226" s="2"/>
    </row>
    <row r="10227" spans="1:12" x14ac:dyDescent="0.2">
      <c r="A10227"/>
      <c r="B10227"/>
      <c r="C10227"/>
      <c r="D10227"/>
      <c r="E10227"/>
      <c r="F10227"/>
      <c r="G10227"/>
      <c r="H10227"/>
      <c r="I10227"/>
      <c r="J10227"/>
      <c r="K10227" s="1"/>
      <c r="L10227" s="2"/>
    </row>
    <row r="10228" spans="1:12" x14ac:dyDescent="0.2">
      <c r="A10228"/>
      <c r="B10228"/>
      <c r="C10228"/>
      <c r="D10228"/>
      <c r="E10228"/>
      <c r="F10228"/>
      <c r="G10228"/>
      <c r="H10228"/>
      <c r="I10228"/>
      <c r="J10228"/>
      <c r="K10228" s="1"/>
      <c r="L10228" s="2"/>
    </row>
    <row r="10229" spans="1:12" x14ac:dyDescent="0.2">
      <c r="A10229"/>
      <c r="B10229"/>
      <c r="C10229"/>
      <c r="D10229"/>
      <c r="E10229"/>
      <c r="F10229"/>
      <c r="G10229"/>
      <c r="H10229"/>
      <c r="I10229"/>
      <c r="J10229"/>
      <c r="K10229" s="1"/>
      <c r="L10229" s="2"/>
    </row>
    <row r="10230" spans="1:12" x14ac:dyDescent="0.2">
      <c r="A10230"/>
      <c r="B10230"/>
      <c r="C10230"/>
      <c r="D10230"/>
      <c r="E10230"/>
      <c r="F10230"/>
      <c r="G10230"/>
      <c r="H10230"/>
      <c r="I10230"/>
      <c r="J10230"/>
      <c r="K10230" s="1"/>
      <c r="L10230" s="2"/>
    </row>
    <row r="10231" spans="1:12" x14ac:dyDescent="0.2">
      <c r="A10231"/>
      <c r="B10231"/>
      <c r="C10231"/>
      <c r="D10231"/>
      <c r="E10231"/>
      <c r="F10231"/>
      <c r="G10231"/>
      <c r="H10231"/>
      <c r="I10231"/>
      <c r="J10231"/>
      <c r="K10231" s="1"/>
      <c r="L10231" s="2"/>
    </row>
    <row r="10232" spans="1:12" x14ac:dyDescent="0.2">
      <c r="A10232"/>
      <c r="B10232"/>
      <c r="C10232"/>
      <c r="D10232"/>
      <c r="E10232"/>
      <c r="F10232"/>
      <c r="G10232"/>
      <c r="H10232"/>
      <c r="I10232"/>
      <c r="J10232"/>
      <c r="K10232" s="1"/>
      <c r="L10232" s="2"/>
    </row>
    <row r="10233" spans="1:12" x14ac:dyDescent="0.2">
      <c r="A10233"/>
      <c r="B10233"/>
      <c r="C10233"/>
      <c r="D10233"/>
      <c r="E10233"/>
      <c r="F10233"/>
      <c r="G10233"/>
      <c r="H10233"/>
      <c r="I10233"/>
      <c r="J10233"/>
      <c r="K10233" s="1"/>
      <c r="L10233" s="2"/>
    </row>
    <row r="10234" spans="1:12" x14ac:dyDescent="0.2">
      <c r="A10234"/>
      <c r="B10234"/>
      <c r="C10234"/>
      <c r="D10234"/>
      <c r="E10234"/>
      <c r="F10234"/>
      <c r="G10234"/>
      <c r="H10234"/>
      <c r="I10234"/>
      <c r="J10234"/>
      <c r="K10234" s="1"/>
      <c r="L10234" s="2"/>
    </row>
    <row r="10235" spans="1:12" x14ac:dyDescent="0.2">
      <c r="A10235"/>
      <c r="B10235"/>
      <c r="C10235"/>
      <c r="D10235"/>
      <c r="E10235"/>
      <c r="F10235"/>
      <c r="G10235"/>
      <c r="H10235"/>
      <c r="I10235"/>
      <c r="J10235"/>
      <c r="K10235" s="1"/>
      <c r="L10235" s="2"/>
    </row>
    <row r="10236" spans="1:12" x14ac:dyDescent="0.2">
      <c r="A10236"/>
      <c r="B10236"/>
      <c r="C10236"/>
      <c r="D10236"/>
      <c r="E10236"/>
      <c r="F10236"/>
      <c r="G10236"/>
      <c r="H10236"/>
      <c r="I10236"/>
      <c r="J10236"/>
      <c r="K10236" s="1"/>
      <c r="L10236" s="2"/>
    </row>
    <row r="10237" spans="1:12" x14ac:dyDescent="0.2">
      <c r="A10237"/>
      <c r="B10237"/>
      <c r="C10237"/>
      <c r="D10237"/>
      <c r="E10237"/>
      <c r="F10237"/>
      <c r="G10237"/>
      <c r="H10237"/>
      <c r="I10237"/>
      <c r="J10237"/>
      <c r="K10237" s="1"/>
      <c r="L10237" s="2"/>
    </row>
    <row r="10238" spans="1:12" x14ac:dyDescent="0.2">
      <c r="A10238"/>
      <c r="B10238"/>
      <c r="C10238"/>
      <c r="D10238"/>
      <c r="E10238"/>
      <c r="F10238"/>
      <c r="G10238"/>
      <c r="H10238"/>
      <c r="I10238"/>
      <c r="J10238"/>
      <c r="K10238" s="1"/>
      <c r="L10238" s="2"/>
    </row>
    <row r="10239" spans="1:12" x14ac:dyDescent="0.2">
      <c r="A10239"/>
      <c r="B10239"/>
      <c r="C10239"/>
      <c r="D10239"/>
      <c r="E10239"/>
      <c r="F10239"/>
      <c r="G10239"/>
      <c r="H10239"/>
      <c r="I10239"/>
      <c r="J10239"/>
      <c r="K10239" s="1"/>
      <c r="L10239" s="2"/>
    </row>
    <row r="10240" spans="1:12" x14ac:dyDescent="0.2">
      <c r="A10240"/>
      <c r="B10240"/>
      <c r="C10240"/>
      <c r="D10240"/>
      <c r="E10240"/>
      <c r="F10240"/>
      <c r="G10240"/>
      <c r="H10240"/>
      <c r="I10240"/>
      <c r="J10240"/>
      <c r="K10240" s="1"/>
      <c r="L10240" s="2"/>
    </row>
    <row r="10241" spans="1:12" x14ac:dyDescent="0.2">
      <c r="A10241"/>
      <c r="B10241"/>
      <c r="C10241"/>
      <c r="D10241"/>
      <c r="E10241"/>
      <c r="F10241"/>
      <c r="G10241"/>
      <c r="H10241"/>
      <c r="I10241"/>
      <c r="J10241"/>
      <c r="K10241" s="1"/>
      <c r="L10241" s="2"/>
    </row>
    <row r="10242" spans="1:12" x14ac:dyDescent="0.2">
      <c r="A10242"/>
      <c r="B10242"/>
      <c r="C10242"/>
      <c r="D10242"/>
      <c r="E10242"/>
      <c r="F10242"/>
      <c r="G10242"/>
      <c r="H10242"/>
      <c r="I10242"/>
      <c r="J10242"/>
      <c r="K10242" s="1"/>
      <c r="L10242" s="2"/>
    </row>
    <row r="10243" spans="1:12" x14ac:dyDescent="0.2">
      <c r="A10243"/>
      <c r="B10243"/>
      <c r="C10243"/>
      <c r="D10243"/>
      <c r="E10243"/>
      <c r="F10243"/>
      <c r="G10243"/>
      <c r="H10243"/>
      <c r="I10243"/>
      <c r="J10243"/>
      <c r="K10243" s="1"/>
      <c r="L10243" s="2"/>
    </row>
    <row r="10244" spans="1:12" x14ac:dyDescent="0.2">
      <c r="A10244"/>
      <c r="B10244"/>
      <c r="C10244"/>
      <c r="D10244"/>
      <c r="E10244"/>
      <c r="F10244"/>
      <c r="G10244"/>
      <c r="H10244"/>
      <c r="I10244"/>
      <c r="J10244"/>
      <c r="K10244" s="1"/>
      <c r="L10244" s="2"/>
    </row>
    <row r="10245" spans="1:12" x14ac:dyDescent="0.2">
      <c r="A10245"/>
      <c r="B10245"/>
      <c r="C10245"/>
      <c r="D10245"/>
      <c r="E10245"/>
      <c r="F10245"/>
      <c r="G10245"/>
      <c r="H10245"/>
      <c r="I10245"/>
      <c r="J10245"/>
      <c r="K10245" s="1"/>
      <c r="L10245" s="2"/>
    </row>
    <row r="10246" spans="1:12" x14ac:dyDescent="0.2">
      <c r="A10246"/>
      <c r="B10246"/>
      <c r="C10246"/>
      <c r="D10246"/>
      <c r="E10246"/>
      <c r="F10246"/>
      <c r="G10246"/>
      <c r="H10246"/>
      <c r="I10246"/>
      <c r="J10246"/>
      <c r="K10246" s="1"/>
      <c r="L10246" s="2"/>
    </row>
    <row r="10247" spans="1:12" x14ac:dyDescent="0.2">
      <c r="A10247"/>
      <c r="B10247"/>
      <c r="C10247"/>
      <c r="D10247"/>
      <c r="E10247"/>
      <c r="F10247"/>
      <c r="G10247"/>
      <c r="H10247"/>
      <c r="I10247"/>
      <c r="J10247"/>
      <c r="K10247" s="1"/>
      <c r="L10247" s="2"/>
    </row>
    <row r="10248" spans="1:12" x14ac:dyDescent="0.2">
      <c r="A10248"/>
      <c r="B10248"/>
      <c r="C10248"/>
      <c r="D10248"/>
      <c r="E10248"/>
      <c r="F10248"/>
      <c r="G10248"/>
      <c r="H10248"/>
      <c r="I10248"/>
      <c r="J10248"/>
      <c r="K10248" s="1"/>
      <c r="L10248" s="2"/>
    </row>
    <row r="10249" spans="1:12" x14ac:dyDescent="0.2">
      <c r="A10249"/>
      <c r="B10249"/>
      <c r="C10249"/>
      <c r="D10249"/>
      <c r="E10249"/>
      <c r="F10249"/>
      <c r="G10249"/>
      <c r="H10249"/>
      <c r="I10249"/>
      <c r="J10249"/>
      <c r="K10249" s="1"/>
      <c r="L10249" s="2"/>
    </row>
    <row r="10250" spans="1:12" x14ac:dyDescent="0.2">
      <c r="A10250"/>
      <c r="B10250"/>
      <c r="C10250"/>
      <c r="D10250"/>
      <c r="E10250"/>
      <c r="F10250"/>
      <c r="G10250"/>
      <c r="H10250"/>
      <c r="I10250"/>
      <c r="J10250"/>
      <c r="K10250" s="1"/>
      <c r="L10250" s="2"/>
    </row>
    <row r="10251" spans="1:12" x14ac:dyDescent="0.2">
      <c r="A10251"/>
      <c r="B10251"/>
      <c r="C10251"/>
      <c r="D10251"/>
      <c r="E10251"/>
      <c r="F10251"/>
      <c r="G10251"/>
      <c r="H10251"/>
      <c r="I10251"/>
      <c r="J10251"/>
      <c r="K10251" s="1"/>
      <c r="L10251" s="2"/>
    </row>
    <row r="10252" spans="1:12" x14ac:dyDescent="0.2">
      <c r="A10252"/>
      <c r="B10252"/>
      <c r="C10252"/>
      <c r="D10252"/>
      <c r="E10252"/>
      <c r="F10252"/>
      <c r="G10252"/>
      <c r="H10252"/>
      <c r="I10252"/>
      <c r="J10252"/>
      <c r="K10252" s="1"/>
      <c r="L10252" s="2"/>
    </row>
    <row r="10253" spans="1:12" x14ac:dyDescent="0.2">
      <c r="A10253"/>
      <c r="B10253"/>
      <c r="C10253"/>
      <c r="D10253"/>
      <c r="E10253"/>
      <c r="F10253"/>
      <c r="G10253"/>
      <c r="H10253"/>
      <c r="I10253"/>
      <c r="J10253"/>
      <c r="K10253" s="1"/>
      <c r="L10253" s="2"/>
    </row>
    <row r="10254" spans="1:12" x14ac:dyDescent="0.2">
      <c r="A10254"/>
      <c r="B10254"/>
      <c r="C10254"/>
      <c r="D10254"/>
      <c r="E10254"/>
      <c r="F10254"/>
      <c r="G10254"/>
      <c r="H10254"/>
      <c r="I10254"/>
      <c r="J10254"/>
      <c r="K10254" s="1"/>
      <c r="L10254" s="2"/>
    </row>
    <row r="10255" spans="1:12" x14ac:dyDescent="0.2">
      <c r="A10255"/>
      <c r="B10255"/>
      <c r="C10255"/>
      <c r="D10255"/>
      <c r="E10255"/>
      <c r="F10255"/>
      <c r="G10255"/>
      <c r="H10255"/>
      <c r="I10255"/>
      <c r="J10255"/>
      <c r="K10255" s="1"/>
      <c r="L10255" s="2"/>
    </row>
    <row r="10256" spans="1:12" x14ac:dyDescent="0.2">
      <c r="A10256"/>
      <c r="B10256"/>
      <c r="C10256"/>
      <c r="D10256"/>
      <c r="E10256"/>
      <c r="F10256"/>
      <c r="G10256"/>
      <c r="H10256"/>
      <c r="I10256"/>
      <c r="J10256"/>
      <c r="K10256" s="1"/>
      <c r="L10256" s="2"/>
    </row>
    <row r="10257" spans="1:12" x14ac:dyDescent="0.2">
      <c r="A10257"/>
      <c r="B10257"/>
      <c r="C10257"/>
      <c r="D10257"/>
      <c r="E10257"/>
      <c r="F10257"/>
      <c r="G10257"/>
      <c r="H10257"/>
      <c r="I10257"/>
      <c r="J10257"/>
      <c r="K10257" s="1"/>
      <c r="L10257" s="2"/>
    </row>
    <row r="10258" spans="1:12" x14ac:dyDescent="0.2">
      <c r="A10258"/>
      <c r="B10258"/>
      <c r="C10258"/>
      <c r="D10258"/>
      <c r="E10258"/>
      <c r="F10258"/>
      <c r="G10258"/>
      <c r="H10258"/>
      <c r="I10258"/>
      <c r="J10258"/>
      <c r="K10258" s="1"/>
      <c r="L10258" s="2"/>
    </row>
    <row r="10259" spans="1:12" x14ac:dyDescent="0.2">
      <c r="A10259"/>
      <c r="B10259"/>
      <c r="C10259"/>
      <c r="D10259"/>
      <c r="E10259"/>
      <c r="F10259"/>
      <c r="G10259"/>
      <c r="H10259"/>
      <c r="I10259"/>
      <c r="J10259"/>
      <c r="K10259" s="1"/>
      <c r="L10259" s="2"/>
    </row>
    <row r="10260" spans="1:12" x14ac:dyDescent="0.2">
      <c r="A10260"/>
      <c r="B10260"/>
      <c r="C10260"/>
      <c r="D10260"/>
      <c r="E10260"/>
      <c r="F10260"/>
      <c r="G10260"/>
      <c r="H10260"/>
      <c r="I10260"/>
      <c r="J10260"/>
      <c r="K10260" s="1"/>
      <c r="L10260" s="2"/>
    </row>
    <row r="10261" spans="1:12" x14ac:dyDescent="0.2">
      <c r="A10261"/>
      <c r="B10261"/>
      <c r="C10261"/>
      <c r="D10261"/>
      <c r="E10261"/>
      <c r="F10261"/>
      <c r="G10261"/>
      <c r="H10261"/>
      <c r="I10261"/>
      <c r="J10261"/>
      <c r="K10261" s="1"/>
      <c r="L10261" s="2"/>
    </row>
    <row r="10262" spans="1:12" x14ac:dyDescent="0.2">
      <c r="A10262"/>
      <c r="B10262"/>
      <c r="C10262"/>
      <c r="D10262"/>
      <c r="E10262"/>
      <c r="F10262"/>
      <c r="G10262"/>
      <c r="H10262"/>
      <c r="I10262"/>
      <c r="J10262"/>
      <c r="K10262" s="1"/>
      <c r="L10262" s="2"/>
    </row>
    <row r="10263" spans="1:12" x14ac:dyDescent="0.2">
      <c r="A10263"/>
      <c r="B10263"/>
      <c r="C10263"/>
      <c r="D10263"/>
      <c r="E10263"/>
      <c r="F10263"/>
      <c r="G10263"/>
      <c r="H10263"/>
      <c r="I10263"/>
      <c r="J10263"/>
      <c r="K10263" s="1"/>
      <c r="L10263" s="2"/>
    </row>
    <row r="10264" spans="1:12" x14ac:dyDescent="0.2">
      <c r="A10264"/>
      <c r="B10264"/>
      <c r="C10264"/>
      <c r="D10264"/>
      <c r="E10264"/>
      <c r="F10264"/>
      <c r="G10264"/>
      <c r="H10264"/>
      <c r="I10264"/>
      <c r="J10264"/>
      <c r="K10264" s="1"/>
      <c r="L10264" s="2"/>
    </row>
    <row r="10265" spans="1:12" x14ac:dyDescent="0.2">
      <c r="A10265"/>
      <c r="B10265"/>
      <c r="C10265"/>
      <c r="D10265"/>
      <c r="E10265"/>
      <c r="F10265"/>
      <c r="G10265"/>
      <c r="H10265"/>
      <c r="I10265"/>
      <c r="J10265"/>
      <c r="K10265" s="1"/>
      <c r="L10265" s="2"/>
    </row>
    <row r="10266" spans="1:12" x14ac:dyDescent="0.2">
      <c r="A10266"/>
      <c r="B10266"/>
      <c r="C10266"/>
      <c r="D10266"/>
      <c r="E10266"/>
      <c r="F10266"/>
      <c r="G10266"/>
      <c r="H10266"/>
      <c r="I10266"/>
      <c r="J10266"/>
      <c r="K10266" s="1"/>
      <c r="L10266" s="2"/>
    </row>
    <row r="10267" spans="1:12" x14ac:dyDescent="0.2">
      <c r="A10267"/>
      <c r="B10267"/>
      <c r="C10267"/>
      <c r="D10267"/>
      <c r="E10267"/>
      <c r="F10267"/>
      <c r="G10267"/>
      <c r="H10267"/>
      <c r="I10267"/>
      <c r="J10267"/>
      <c r="K10267" s="1"/>
      <c r="L10267" s="2"/>
    </row>
    <row r="10268" spans="1:12" x14ac:dyDescent="0.2">
      <c r="A10268"/>
      <c r="B10268"/>
      <c r="C10268"/>
      <c r="D10268"/>
      <c r="E10268"/>
      <c r="F10268"/>
      <c r="G10268"/>
      <c r="H10268"/>
      <c r="I10268"/>
      <c r="J10268"/>
      <c r="K10268" s="1"/>
      <c r="L10268" s="2"/>
    </row>
    <row r="10269" spans="1:12" x14ac:dyDescent="0.2">
      <c r="A10269"/>
      <c r="B10269"/>
      <c r="C10269"/>
      <c r="D10269"/>
      <c r="E10269"/>
      <c r="F10269"/>
      <c r="G10269"/>
      <c r="H10269"/>
      <c r="I10269"/>
      <c r="J10269"/>
      <c r="K10269" s="1"/>
      <c r="L10269" s="2"/>
    </row>
    <row r="10270" spans="1:12" x14ac:dyDescent="0.2">
      <c r="A10270"/>
      <c r="B10270"/>
      <c r="C10270"/>
      <c r="D10270"/>
      <c r="E10270"/>
      <c r="F10270"/>
      <c r="G10270"/>
      <c r="H10270"/>
      <c r="I10270"/>
      <c r="J10270"/>
      <c r="K10270" s="1"/>
      <c r="L10270" s="2"/>
    </row>
    <row r="10271" spans="1:12" x14ac:dyDescent="0.2">
      <c r="A10271"/>
      <c r="B10271"/>
      <c r="C10271"/>
      <c r="D10271"/>
      <c r="E10271"/>
      <c r="F10271"/>
      <c r="G10271"/>
      <c r="H10271"/>
      <c r="I10271"/>
      <c r="J10271"/>
      <c r="K10271" s="1"/>
      <c r="L10271" s="2"/>
    </row>
    <row r="10272" spans="1:12" x14ac:dyDescent="0.2">
      <c r="A10272"/>
      <c r="B10272"/>
      <c r="C10272"/>
      <c r="D10272"/>
      <c r="E10272"/>
      <c r="F10272"/>
      <c r="G10272"/>
      <c r="H10272"/>
      <c r="I10272"/>
      <c r="J10272"/>
      <c r="K10272" s="1"/>
      <c r="L10272" s="2"/>
    </row>
    <row r="10273" spans="1:12" x14ac:dyDescent="0.2">
      <c r="A10273"/>
      <c r="B10273"/>
      <c r="C10273"/>
      <c r="D10273"/>
      <c r="E10273"/>
      <c r="F10273"/>
      <c r="G10273"/>
      <c r="H10273"/>
      <c r="I10273"/>
      <c r="J10273"/>
      <c r="K10273" s="1"/>
      <c r="L10273" s="2"/>
    </row>
    <row r="10274" spans="1:12" x14ac:dyDescent="0.2">
      <c r="A10274"/>
      <c r="B10274"/>
      <c r="C10274"/>
      <c r="D10274"/>
      <c r="E10274"/>
      <c r="F10274"/>
      <c r="G10274"/>
      <c r="H10274"/>
      <c r="I10274"/>
      <c r="J10274"/>
      <c r="K10274" s="1"/>
      <c r="L10274" s="2"/>
    </row>
    <row r="10275" spans="1:12" x14ac:dyDescent="0.2">
      <c r="A10275"/>
      <c r="B10275"/>
      <c r="C10275"/>
      <c r="D10275"/>
      <c r="E10275"/>
      <c r="F10275"/>
      <c r="G10275"/>
      <c r="H10275"/>
      <c r="I10275"/>
      <c r="J10275"/>
      <c r="K10275" s="1"/>
      <c r="L10275" s="2"/>
    </row>
    <row r="10276" spans="1:12" x14ac:dyDescent="0.2">
      <c r="A10276"/>
      <c r="B10276"/>
      <c r="C10276"/>
      <c r="D10276"/>
      <c r="E10276"/>
      <c r="F10276"/>
      <c r="G10276"/>
      <c r="H10276"/>
      <c r="I10276"/>
      <c r="J10276"/>
      <c r="K10276" s="1"/>
      <c r="L10276" s="2"/>
    </row>
    <row r="10277" spans="1:12" x14ac:dyDescent="0.2">
      <c r="A10277"/>
      <c r="B10277"/>
      <c r="C10277"/>
      <c r="D10277"/>
      <c r="E10277"/>
      <c r="F10277"/>
      <c r="G10277"/>
      <c r="H10277"/>
      <c r="I10277"/>
      <c r="J10277"/>
      <c r="K10277" s="1"/>
      <c r="L10277" s="2"/>
    </row>
    <row r="10278" spans="1:12" x14ac:dyDescent="0.2">
      <c r="A10278"/>
      <c r="B10278"/>
      <c r="C10278"/>
      <c r="D10278"/>
      <c r="E10278"/>
      <c r="F10278"/>
      <c r="G10278"/>
      <c r="H10278"/>
      <c r="I10278"/>
      <c r="J10278"/>
      <c r="K10278" s="1"/>
      <c r="L10278" s="2"/>
    </row>
    <row r="10279" spans="1:12" x14ac:dyDescent="0.2">
      <c r="A10279"/>
      <c r="B10279"/>
      <c r="C10279"/>
      <c r="D10279"/>
      <c r="E10279"/>
      <c r="F10279"/>
      <c r="G10279"/>
      <c r="H10279"/>
      <c r="I10279"/>
      <c r="J10279"/>
      <c r="K10279" s="1"/>
      <c r="L10279" s="2"/>
    </row>
    <row r="10280" spans="1:12" x14ac:dyDescent="0.2">
      <c r="A10280"/>
      <c r="B10280"/>
      <c r="C10280"/>
      <c r="D10280"/>
      <c r="E10280"/>
      <c r="F10280"/>
      <c r="G10280"/>
      <c r="H10280"/>
      <c r="I10280"/>
      <c r="J10280"/>
      <c r="K10280" s="1"/>
      <c r="L10280" s="2"/>
    </row>
    <row r="10281" spans="1:12" x14ac:dyDescent="0.2">
      <c r="A10281"/>
      <c r="B10281"/>
      <c r="C10281"/>
      <c r="D10281"/>
      <c r="E10281"/>
      <c r="F10281"/>
      <c r="G10281"/>
      <c r="H10281"/>
      <c r="I10281"/>
      <c r="J10281"/>
      <c r="K10281" s="1"/>
      <c r="L10281" s="2"/>
    </row>
    <row r="10282" spans="1:12" x14ac:dyDescent="0.2">
      <c r="A10282"/>
      <c r="B10282"/>
      <c r="C10282"/>
      <c r="D10282"/>
      <c r="E10282"/>
      <c r="F10282"/>
      <c r="G10282"/>
      <c r="H10282"/>
      <c r="I10282"/>
      <c r="J10282"/>
      <c r="K10282" s="1"/>
      <c r="L10282" s="2"/>
    </row>
    <row r="10283" spans="1:12" x14ac:dyDescent="0.2">
      <c r="A10283"/>
      <c r="B10283"/>
      <c r="C10283"/>
      <c r="D10283"/>
      <c r="E10283"/>
      <c r="F10283"/>
      <c r="G10283"/>
      <c r="H10283"/>
      <c r="I10283"/>
      <c r="J10283"/>
      <c r="K10283" s="1"/>
      <c r="L10283" s="2"/>
    </row>
    <row r="10284" spans="1:12" x14ac:dyDescent="0.2">
      <c r="A10284"/>
      <c r="B10284"/>
      <c r="C10284"/>
      <c r="D10284"/>
      <c r="E10284"/>
      <c r="F10284"/>
      <c r="G10284"/>
      <c r="H10284"/>
      <c r="I10284"/>
      <c r="J10284"/>
      <c r="K10284" s="1"/>
      <c r="L10284" s="2"/>
    </row>
    <row r="10285" spans="1:12" x14ac:dyDescent="0.2">
      <c r="A10285"/>
      <c r="B10285"/>
      <c r="C10285"/>
      <c r="D10285"/>
      <c r="E10285"/>
      <c r="F10285"/>
      <c r="G10285"/>
      <c r="H10285"/>
      <c r="I10285"/>
      <c r="J10285"/>
      <c r="K10285" s="1"/>
      <c r="L10285" s="2"/>
    </row>
    <row r="10286" spans="1:12" x14ac:dyDescent="0.2">
      <c r="A10286"/>
      <c r="B10286"/>
      <c r="C10286"/>
      <c r="D10286"/>
      <c r="E10286"/>
      <c r="F10286"/>
      <c r="G10286"/>
      <c r="H10286"/>
      <c r="I10286"/>
      <c r="J10286"/>
      <c r="K10286" s="1"/>
      <c r="L10286" s="2"/>
    </row>
    <row r="10287" spans="1:12" x14ac:dyDescent="0.2">
      <c r="A10287"/>
      <c r="B10287"/>
      <c r="C10287"/>
      <c r="D10287"/>
      <c r="E10287"/>
      <c r="F10287"/>
      <c r="G10287"/>
      <c r="H10287"/>
      <c r="I10287"/>
      <c r="J10287"/>
      <c r="K10287" s="1"/>
      <c r="L10287" s="2"/>
    </row>
    <row r="10288" spans="1:12" x14ac:dyDescent="0.2">
      <c r="A10288"/>
      <c r="B10288"/>
      <c r="C10288"/>
      <c r="D10288"/>
      <c r="E10288"/>
      <c r="F10288"/>
      <c r="G10288"/>
      <c r="H10288"/>
      <c r="I10288"/>
      <c r="J10288"/>
      <c r="K10288" s="1"/>
      <c r="L10288" s="2"/>
    </row>
    <row r="10289" spans="1:12" x14ac:dyDescent="0.2">
      <c r="A10289"/>
      <c r="B10289"/>
      <c r="C10289"/>
      <c r="D10289"/>
      <c r="E10289"/>
      <c r="F10289"/>
      <c r="G10289"/>
      <c r="H10289"/>
      <c r="I10289"/>
      <c r="J10289"/>
      <c r="K10289" s="1"/>
      <c r="L10289" s="2"/>
    </row>
    <row r="10290" spans="1:12" x14ac:dyDescent="0.2">
      <c r="A10290"/>
      <c r="B10290"/>
      <c r="C10290"/>
      <c r="D10290"/>
      <c r="E10290"/>
      <c r="F10290"/>
      <c r="G10290"/>
      <c r="H10290"/>
      <c r="I10290"/>
      <c r="J10290"/>
      <c r="K10290" s="1"/>
      <c r="L10290" s="2"/>
    </row>
    <row r="10291" spans="1:12" x14ac:dyDescent="0.2">
      <c r="A10291"/>
      <c r="B10291"/>
      <c r="C10291"/>
      <c r="D10291"/>
      <c r="E10291"/>
      <c r="F10291"/>
      <c r="G10291"/>
      <c r="H10291"/>
      <c r="I10291"/>
      <c r="J10291"/>
      <c r="K10291" s="1"/>
      <c r="L10291" s="2"/>
    </row>
    <row r="10292" spans="1:12" x14ac:dyDescent="0.2">
      <c r="A10292"/>
      <c r="B10292"/>
      <c r="C10292"/>
      <c r="D10292"/>
      <c r="E10292"/>
      <c r="F10292"/>
      <c r="G10292"/>
      <c r="H10292"/>
      <c r="I10292"/>
      <c r="J10292"/>
      <c r="K10292" s="1"/>
      <c r="L10292" s="2"/>
    </row>
    <row r="10293" spans="1:12" x14ac:dyDescent="0.2">
      <c r="A10293"/>
      <c r="B10293"/>
      <c r="C10293"/>
      <c r="D10293"/>
      <c r="E10293"/>
      <c r="F10293"/>
      <c r="G10293"/>
      <c r="H10293"/>
      <c r="I10293"/>
      <c r="J10293"/>
      <c r="K10293" s="1"/>
      <c r="L10293" s="2"/>
    </row>
    <row r="10294" spans="1:12" x14ac:dyDescent="0.2">
      <c r="A10294"/>
      <c r="B10294"/>
      <c r="C10294"/>
      <c r="D10294"/>
      <c r="E10294"/>
      <c r="F10294"/>
      <c r="G10294"/>
      <c r="H10294"/>
      <c r="I10294"/>
      <c r="J10294"/>
      <c r="K10294" s="1"/>
      <c r="L10294" s="2"/>
    </row>
    <row r="10295" spans="1:12" x14ac:dyDescent="0.2">
      <c r="A10295"/>
      <c r="B10295"/>
      <c r="C10295"/>
      <c r="D10295"/>
      <c r="E10295"/>
      <c r="F10295"/>
      <c r="G10295"/>
      <c r="H10295"/>
      <c r="I10295"/>
      <c r="J10295"/>
      <c r="K10295" s="1"/>
      <c r="L10295" s="2"/>
    </row>
    <row r="10296" spans="1:12" x14ac:dyDescent="0.2">
      <c r="A10296"/>
      <c r="B10296"/>
      <c r="C10296"/>
      <c r="D10296"/>
      <c r="E10296"/>
      <c r="F10296"/>
      <c r="G10296"/>
      <c r="H10296"/>
      <c r="I10296"/>
      <c r="J10296"/>
      <c r="K10296" s="1"/>
      <c r="L10296" s="2"/>
    </row>
    <row r="10297" spans="1:12" x14ac:dyDescent="0.2">
      <c r="A10297"/>
      <c r="B10297"/>
      <c r="C10297"/>
      <c r="D10297"/>
      <c r="E10297"/>
      <c r="F10297"/>
      <c r="G10297"/>
      <c r="H10297"/>
      <c r="I10297"/>
      <c r="J10297"/>
      <c r="K10297" s="1"/>
      <c r="L10297" s="2"/>
    </row>
    <row r="10298" spans="1:12" x14ac:dyDescent="0.2">
      <c r="A10298"/>
      <c r="B10298"/>
      <c r="C10298"/>
      <c r="D10298"/>
      <c r="E10298"/>
      <c r="F10298"/>
      <c r="G10298"/>
      <c r="H10298"/>
      <c r="I10298"/>
      <c r="J10298"/>
      <c r="K10298" s="1"/>
      <c r="L10298" s="2"/>
    </row>
    <row r="10299" spans="1:12" x14ac:dyDescent="0.2">
      <c r="A10299"/>
      <c r="B10299"/>
      <c r="C10299"/>
      <c r="D10299"/>
      <c r="E10299"/>
      <c r="F10299"/>
      <c r="G10299"/>
      <c r="H10299"/>
      <c r="I10299"/>
      <c r="J10299"/>
      <c r="K10299" s="1"/>
      <c r="L10299" s="2"/>
    </row>
    <row r="10300" spans="1:12" x14ac:dyDescent="0.2">
      <c r="A10300"/>
      <c r="B10300"/>
      <c r="C10300"/>
      <c r="D10300"/>
      <c r="E10300"/>
      <c r="F10300"/>
      <c r="G10300"/>
      <c r="H10300"/>
      <c r="I10300"/>
      <c r="J10300"/>
      <c r="K10300" s="1"/>
      <c r="L10300" s="2"/>
    </row>
    <row r="10301" spans="1:12" x14ac:dyDescent="0.2">
      <c r="A10301"/>
      <c r="B10301"/>
      <c r="C10301"/>
      <c r="D10301"/>
      <c r="E10301"/>
      <c r="F10301"/>
      <c r="G10301"/>
      <c r="H10301"/>
      <c r="I10301"/>
      <c r="J10301"/>
      <c r="K10301" s="1"/>
      <c r="L10301" s="2"/>
    </row>
    <row r="10302" spans="1:12" x14ac:dyDescent="0.2">
      <c r="A10302"/>
      <c r="B10302"/>
      <c r="C10302"/>
      <c r="D10302"/>
      <c r="E10302"/>
      <c r="F10302"/>
      <c r="G10302"/>
      <c r="H10302"/>
      <c r="I10302"/>
      <c r="J10302"/>
      <c r="K10302" s="1"/>
      <c r="L10302" s="2"/>
    </row>
    <row r="10303" spans="1:12" x14ac:dyDescent="0.2">
      <c r="A10303"/>
      <c r="B10303"/>
      <c r="C10303"/>
      <c r="D10303"/>
      <c r="E10303"/>
      <c r="F10303"/>
      <c r="G10303"/>
      <c r="H10303"/>
      <c r="I10303"/>
      <c r="J10303"/>
      <c r="K10303" s="1"/>
      <c r="L10303" s="2"/>
    </row>
    <row r="10304" spans="1:12" x14ac:dyDescent="0.2">
      <c r="A10304"/>
      <c r="B10304"/>
      <c r="C10304"/>
      <c r="D10304"/>
      <c r="E10304"/>
      <c r="F10304"/>
      <c r="G10304"/>
      <c r="H10304"/>
      <c r="I10304"/>
      <c r="J10304"/>
      <c r="K10304" s="1"/>
      <c r="L10304" s="2"/>
    </row>
    <row r="10305" spans="1:12" x14ac:dyDescent="0.2">
      <c r="A10305"/>
      <c r="B10305"/>
      <c r="C10305"/>
      <c r="D10305"/>
      <c r="E10305"/>
      <c r="F10305"/>
      <c r="G10305"/>
      <c r="H10305"/>
      <c r="I10305"/>
      <c r="J10305"/>
      <c r="K10305" s="1"/>
      <c r="L10305" s="2"/>
    </row>
    <row r="10306" spans="1:12" x14ac:dyDescent="0.2">
      <c r="A10306"/>
      <c r="B10306"/>
      <c r="C10306"/>
      <c r="D10306"/>
      <c r="E10306"/>
      <c r="F10306"/>
      <c r="G10306"/>
      <c r="H10306"/>
      <c r="I10306"/>
      <c r="J10306"/>
      <c r="K10306" s="1"/>
      <c r="L10306" s="2"/>
    </row>
    <row r="10307" spans="1:12" x14ac:dyDescent="0.2">
      <c r="A10307"/>
      <c r="B10307"/>
      <c r="C10307"/>
      <c r="D10307"/>
      <c r="E10307"/>
      <c r="F10307"/>
      <c r="G10307"/>
      <c r="H10307"/>
      <c r="I10307"/>
      <c r="J10307"/>
      <c r="K10307" s="1"/>
      <c r="L10307" s="2"/>
    </row>
    <row r="10308" spans="1:12" x14ac:dyDescent="0.2">
      <c r="A10308"/>
      <c r="B10308"/>
      <c r="C10308"/>
      <c r="D10308"/>
      <c r="E10308"/>
      <c r="F10308"/>
      <c r="G10308"/>
      <c r="H10308"/>
      <c r="I10308"/>
      <c r="J10308"/>
      <c r="K10308" s="1"/>
      <c r="L10308" s="2"/>
    </row>
    <row r="10309" spans="1:12" x14ac:dyDescent="0.2">
      <c r="A10309"/>
      <c r="B10309"/>
      <c r="C10309"/>
      <c r="D10309"/>
      <c r="E10309"/>
      <c r="F10309"/>
      <c r="G10309"/>
      <c r="H10309"/>
      <c r="I10309"/>
      <c r="J10309"/>
      <c r="K10309" s="1"/>
      <c r="L10309" s="2"/>
    </row>
    <row r="10310" spans="1:12" x14ac:dyDescent="0.2">
      <c r="A10310"/>
      <c r="B10310"/>
      <c r="C10310"/>
      <c r="D10310"/>
      <c r="E10310"/>
      <c r="F10310"/>
      <c r="G10310"/>
      <c r="H10310"/>
      <c r="I10310"/>
      <c r="J10310"/>
      <c r="K10310" s="1"/>
      <c r="L10310" s="2"/>
    </row>
    <row r="10311" spans="1:12" x14ac:dyDescent="0.2">
      <c r="A10311"/>
      <c r="B10311"/>
      <c r="C10311"/>
      <c r="D10311"/>
      <c r="E10311"/>
      <c r="F10311"/>
      <c r="G10311"/>
      <c r="H10311"/>
      <c r="I10311"/>
      <c r="J10311"/>
      <c r="K10311" s="1"/>
      <c r="L10311" s="2"/>
    </row>
    <row r="10312" spans="1:12" x14ac:dyDescent="0.2">
      <c r="A10312"/>
      <c r="B10312"/>
      <c r="C10312"/>
      <c r="D10312"/>
      <c r="E10312"/>
      <c r="F10312"/>
      <c r="G10312"/>
      <c r="H10312"/>
      <c r="I10312"/>
      <c r="J10312"/>
      <c r="K10312" s="1"/>
      <c r="L10312" s="2"/>
    </row>
    <row r="10313" spans="1:12" x14ac:dyDescent="0.2">
      <c r="A10313"/>
      <c r="B10313"/>
      <c r="C10313"/>
      <c r="D10313"/>
      <c r="E10313"/>
      <c r="F10313"/>
      <c r="G10313"/>
      <c r="H10313"/>
      <c r="I10313"/>
      <c r="J10313"/>
      <c r="K10313" s="1"/>
      <c r="L10313" s="2"/>
    </row>
    <row r="10314" spans="1:12" x14ac:dyDescent="0.2">
      <c r="A10314"/>
      <c r="B10314"/>
      <c r="C10314"/>
      <c r="D10314"/>
      <c r="E10314"/>
      <c r="F10314"/>
      <c r="G10314"/>
      <c r="H10314"/>
      <c r="I10314"/>
      <c r="J10314"/>
      <c r="K10314" s="1"/>
      <c r="L10314" s="2"/>
    </row>
    <row r="10315" spans="1:12" x14ac:dyDescent="0.2">
      <c r="A10315"/>
      <c r="B10315"/>
      <c r="C10315"/>
      <c r="D10315"/>
      <c r="E10315"/>
      <c r="F10315"/>
      <c r="G10315"/>
      <c r="H10315"/>
      <c r="I10315"/>
      <c r="J10315"/>
      <c r="K10315" s="1"/>
      <c r="L10315" s="2"/>
    </row>
    <row r="10316" spans="1:12" x14ac:dyDescent="0.2">
      <c r="A10316"/>
      <c r="B10316"/>
      <c r="C10316"/>
      <c r="D10316"/>
      <c r="E10316"/>
      <c r="F10316"/>
      <c r="G10316"/>
      <c r="H10316"/>
      <c r="I10316"/>
      <c r="J10316"/>
      <c r="K10316" s="1"/>
      <c r="L10316" s="2"/>
    </row>
    <row r="10317" spans="1:12" x14ac:dyDescent="0.2">
      <c r="A10317"/>
      <c r="B10317"/>
      <c r="C10317"/>
      <c r="D10317"/>
      <c r="E10317"/>
      <c r="F10317"/>
      <c r="G10317"/>
      <c r="H10317"/>
      <c r="I10317"/>
      <c r="J10317"/>
      <c r="K10317" s="1"/>
      <c r="L10317" s="2"/>
    </row>
    <row r="10318" spans="1:12" x14ac:dyDescent="0.2">
      <c r="A10318"/>
      <c r="B10318"/>
      <c r="C10318"/>
      <c r="D10318"/>
      <c r="E10318"/>
      <c r="F10318"/>
      <c r="G10318"/>
      <c r="H10318"/>
      <c r="I10318"/>
      <c r="J10318"/>
      <c r="K10318" s="1"/>
      <c r="L10318" s="2"/>
    </row>
    <row r="10319" spans="1:12" x14ac:dyDescent="0.2">
      <c r="A10319"/>
      <c r="B10319"/>
      <c r="C10319"/>
      <c r="D10319"/>
      <c r="E10319"/>
      <c r="F10319"/>
      <c r="G10319"/>
      <c r="H10319"/>
      <c r="I10319"/>
      <c r="J10319"/>
      <c r="K10319" s="1"/>
      <c r="L10319" s="2"/>
    </row>
    <row r="10320" spans="1:12" x14ac:dyDescent="0.2">
      <c r="A10320"/>
      <c r="B10320"/>
      <c r="C10320"/>
      <c r="D10320"/>
      <c r="E10320"/>
      <c r="F10320"/>
      <c r="G10320"/>
      <c r="H10320"/>
      <c r="I10320"/>
      <c r="J10320"/>
      <c r="K10320" s="1"/>
      <c r="L10320" s="2"/>
    </row>
    <row r="10321" spans="1:12" x14ac:dyDescent="0.2">
      <c r="A10321"/>
      <c r="B10321"/>
      <c r="C10321"/>
      <c r="D10321"/>
      <c r="E10321"/>
      <c r="F10321"/>
      <c r="G10321"/>
      <c r="H10321"/>
      <c r="I10321"/>
      <c r="J10321"/>
      <c r="K10321" s="1"/>
      <c r="L10321" s="2"/>
    </row>
    <row r="10322" spans="1:12" x14ac:dyDescent="0.2">
      <c r="A10322"/>
      <c r="B10322"/>
      <c r="C10322"/>
      <c r="D10322"/>
      <c r="E10322"/>
      <c r="F10322"/>
      <c r="G10322"/>
      <c r="H10322"/>
      <c r="I10322"/>
      <c r="J10322"/>
      <c r="K10322" s="1"/>
      <c r="L10322" s="2"/>
    </row>
    <row r="10323" spans="1:12" x14ac:dyDescent="0.2">
      <c r="A10323"/>
      <c r="B10323"/>
      <c r="C10323"/>
      <c r="D10323"/>
      <c r="E10323"/>
      <c r="F10323"/>
      <c r="G10323"/>
      <c r="H10323"/>
      <c r="I10323"/>
      <c r="J10323"/>
      <c r="K10323" s="1"/>
      <c r="L10323" s="2"/>
    </row>
    <row r="10324" spans="1:12" x14ac:dyDescent="0.2">
      <c r="A10324"/>
      <c r="B10324"/>
      <c r="C10324"/>
      <c r="D10324"/>
      <c r="E10324"/>
      <c r="F10324"/>
      <c r="G10324"/>
      <c r="H10324"/>
      <c r="I10324"/>
      <c r="J10324"/>
      <c r="K10324" s="1"/>
      <c r="L10324" s="2"/>
    </row>
    <row r="10325" spans="1:12" x14ac:dyDescent="0.2">
      <c r="A10325"/>
      <c r="B10325"/>
      <c r="C10325"/>
      <c r="D10325"/>
      <c r="E10325"/>
      <c r="F10325"/>
      <c r="G10325"/>
      <c r="H10325"/>
      <c r="I10325"/>
      <c r="J10325"/>
      <c r="K10325" s="1"/>
      <c r="L10325" s="2"/>
    </row>
    <row r="10326" spans="1:12" x14ac:dyDescent="0.2">
      <c r="A10326"/>
      <c r="B10326"/>
      <c r="C10326"/>
      <c r="D10326"/>
      <c r="E10326"/>
      <c r="F10326"/>
      <c r="G10326"/>
      <c r="H10326"/>
      <c r="I10326"/>
      <c r="J10326"/>
      <c r="K10326" s="1"/>
      <c r="L10326" s="2"/>
    </row>
    <row r="10327" spans="1:12" x14ac:dyDescent="0.2">
      <c r="A10327"/>
      <c r="B10327"/>
      <c r="C10327"/>
      <c r="D10327"/>
      <c r="E10327"/>
      <c r="F10327"/>
      <c r="G10327"/>
      <c r="H10327"/>
      <c r="I10327"/>
      <c r="J10327"/>
      <c r="K10327" s="1"/>
      <c r="L10327" s="2"/>
    </row>
    <row r="10328" spans="1:12" x14ac:dyDescent="0.2">
      <c r="A10328"/>
      <c r="B10328"/>
      <c r="C10328"/>
      <c r="D10328"/>
      <c r="E10328"/>
      <c r="F10328"/>
      <c r="G10328"/>
      <c r="H10328"/>
      <c r="I10328"/>
      <c r="J10328"/>
      <c r="K10328" s="1"/>
      <c r="L10328" s="2"/>
    </row>
    <row r="10329" spans="1:12" x14ac:dyDescent="0.2">
      <c r="A10329"/>
      <c r="B10329"/>
      <c r="C10329"/>
      <c r="D10329"/>
      <c r="E10329"/>
      <c r="F10329"/>
      <c r="G10329"/>
      <c r="H10329"/>
      <c r="I10329"/>
      <c r="J10329"/>
      <c r="K10329" s="1"/>
      <c r="L10329" s="2"/>
    </row>
    <row r="10330" spans="1:12" x14ac:dyDescent="0.2">
      <c r="A10330"/>
      <c r="B10330"/>
      <c r="C10330"/>
      <c r="D10330"/>
      <c r="E10330"/>
      <c r="F10330"/>
      <c r="G10330"/>
      <c r="H10330"/>
      <c r="I10330"/>
      <c r="J10330"/>
      <c r="K10330" s="1"/>
      <c r="L10330" s="2"/>
    </row>
    <row r="10331" spans="1:12" x14ac:dyDescent="0.2">
      <c r="A10331"/>
      <c r="B10331"/>
      <c r="C10331"/>
      <c r="D10331"/>
      <c r="E10331"/>
      <c r="F10331"/>
      <c r="G10331"/>
      <c r="H10331"/>
      <c r="I10331"/>
      <c r="J10331"/>
      <c r="K10331" s="1"/>
      <c r="L10331" s="2"/>
    </row>
    <row r="10332" spans="1:12" x14ac:dyDescent="0.2">
      <c r="A10332"/>
      <c r="B10332"/>
      <c r="C10332"/>
      <c r="D10332"/>
      <c r="E10332"/>
      <c r="F10332"/>
      <c r="G10332"/>
      <c r="H10332"/>
      <c r="I10332"/>
      <c r="J10332"/>
      <c r="K10332" s="1"/>
      <c r="L10332" s="2"/>
    </row>
    <row r="10333" spans="1:12" x14ac:dyDescent="0.2">
      <c r="A10333"/>
      <c r="B10333"/>
      <c r="C10333"/>
      <c r="D10333"/>
      <c r="E10333"/>
      <c r="F10333"/>
      <c r="G10333"/>
      <c r="H10333"/>
      <c r="I10333"/>
      <c r="J10333"/>
      <c r="K10333" s="1"/>
      <c r="L10333" s="2"/>
    </row>
    <row r="10334" spans="1:12" x14ac:dyDescent="0.2">
      <c r="A10334"/>
      <c r="B10334"/>
      <c r="C10334"/>
      <c r="D10334"/>
      <c r="E10334"/>
      <c r="F10334"/>
      <c r="G10334"/>
      <c r="H10334"/>
      <c r="I10334"/>
      <c r="J10334"/>
      <c r="K10334" s="1"/>
      <c r="L10334" s="2"/>
    </row>
    <row r="10335" spans="1:12" x14ac:dyDescent="0.2">
      <c r="A10335"/>
      <c r="B10335"/>
      <c r="C10335"/>
      <c r="D10335"/>
      <c r="E10335"/>
      <c r="F10335"/>
      <c r="G10335"/>
      <c r="H10335"/>
      <c r="I10335"/>
      <c r="J10335"/>
      <c r="K10335" s="1"/>
      <c r="L10335" s="2"/>
    </row>
    <row r="10336" spans="1:12" x14ac:dyDescent="0.2">
      <c r="A10336"/>
      <c r="B10336"/>
      <c r="C10336"/>
      <c r="D10336"/>
      <c r="E10336"/>
      <c r="F10336"/>
      <c r="G10336"/>
      <c r="H10336"/>
      <c r="I10336"/>
      <c r="J10336"/>
      <c r="K10336" s="1"/>
      <c r="L10336" s="2"/>
    </row>
    <row r="10337" spans="1:12" x14ac:dyDescent="0.2">
      <c r="A10337"/>
      <c r="B10337"/>
      <c r="C10337"/>
      <c r="D10337"/>
      <c r="E10337"/>
      <c r="F10337"/>
      <c r="G10337"/>
      <c r="H10337"/>
      <c r="I10337"/>
      <c r="J10337"/>
      <c r="K10337" s="1"/>
      <c r="L10337" s="2"/>
    </row>
    <row r="10338" spans="1:12" x14ac:dyDescent="0.2">
      <c r="A10338"/>
      <c r="B10338"/>
      <c r="C10338"/>
      <c r="D10338"/>
      <c r="E10338"/>
      <c r="F10338"/>
      <c r="G10338"/>
      <c r="H10338"/>
      <c r="I10338"/>
      <c r="J10338"/>
      <c r="K10338" s="1"/>
      <c r="L10338" s="2"/>
    </row>
    <row r="10339" spans="1:12" x14ac:dyDescent="0.2">
      <c r="A10339"/>
      <c r="B10339"/>
      <c r="C10339"/>
      <c r="D10339"/>
      <c r="E10339"/>
      <c r="F10339"/>
      <c r="G10339"/>
      <c r="H10339"/>
      <c r="I10339"/>
      <c r="J10339"/>
      <c r="K10339" s="1"/>
      <c r="L10339" s="2"/>
    </row>
    <row r="10340" spans="1:12" x14ac:dyDescent="0.2">
      <c r="A10340"/>
      <c r="B10340"/>
      <c r="C10340"/>
      <c r="D10340"/>
      <c r="E10340"/>
      <c r="F10340"/>
      <c r="G10340"/>
      <c r="H10340"/>
      <c r="I10340"/>
      <c r="J10340"/>
      <c r="K10340" s="1"/>
      <c r="L10340" s="2"/>
    </row>
    <row r="10341" spans="1:12" x14ac:dyDescent="0.2">
      <c r="A10341"/>
      <c r="B10341"/>
      <c r="C10341"/>
      <c r="D10341"/>
      <c r="E10341"/>
      <c r="F10341"/>
      <c r="G10341"/>
      <c r="H10341"/>
      <c r="I10341"/>
      <c r="J10341"/>
      <c r="K10341" s="1"/>
      <c r="L10341" s="2"/>
    </row>
    <row r="10342" spans="1:12" x14ac:dyDescent="0.2">
      <c r="A10342"/>
      <c r="B10342"/>
      <c r="C10342"/>
      <c r="D10342"/>
      <c r="E10342"/>
      <c r="F10342"/>
      <c r="G10342"/>
      <c r="H10342"/>
      <c r="I10342"/>
      <c r="J10342"/>
      <c r="K10342" s="1"/>
      <c r="L10342" s="2"/>
    </row>
    <row r="10343" spans="1:12" x14ac:dyDescent="0.2">
      <c r="A10343"/>
      <c r="B10343"/>
      <c r="C10343"/>
      <c r="D10343"/>
      <c r="E10343"/>
      <c r="F10343"/>
      <c r="G10343"/>
      <c r="H10343"/>
      <c r="I10343"/>
      <c r="J10343"/>
      <c r="K10343" s="1"/>
      <c r="L10343" s="2"/>
    </row>
    <row r="10344" spans="1:12" x14ac:dyDescent="0.2">
      <c r="A10344"/>
      <c r="B10344"/>
      <c r="C10344"/>
      <c r="D10344"/>
      <c r="E10344"/>
      <c r="F10344"/>
      <c r="G10344"/>
      <c r="H10344"/>
      <c r="I10344"/>
      <c r="J10344"/>
      <c r="K10344" s="1"/>
      <c r="L10344" s="2"/>
    </row>
    <row r="10345" spans="1:12" x14ac:dyDescent="0.2">
      <c r="A10345"/>
      <c r="B10345"/>
      <c r="C10345"/>
      <c r="D10345"/>
      <c r="E10345"/>
      <c r="F10345"/>
      <c r="G10345"/>
      <c r="H10345"/>
      <c r="I10345"/>
      <c r="J10345"/>
      <c r="K10345" s="1"/>
      <c r="L10345" s="2"/>
    </row>
    <row r="10346" spans="1:12" x14ac:dyDescent="0.2">
      <c r="A10346"/>
      <c r="B10346"/>
      <c r="C10346"/>
      <c r="D10346"/>
      <c r="E10346"/>
      <c r="F10346"/>
      <c r="G10346"/>
      <c r="H10346"/>
      <c r="I10346"/>
      <c r="J10346"/>
      <c r="K10346" s="1"/>
      <c r="L10346" s="2"/>
    </row>
    <row r="10347" spans="1:12" x14ac:dyDescent="0.2">
      <c r="A10347"/>
      <c r="B10347"/>
      <c r="C10347"/>
      <c r="D10347"/>
      <c r="E10347"/>
      <c r="F10347"/>
      <c r="G10347"/>
      <c r="H10347"/>
      <c r="I10347"/>
      <c r="J10347"/>
      <c r="K10347" s="1"/>
      <c r="L10347" s="2"/>
    </row>
    <row r="10348" spans="1:12" x14ac:dyDescent="0.2">
      <c r="A10348"/>
      <c r="B10348"/>
      <c r="C10348"/>
      <c r="D10348"/>
      <c r="E10348"/>
      <c r="F10348"/>
      <c r="G10348"/>
      <c r="H10348"/>
      <c r="I10348"/>
      <c r="J10348"/>
      <c r="K10348" s="1"/>
      <c r="L10348" s="2"/>
    </row>
    <row r="10349" spans="1:12" x14ac:dyDescent="0.2">
      <c r="A10349"/>
      <c r="B10349"/>
      <c r="C10349"/>
      <c r="D10349"/>
      <c r="E10349"/>
      <c r="F10349"/>
      <c r="G10349"/>
      <c r="H10349"/>
      <c r="I10349"/>
      <c r="J10349"/>
      <c r="K10349" s="1"/>
      <c r="L10349" s="2"/>
    </row>
    <row r="10350" spans="1:12" x14ac:dyDescent="0.2">
      <c r="A10350"/>
      <c r="B10350"/>
      <c r="C10350"/>
      <c r="D10350"/>
      <c r="E10350"/>
      <c r="F10350"/>
      <c r="G10350"/>
      <c r="H10350"/>
      <c r="I10350"/>
      <c r="J10350"/>
      <c r="K10350" s="1"/>
      <c r="L10350" s="2"/>
    </row>
    <row r="10351" spans="1:12" x14ac:dyDescent="0.2">
      <c r="A10351"/>
      <c r="B10351"/>
      <c r="C10351"/>
      <c r="D10351"/>
      <c r="E10351"/>
      <c r="F10351"/>
      <c r="G10351"/>
      <c r="H10351"/>
      <c r="I10351"/>
      <c r="J10351"/>
      <c r="K10351" s="1"/>
      <c r="L10351" s="2"/>
    </row>
    <row r="10352" spans="1:12" x14ac:dyDescent="0.2">
      <c r="A10352"/>
      <c r="B10352"/>
      <c r="C10352"/>
      <c r="D10352"/>
      <c r="E10352"/>
      <c r="F10352"/>
      <c r="G10352"/>
      <c r="H10352"/>
      <c r="I10352"/>
      <c r="J10352"/>
      <c r="K10352" s="1"/>
      <c r="L10352" s="2"/>
    </row>
    <row r="10353" spans="1:12" x14ac:dyDescent="0.2">
      <c r="A10353"/>
      <c r="B10353"/>
      <c r="C10353"/>
      <c r="D10353"/>
      <c r="E10353"/>
      <c r="F10353"/>
      <c r="G10353"/>
      <c r="H10353"/>
      <c r="I10353"/>
      <c r="J10353"/>
      <c r="K10353" s="1"/>
      <c r="L10353" s="2"/>
    </row>
    <row r="10354" spans="1:12" x14ac:dyDescent="0.2">
      <c r="A10354"/>
      <c r="B10354"/>
      <c r="C10354"/>
      <c r="D10354"/>
      <c r="E10354"/>
      <c r="F10354"/>
      <c r="G10354"/>
      <c r="H10354"/>
      <c r="I10354"/>
      <c r="J10354"/>
      <c r="K10354" s="1"/>
      <c r="L10354" s="2"/>
    </row>
    <row r="10355" spans="1:12" x14ac:dyDescent="0.2">
      <c r="A10355"/>
      <c r="B10355"/>
      <c r="C10355"/>
      <c r="D10355"/>
      <c r="E10355"/>
      <c r="F10355"/>
      <c r="G10355"/>
      <c r="H10355"/>
      <c r="I10355"/>
      <c r="J10355"/>
      <c r="K10355" s="1"/>
      <c r="L10355" s="2"/>
    </row>
    <row r="10356" spans="1:12" x14ac:dyDescent="0.2">
      <c r="A10356"/>
      <c r="B10356"/>
      <c r="C10356"/>
      <c r="D10356"/>
      <c r="E10356"/>
      <c r="F10356"/>
      <c r="G10356"/>
      <c r="H10356"/>
      <c r="I10356"/>
      <c r="J10356"/>
      <c r="K10356" s="1"/>
      <c r="L10356" s="2"/>
    </row>
    <row r="10357" spans="1:12" x14ac:dyDescent="0.2">
      <c r="A10357"/>
      <c r="B10357"/>
      <c r="C10357"/>
      <c r="D10357"/>
      <c r="E10357"/>
      <c r="F10357"/>
      <c r="G10357"/>
      <c r="H10357"/>
      <c r="I10357"/>
      <c r="J10357"/>
      <c r="K10357" s="1"/>
      <c r="L10357" s="2"/>
    </row>
    <row r="10358" spans="1:12" x14ac:dyDescent="0.2">
      <c r="A10358"/>
      <c r="B10358"/>
      <c r="C10358"/>
      <c r="D10358"/>
      <c r="E10358"/>
      <c r="F10358"/>
      <c r="G10358"/>
      <c r="H10358"/>
      <c r="I10358"/>
      <c r="J10358"/>
      <c r="K10358" s="1"/>
      <c r="L10358" s="2"/>
    </row>
    <row r="10359" spans="1:12" x14ac:dyDescent="0.2">
      <c r="A10359"/>
      <c r="B10359"/>
      <c r="C10359"/>
      <c r="D10359"/>
      <c r="E10359"/>
      <c r="F10359"/>
      <c r="G10359"/>
      <c r="H10359"/>
      <c r="I10359"/>
      <c r="J10359"/>
      <c r="K10359" s="1"/>
      <c r="L10359" s="2"/>
    </row>
    <row r="10360" spans="1:12" x14ac:dyDescent="0.2">
      <c r="A10360"/>
      <c r="B10360"/>
      <c r="C10360"/>
      <c r="D10360"/>
      <c r="E10360"/>
      <c r="F10360"/>
      <c r="G10360"/>
      <c r="H10360"/>
      <c r="I10360"/>
      <c r="J10360"/>
      <c r="K10360" s="1"/>
      <c r="L10360" s="2"/>
    </row>
    <row r="10361" spans="1:12" x14ac:dyDescent="0.2">
      <c r="A10361"/>
      <c r="B10361"/>
      <c r="C10361"/>
      <c r="D10361"/>
      <c r="E10361"/>
      <c r="F10361"/>
      <c r="G10361"/>
      <c r="H10361"/>
      <c r="I10361"/>
      <c r="J10361"/>
      <c r="K10361" s="1"/>
      <c r="L10361" s="2"/>
    </row>
    <row r="10362" spans="1:12" x14ac:dyDescent="0.2">
      <c r="A10362"/>
      <c r="B10362"/>
      <c r="C10362"/>
      <c r="D10362"/>
      <c r="E10362"/>
      <c r="F10362"/>
      <c r="G10362"/>
      <c r="H10362"/>
      <c r="I10362"/>
      <c r="J10362"/>
      <c r="K10362" s="1"/>
      <c r="L10362" s="2"/>
    </row>
    <row r="10363" spans="1:12" x14ac:dyDescent="0.2">
      <c r="A10363"/>
      <c r="B10363"/>
      <c r="C10363"/>
      <c r="D10363"/>
      <c r="E10363"/>
      <c r="F10363"/>
      <c r="G10363"/>
      <c r="H10363"/>
      <c r="I10363"/>
      <c r="J10363"/>
      <c r="K10363" s="1"/>
      <c r="L10363" s="2"/>
    </row>
    <row r="10364" spans="1:12" x14ac:dyDescent="0.2">
      <c r="A10364"/>
      <c r="B10364"/>
      <c r="C10364"/>
      <c r="D10364"/>
      <c r="E10364"/>
      <c r="F10364"/>
      <c r="G10364"/>
      <c r="H10364"/>
      <c r="I10364"/>
      <c r="J10364"/>
      <c r="K10364" s="1"/>
      <c r="L10364" s="2"/>
    </row>
    <row r="10365" spans="1:12" x14ac:dyDescent="0.2">
      <c r="A10365"/>
      <c r="B10365"/>
      <c r="C10365"/>
      <c r="D10365"/>
      <c r="E10365"/>
      <c r="F10365"/>
      <c r="G10365"/>
      <c r="H10365"/>
      <c r="I10365"/>
      <c r="J10365"/>
      <c r="K10365" s="1"/>
      <c r="L10365" s="2"/>
    </row>
    <row r="10366" spans="1:12" x14ac:dyDescent="0.2">
      <c r="A10366"/>
      <c r="B10366"/>
      <c r="C10366"/>
      <c r="D10366"/>
      <c r="E10366"/>
      <c r="F10366"/>
      <c r="G10366"/>
      <c r="H10366"/>
      <c r="I10366"/>
      <c r="J10366"/>
      <c r="K10366" s="1"/>
      <c r="L10366" s="2"/>
    </row>
    <row r="10367" spans="1:12" x14ac:dyDescent="0.2">
      <c r="A10367"/>
      <c r="B10367"/>
      <c r="C10367"/>
      <c r="D10367"/>
      <c r="E10367"/>
      <c r="F10367"/>
      <c r="G10367"/>
      <c r="H10367"/>
      <c r="I10367"/>
      <c r="J10367"/>
      <c r="K10367" s="1"/>
      <c r="L10367" s="2"/>
    </row>
    <row r="10368" spans="1:12" x14ac:dyDescent="0.2">
      <c r="A10368"/>
      <c r="B10368"/>
      <c r="C10368"/>
      <c r="D10368"/>
      <c r="E10368"/>
      <c r="F10368"/>
      <c r="G10368"/>
      <c r="H10368"/>
      <c r="I10368"/>
      <c r="J10368"/>
      <c r="K10368" s="1"/>
      <c r="L10368" s="2"/>
    </row>
    <row r="10369" spans="1:12" x14ac:dyDescent="0.2">
      <c r="A10369"/>
      <c r="B10369"/>
      <c r="C10369"/>
      <c r="D10369"/>
      <c r="E10369"/>
      <c r="F10369"/>
      <c r="G10369"/>
      <c r="H10369"/>
      <c r="I10369"/>
      <c r="J10369"/>
      <c r="K10369" s="1"/>
      <c r="L10369" s="2"/>
    </row>
    <row r="10370" spans="1:12" x14ac:dyDescent="0.2">
      <c r="A10370"/>
      <c r="B10370"/>
      <c r="C10370"/>
      <c r="D10370"/>
      <c r="E10370"/>
      <c r="F10370"/>
      <c r="G10370"/>
      <c r="H10370"/>
      <c r="I10370"/>
      <c r="J10370"/>
      <c r="K10370" s="1"/>
      <c r="L10370" s="2"/>
    </row>
    <row r="10371" spans="1:12" x14ac:dyDescent="0.2">
      <c r="A10371"/>
      <c r="B10371"/>
      <c r="C10371"/>
      <c r="D10371"/>
      <c r="E10371"/>
      <c r="F10371"/>
      <c r="G10371"/>
      <c r="H10371"/>
      <c r="I10371"/>
      <c r="J10371"/>
      <c r="K10371" s="1"/>
      <c r="L10371" s="2"/>
    </row>
    <row r="10372" spans="1:12" x14ac:dyDescent="0.2">
      <c r="A10372"/>
      <c r="B10372"/>
      <c r="C10372"/>
      <c r="D10372"/>
      <c r="E10372"/>
      <c r="F10372"/>
      <c r="G10372"/>
      <c r="H10372"/>
      <c r="I10372"/>
      <c r="J10372"/>
      <c r="K10372" s="1"/>
      <c r="L10372" s="2"/>
    </row>
    <row r="10373" spans="1:12" x14ac:dyDescent="0.2">
      <c r="A10373"/>
      <c r="B10373"/>
      <c r="C10373"/>
      <c r="D10373"/>
      <c r="E10373"/>
      <c r="F10373"/>
      <c r="G10373"/>
      <c r="H10373"/>
      <c r="I10373"/>
      <c r="J10373"/>
      <c r="K10373" s="1"/>
      <c r="L10373" s="2"/>
    </row>
    <row r="10374" spans="1:12" x14ac:dyDescent="0.2">
      <c r="A10374"/>
      <c r="B10374"/>
      <c r="C10374"/>
      <c r="D10374"/>
      <c r="E10374"/>
      <c r="F10374"/>
      <c r="G10374"/>
      <c r="H10374"/>
      <c r="I10374"/>
      <c r="J10374"/>
      <c r="K10374" s="1"/>
      <c r="L10374" s="2"/>
    </row>
    <row r="10375" spans="1:12" x14ac:dyDescent="0.2">
      <c r="A10375"/>
      <c r="B10375"/>
      <c r="C10375"/>
      <c r="D10375"/>
      <c r="E10375"/>
      <c r="F10375"/>
      <c r="G10375"/>
      <c r="H10375"/>
      <c r="I10375"/>
      <c r="J10375"/>
      <c r="K10375" s="1"/>
      <c r="L10375" s="2"/>
    </row>
    <row r="10376" spans="1:12" x14ac:dyDescent="0.2">
      <c r="A10376"/>
      <c r="B10376"/>
      <c r="C10376"/>
      <c r="D10376"/>
      <c r="E10376"/>
      <c r="F10376"/>
      <c r="G10376"/>
      <c r="H10376"/>
      <c r="I10376"/>
      <c r="J10376"/>
      <c r="K10376" s="1"/>
      <c r="L10376" s="2"/>
    </row>
    <row r="10377" spans="1:12" x14ac:dyDescent="0.2">
      <c r="A10377"/>
      <c r="B10377"/>
      <c r="C10377"/>
      <c r="D10377"/>
      <c r="E10377"/>
      <c r="F10377"/>
      <c r="G10377"/>
      <c r="H10377"/>
      <c r="I10377"/>
      <c r="J10377"/>
      <c r="K10377" s="1"/>
      <c r="L10377" s="2"/>
    </row>
    <row r="10378" spans="1:12" x14ac:dyDescent="0.2">
      <c r="A10378"/>
      <c r="B10378"/>
      <c r="C10378"/>
      <c r="D10378"/>
      <c r="E10378"/>
      <c r="F10378"/>
      <c r="G10378"/>
      <c r="H10378"/>
      <c r="I10378"/>
      <c r="J10378"/>
      <c r="K10378" s="1"/>
      <c r="L10378" s="2"/>
    </row>
    <row r="10379" spans="1:12" x14ac:dyDescent="0.2">
      <c r="A10379"/>
      <c r="B10379"/>
      <c r="C10379"/>
      <c r="D10379"/>
      <c r="E10379"/>
      <c r="F10379"/>
      <c r="G10379"/>
      <c r="H10379"/>
      <c r="I10379"/>
      <c r="J10379"/>
      <c r="K10379" s="1"/>
      <c r="L10379" s="2"/>
    </row>
    <row r="10380" spans="1:12" x14ac:dyDescent="0.2">
      <c r="A10380"/>
      <c r="B10380"/>
      <c r="C10380"/>
      <c r="D10380"/>
      <c r="E10380"/>
      <c r="F10380"/>
      <c r="G10380"/>
      <c r="H10380"/>
      <c r="I10380"/>
      <c r="J10380"/>
      <c r="K10380" s="1"/>
      <c r="L10380" s="2"/>
    </row>
    <row r="10381" spans="1:12" x14ac:dyDescent="0.2">
      <c r="A10381"/>
      <c r="B10381"/>
      <c r="C10381"/>
      <c r="D10381"/>
      <c r="E10381"/>
      <c r="F10381"/>
      <c r="G10381"/>
      <c r="H10381"/>
      <c r="I10381"/>
      <c r="J10381"/>
      <c r="K10381" s="1"/>
      <c r="L10381" s="2"/>
    </row>
    <row r="10382" spans="1:12" x14ac:dyDescent="0.2">
      <c r="A10382"/>
      <c r="B10382"/>
      <c r="C10382"/>
      <c r="D10382"/>
      <c r="E10382"/>
      <c r="F10382"/>
      <c r="G10382"/>
      <c r="H10382"/>
      <c r="I10382"/>
      <c r="J10382"/>
      <c r="K10382" s="1"/>
      <c r="L10382" s="2"/>
    </row>
    <row r="10383" spans="1:12" x14ac:dyDescent="0.2">
      <c r="A10383"/>
      <c r="B10383"/>
      <c r="C10383"/>
      <c r="D10383"/>
      <c r="E10383"/>
      <c r="F10383"/>
      <c r="G10383"/>
      <c r="H10383"/>
      <c r="I10383"/>
      <c r="J10383"/>
      <c r="K10383" s="1"/>
      <c r="L10383" s="2"/>
    </row>
    <row r="10384" spans="1:12" x14ac:dyDescent="0.2">
      <c r="A10384"/>
      <c r="B10384"/>
      <c r="C10384"/>
      <c r="D10384"/>
      <c r="E10384"/>
      <c r="F10384"/>
      <c r="G10384"/>
      <c r="H10384"/>
      <c r="I10384"/>
      <c r="J10384"/>
      <c r="K10384" s="1"/>
      <c r="L10384" s="2"/>
    </row>
    <row r="10385" spans="1:12" x14ac:dyDescent="0.2">
      <c r="A10385"/>
      <c r="B10385"/>
      <c r="C10385"/>
      <c r="D10385"/>
      <c r="E10385"/>
      <c r="F10385"/>
      <c r="G10385"/>
      <c r="H10385"/>
      <c r="I10385"/>
      <c r="J10385"/>
      <c r="K10385" s="1"/>
      <c r="L10385" s="2"/>
    </row>
    <row r="10386" spans="1:12" x14ac:dyDescent="0.2">
      <c r="A10386"/>
      <c r="B10386"/>
      <c r="C10386"/>
      <c r="D10386"/>
      <c r="E10386"/>
      <c r="F10386"/>
      <c r="G10386"/>
      <c r="H10386"/>
      <c r="I10386"/>
      <c r="J10386"/>
      <c r="K10386" s="1"/>
      <c r="L10386" s="2"/>
    </row>
    <row r="10387" spans="1:12" x14ac:dyDescent="0.2">
      <c r="A10387"/>
      <c r="B10387"/>
      <c r="C10387"/>
      <c r="D10387"/>
      <c r="E10387"/>
      <c r="F10387"/>
      <c r="G10387"/>
      <c r="H10387"/>
      <c r="I10387"/>
      <c r="J10387"/>
      <c r="K10387" s="1"/>
      <c r="L10387" s="2"/>
    </row>
    <row r="10388" spans="1:12" x14ac:dyDescent="0.2">
      <c r="A10388"/>
      <c r="B10388"/>
      <c r="C10388"/>
      <c r="D10388"/>
      <c r="E10388"/>
      <c r="F10388"/>
      <c r="G10388"/>
      <c r="H10388"/>
      <c r="I10388"/>
      <c r="J10388"/>
      <c r="K10388" s="1"/>
      <c r="L10388" s="2"/>
    </row>
    <row r="10389" spans="1:12" x14ac:dyDescent="0.2">
      <c r="A10389"/>
      <c r="B10389"/>
      <c r="C10389"/>
      <c r="D10389"/>
      <c r="E10389"/>
      <c r="F10389"/>
      <c r="G10389"/>
      <c r="H10389"/>
      <c r="I10389"/>
      <c r="J10389"/>
      <c r="K10389" s="1"/>
      <c r="L10389" s="2"/>
    </row>
    <row r="10390" spans="1:12" x14ac:dyDescent="0.2">
      <c r="A10390"/>
      <c r="B10390"/>
      <c r="C10390"/>
      <c r="D10390"/>
      <c r="E10390"/>
      <c r="F10390"/>
      <c r="G10390"/>
      <c r="H10390"/>
      <c r="I10390"/>
      <c r="J10390"/>
      <c r="K10390" s="1"/>
      <c r="L10390" s="2"/>
    </row>
    <row r="10391" spans="1:12" x14ac:dyDescent="0.2">
      <c r="A10391"/>
      <c r="B10391"/>
      <c r="C10391"/>
      <c r="D10391"/>
      <c r="E10391"/>
      <c r="F10391"/>
      <c r="G10391"/>
      <c r="H10391"/>
      <c r="I10391"/>
      <c r="J10391"/>
      <c r="K10391" s="1"/>
      <c r="L10391" s="2"/>
    </row>
    <row r="10392" spans="1:12" x14ac:dyDescent="0.2">
      <c r="A10392"/>
      <c r="B10392"/>
      <c r="C10392"/>
      <c r="D10392"/>
      <c r="E10392"/>
      <c r="F10392"/>
      <c r="G10392"/>
      <c r="H10392"/>
      <c r="I10392"/>
      <c r="J10392"/>
      <c r="K10392" s="1"/>
      <c r="L10392" s="2"/>
    </row>
    <row r="10393" spans="1:12" x14ac:dyDescent="0.2">
      <c r="A10393"/>
      <c r="B10393"/>
      <c r="C10393"/>
      <c r="D10393"/>
      <c r="E10393"/>
      <c r="F10393"/>
      <c r="G10393"/>
      <c r="H10393"/>
      <c r="I10393"/>
      <c r="J10393"/>
      <c r="K10393" s="1"/>
      <c r="L10393" s="2"/>
    </row>
    <row r="10394" spans="1:12" x14ac:dyDescent="0.2">
      <c r="A10394"/>
      <c r="B10394"/>
      <c r="C10394"/>
      <c r="D10394"/>
      <c r="E10394"/>
      <c r="F10394"/>
      <c r="G10394"/>
      <c r="H10394"/>
      <c r="I10394"/>
      <c r="J10394"/>
      <c r="K10394" s="1"/>
      <c r="L10394" s="2"/>
    </row>
    <row r="10395" spans="1:12" x14ac:dyDescent="0.2">
      <c r="A10395"/>
      <c r="B10395"/>
      <c r="C10395"/>
      <c r="D10395"/>
      <c r="E10395"/>
      <c r="F10395"/>
      <c r="G10395"/>
      <c r="H10395"/>
      <c r="I10395"/>
      <c r="J10395"/>
      <c r="K10395" s="1"/>
      <c r="L10395" s="2"/>
    </row>
    <row r="10396" spans="1:12" x14ac:dyDescent="0.2">
      <c r="A10396"/>
      <c r="B10396"/>
      <c r="C10396"/>
      <c r="D10396"/>
      <c r="E10396"/>
      <c r="F10396"/>
      <c r="G10396"/>
      <c r="H10396"/>
      <c r="I10396"/>
      <c r="J10396"/>
      <c r="K10396" s="1"/>
      <c r="L10396" s="2"/>
    </row>
    <row r="10397" spans="1:12" x14ac:dyDescent="0.2">
      <c r="A10397"/>
      <c r="B10397"/>
      <c r="C10397"/>
      <c r="D10397"/>
      <c r="E10397"/>
      <c r="F10397"/>
      <c r="G10397"/>
      <c r="H10397"/>
      <c r="I10397"/>
      <c r="J10397"/>
      <c r="K10397" s="1"/>
      <c r="L10397" s="2"/>
    </row>
    <row r="10398" spans="1:12" x14ac:dyDescent="0.2">
      <c r="A10398"/>
      <c r="B10398"/>
      <c r="C10398"/>
      <c r="D10398"/>
      <c r="E10398"/>
      <c r="F10398"/>
      <c r="G10398"/>
      <c r="H10398"/>
      <c r="I10398"/>
      <c r="J10398"/>
      <c r="K10398" s="1"/>
      <c r="L10398" s="2"/>
    </row>
    <row r="10399" spans="1:12" x14ac:dyDescent="0.2">
      <c r="A10399"/>
      <c r="B10399"/>
      <c r="C10399"/>
      <c r="D10399"/>
      <c r="E10399"/>
      <c r="F10399"/>
      <c r="G10399"/>
      <c r="H10399"/>
      <c r="I10399"/>
      <c r="J10399"/>
      <c r="K10399" s="1"/>
      <c r="L10399" s="2"/>
    </row>
    <row r="10400" spans="1:12" x14ac:dyDescent="0.2">
      <c r="A10400"/>
      <c r="B10400"/>
      <c r="C10400"/>
      <c r="D10400"/>
      <c r="E10400"/>
      <c r="F10400"/>
      <c r="G10400"/>
      <c r="H10400"/>
      <c r="I10400"/>
      <c r="J10400"/>
      <c r="K10400" s="1"/>
      <c r="L10400" s="2"/>
    </row>
    <row r="10401" spans="1:12" x14ac:dyDescent="0.2">
      <c r="A10401"/>
      <c r="B10401"/>
      <c r="C10401"/>
      <c r="D10401"/>
      <c r="E10401"/>
      <c r="F10401"/>
      <c r="G10401"/>
      <c r="H10401"/>
      <c r="I10401"/>
      <c r="J10401"/>
      <c r="K10401" s="1"/>
      <c r="L10401" s="2"/>
    </row>
    <row r="10402" spans="1:12" x14ac:dyDescent="0.2">
      <c r="A10402"/>
      <c r="B10402"/>
      <c r="C10402"/>
      <c r="D10402"/>
      <c r="E10402"/>
      <c r="F10402"/>
      <c r="G10402"/>
      <c r="H10402"/>
      <c r="I10402"/>
      <c r="J10402"/>
      <c r="K10402" s="1"/>
      <c r="L10402" s="2"/>
    </row>
    <row r="10403" spans="1:12" x14ac:dyDescent="0.2">
      <c r="A10403"/>
      <c r="B10403"/>
      <c r="C10403"/>
      <c r="D10403"/>
      <c r="E10403"/>
      <c r="F10403"/>
      <c r="G10403"/>
      <c r="H10403"/>
      <c r="I10403"/>
      <c r="J10403"/>
      <c r="K10403" s="1"/>
      <c r="L10403" s="2"/>
    </row>
    <row r="10404" spans="1:12" x14ac:dyDescent="0.2">
      <c r="A10404"/>
      <c r="B10404"/>
      <c r="C10404"/>
      <c r="D10404"/>
      <c r="E10404"/>
      <c r="F10404"/>
      <c r="G10404"/>
      <c r="H10404"/>
      <c r="I10404"/>
      <c r="J10404"/>
      <c r="K10404" s="1"/>
      <c r="L10404" s="2"/>
    </row>
    <row r="10405" spans="1:12" x14ac:dyDescent="0.2">
      <c r="A10405"/>
      <c r="B10405"/>
      <c r="C10405"/>
      <c r="D10405"/>
      <c r="E10405"/>
      <c r="F10405"/>
      <c r="G10405"/>
      <c r="H10405"/>
      <c r="I10405"/>
      <c r="J10405"/>
      <c r="K10405" s="1"/>
      <c r="L10405" s="2"/>
    </row>
    <row r="10406" spans="1:12" x14ac:dyDescent="0.2">
      <c r="A10406"/>
      <c r="B10406"/>
      <c r="C10406"/>
      <c r="D10406"/>
      <c r="E10406"/>
      <c r="F10406"/>
      <c r="G10406"/>
      <c r="H10406"/>
      <c r="I10406"/>
      <c r="J10406"/>
      <c r="K10406" s="1"/>
      <c r="L10406" s="2"/>
    </row>
    <row r="10407" spans="1:12" x14ac:dyDescent="0.2">
      <c r="A10407"/>
      <c r="B10407"/>
      <c r="C10407"/>
      <c r="D10407"/>
      <c r="E10407"/>
      <c r="F10407"/>
      <c r="G10407"/>
      <c r="H10407"/>
      <c r="I10407"/>
      <c r="J10407"/>
      <c r="K10407" s="1"/>
      <c r="L10407" s="2"/>
    </row>
    <row r="10408" spans="1:12" x14ac:dyDescent="0.2">
      <c r="A10408"/>
      <c r="B10408"/>
      <c r="C10408"/>
      <c r="D10408"/>
      <c r="E10408"/>
      <c r="F10408"/>
      <c r="G10408"/>
      <c r="H10408"/>
      <c r="I10408"/>
      <c r="J10408"/>
      <c r="K10408" s="1"/>
      <c r="L10408" s="2"/>
    </row>
    <row r="10409" spans="1:12" x14ac:dyDescent="0.2">
      <c r="A10409"/>
      <c r="B10409"/>
      <c r="C10409"/>
      <c r="D10409"/>
      <c r="E10409"/>
      <c r="F10409"/>
      <c r="G10409"/>
      <c r="H10409"/>
      <c r="I10409"/>
      <c r="J10409"/>
      <c r="K10409" s="1"/>
      <c r="L10409" s="2"/>
    </row>
    <row r="10410" spans="1:12" x14ac:dyDescent="0.2">
      <c r="A10410"/>
      <c r="B10410"/>
      <c r="C10410"/>
      <c r="D10410"/>
      <c r="E10410"/>
      <c r="F10410"/>
      <c r="G10410"/>
      <c r="H10410"/>
      <c r="I10410"/>
      <c r="J10410"/>
      <c r="K10410" s="1"/>
      <c r="L10410" s="2"/>
    </row>
    <row r="10411" spans="1:12" x14ac:dyDescent="0.2">
      <c r="A10411"/>
      <c r="B10411"/>
      <c r="C10411"/>
      <c r="D10411"/>
      <c r="E10411"/>
      <c r="F10411"/>
      <c r="G10411"/>
      <c r="H10411"/>
      <c r="I10411"/>
      <c r="J10411"/>
      <c r="K10411" s="1"/>
      <c r="L10411" s="2"/>
    </row>
    <row r="10412" spans="1:12" x14ac:dyDescent="0.2">
      <c r="A10412"/>
      <c r="B10412"/>
      <c r="C10412"/>
      <c r="D10412"/>
      <c r="E10412"/>
      <c r="F10412"/>
      <c r="G10412"/>
      <c r="H10412"/>
      <c r="I10412"/>
      <c r="J10412"/>
      <c r="K10412" s="1"/>
      <c r="L10412" s="2"/>
    </row>
    <row r="10413" spans="1:12" x14ac:dyDescent="0.2">
      <c r="A10413"/>
      <c r="B10413"/>
      <c r="C10413"/>
      <c r="D10413"/>
      <c r="E10413"/>
      <c r="F10413"/>
      <c r="G10413"/>
      <c r="H10413"/>
      <c r="I10413"/>
      <c r="J10413"/>
      <c r="K10413" s="1"/>
      <c r="L10413" s="2"/>
    </row>
    <row r="10414" spans="1:12" x14ac:dyDescent="0.2">
      <c r="A10414"/>
      <c r="B10414"/>
      <c r="C10414"/>
      <c r="D10414"/>
      <c r="E10414"/>
      <c r="F10414"/>
      <c r="G10414"/>
      <c r="H10414"/>
      <c r="I10414"/>
      <c r="J10414"/>
      <c r="K10414" s="1"/>
      <c r="L10414" s="2"/>
    </row>
    <row r="10415" spans="1:12" x14ac:dyDescent="0.2">
      <c r="A10415"/>
      <c r="B10415"/>
      <c r="C10415"/>
      <c r="D10415"/>
      <c r="E10415"/>
      <c r="F10415"/>
      <c r="G10415"/>
      <c r="H10415"/>
      <c r="I10415"/>
      <c r="J10415"/>
      <c r="K10415" s="1"/>
      <c r="L10415" s="2"/>
    </row>
    <row r="10416" spans="1:12" x14ac:dyDescent="0.2">
      <c r="A10416"/>
      <c r="B10416"/>
      <c r="C10416"/>
      <c r="D10416"/>
      <c r="E10416"/>
      <c r="F10416"/>
      <c r="G10416"/>
      <c r="H10416"/>
      <c r="I10416"/>
      <c r="J10416"/>
      <c r="K10416" s="1"/>
      <c r="L10416" s="2"/>
    </row>
    <row r="10417" spans="1:12" x14ac:dyDescent="0.2">
      <c r="A10417"/>
      <c r="B10417"/>
      <c r="C10417"/>
      <c r="D10417"/>
      <c r="E10417"/>
      <c r="F10417"/>
      <c r="G10417"/>
      <c r="H10417"/>
      <c r="I10417"/>
      <c r="J10417"/>
      <c r="K10417" s="1"/>
      <c r="L10417" s="2"/>
    </row>
    <row r="10418" spans="1:12" x14ac:dyDescent="0.2">
      <c r="A10418"/>
      <c r="B10418"/>
      <c r="C10418"/>
      <c r="D10418"/>
      <c r="E10418"/>
      <c r="F10418"/>
      <c r="G10418"/>
      <c r="H10418"/>
      <c r="I10418"/>
      <c r="J10418"/>
      <c r="K10418" s="1"/>
      <c r="L10418" s="2"/>
    </row>
    <row r="10419" spans="1:12" x14ac:dyDescent="0.2">
      <c r="A10419"/>
      <c r="B10419"/>
      <c r="C10419"/>
      <c r="D10419"/>
      <c r="E10419"/>
      <c r="F10419"/>
      <c r="G10419"/>
      <c r="H10419"/>
      <c r="I10419"/>
      <c r="J10419"/>
      <c r="K10419" s="1"/>
      <c r="L10419" s="2"/>
    </row>
    <row r="10420" spans="1:12" x14ac:dyDescent="0.2">
      <c r="A10420"/>
      <c r="B10420"/>
      <c r="C10420"/>
      <c r="D10420"/>
      <c r="E10420"/>
      <c r="F10420"/>
      <c r="G10420"/>
      <c r="H10420"/>
      <c r="I10420"/>
      <c r="J10420"/>
      <c r="K10420" s="1"/>
      <c r="L10420" s="2"/>
    </row>
    <row r="10421" spans="1:12" x14ac:dyDescent="0.2">
      <c r="A10421"/>
      <c r="B10421"/>
      <c r="C10421"/>
      <c r="D10421"/>
      <c r="E10421"/>
      <c r="F10421"/>
      <c r="G10421"/>
      <c r="H10421"/>
      <c r="I10421"/>
      <c r="J10421"/>
      <c r="K10421" s="1"/>
      <c r="L10421" s="2"/>
    </row>
    <row r="10422" spans="1:12" x14ac:dyDescent="0.2">
      <c r="A10422"/>
      <c r="B10422"/>
      <c r="C10422"/>
      <c r="D10422"/>
      <c r="E10422"/>
      <c r="F10422"/>
      <c r="G10422"/>
      <c r="H10422"/>
      <c r="I10422"/>
      <c r="J10422"/>
      <c r="K10422" s="1"/>
      <c r="L10422" s="2"/>
    </row>
    <row r="10423" spans="1:12" x14ac:dyDescent="0.2">
      <c r="A10423"/>
      <c r="B10423"/>
      <c r="C10423"/>
      <c r="D10423"/>
      <c r="E10423"/>
      <c r="F10423"/>
      <c r="G10423"/>
      <c r="H10423"/>
      <c r="I10423"/>
      <c r="J10423"/>
      <c r="K10423" s="1"/>
      <c r="L10423" s="2"/>
    </row>
    <row r="10424" spans="1:12" x14ac:dyDescent="0.2">
      <c r="A10424"/>
      <c r="B10424"/>
      <c r="C10424"/>
      <c r="D10424"/>
      <c r="E10424"/>
      <c r="F10424"/>
      <c r="G10424"/>
      <c r="H10424"/>
      <c r="I10424"/>
      <c r="J10424"/>
      <c r="K10424" s="1"/>
      <c r="L10424" s="2"/>
    </row>
    <row r="10425" spans="1:12" x14ac:dyDescent="0.2">
      <c r="A10425"/>
      <c r="B10425"/>
      <c r="C10425"/>
      <c r="D10425"/>
      <c r="E10425"/>
      <c r="F10425"/>
      <c r="G10425"/>
      <c r="H10425"/>
      <c r="I10425"/>
      <c r="J10425"/>
      <c r="K10425" s="1"/>
      <c r="L10425" s="2"/>
    </row>
    <row r="10426" spans="1:12" x14ac:dyDescent="0.2">
      <c r="A10426"/>
      <c r="B10426"/>
      <c r="C10426"/>
      <c r="D10426"/>
      <c r="E10426"/>
      <c r="F10426"/>
      <c r="G10426"/>
      <c r="H10426"/>
      <c r="I10426"/>
      <c r="J10426"/>
      <c r="K10426" s="1"/>
      <c r="L10426" s="2"/>
    </row>
    <row r="10427" spans="1:12" x14ac:dyDescent="0.2">
      <c r="A10427"/>
      <c r="B10427"/>
      <c r="C10427"/>
      <c r="D10427"/>
      <c r="E10427"/>
      <c r="F10427"/>
      <c r="G10427"/>
      <c r="H10427"/>
      <c r="I10427"/>
      <c r="J10427"/>
      <c r="K10427" s="1"/>
      <c r="L10427" s="2"/>
    </row>
    <row r="10428" spans="1:12" x14ac:dyDescent="0.2">
      <c r="A10428"/>
      <c r="B10428"/>
      <c r="C10428"/>
      <c r="D10428"/>
      <c r="E10428"/>
      <c r="F10428"/>
      <c r="G10428"/>
      <c r="H10428"/>
      <c r="I10428"/>
      <c r="J10428"/>
      <c r="K10428" s="1"/>
      <c r="L10428" s="2"/>
    </row>
    <row r="10429" spans="1:12" x14ac:dyDescent="0.2">
      <c r="A10429"/>
      <c r="B10429"/>
      <c r="C10429"/>
      <c r="D10429"/>
      <c r="E10429"/>
      <c r="F10429"/>
      <c r="G10429"/>
      <c r="H10429"/>
      <c r="I10429"/>
      <c r="J10429"/>
      <c r="K10429" s="1"/>
      <c r="L10429" s="2"/>
    </row>
    <row r="10430" spans="1:12" x14ac:dyDescent="0.2">
      <c r="A10430"/>
      <c r="B10430"/>
      <c r="C10430"/>
      <c r="D10430"/>
      <c r="E10430"/>
      <c r="F10430"/>
      <c r="G10430"/>
      <c r="H10430"/>
      <c r="I10430"/>
      <c r="J10430"/>
      <c r="K10430" s="1"/>
      <c r="L10430" s="2"/>
    </row>
    <row r="10431" spans="1:12" x14ac:dyDescent="0.2">
      <c r="A10431"/>
      <c r="B10431"/>
      <c r="C10431"/>
      <c r="D10431"/>
      <c r="E10431"/>
      <c r="F10431"/>
      <c r="G10431"/>
      <c r="H10431"/>
      <c r="I10431"/>
      <c r="J10431"/>
      <c r="K10431" s="1"/>
      <c r="L10431" s="2"/>
    </row>
    <row r="10432" spans="1:12" x14ac:dyDescent="0.2">
      <c r="A10432"/>
      <c r="B10432"/>
      <c r="C10432"/>
      <c r="D10432"/>
      <c r="E10432"/>
      <c r="F10432"/>
      <c r="G10432"/>
      <c r="H10432"/>
      <c r="I10432"/>
      <c r="J10432"/>
      <c r="K10432" s="1"/>
      <c r="L10432" s="2"/>
    </row>
    <row r="10433" spans="1:12" x14ac:dyDescent="0.2">
      <c r="A10433"/>
      <c r="B10433"/>
      <c r="C10433"/>
      <c r="D10433"/>
      <c r="E10433"/>
      <c r="F10433"/>
      <c r="G10433"/>
      <c r="H10433"/>
      <c r="I10433"/>
      <c r="J10433"/>
      <c r="K10433" s="1"/>
      <c r="L10433" s="2"/>
    </row>
    <row r="10434" spans="1:12" x14ac:dyDescent="0.2">
      <c r="A10434"/>
      <c r="B10434"/>
      <c r="C10434"/>
      <c r="D10434"/>
      <c r="E10434"/>
      <c r="F10434"/>
      <c r="G10434"/>
      <c r="H10434"/>
      <c r="I10434"/>
      <c r="J10434"/>
      <c r="K10434" s="1"/>
      <c r="L10434" s="2"/>
    </row>
    <row r="10435" spans="1:12" x14ac:dyDescent="0.2">
      <c r="A10435"/>
      <c r="B10435"/>
      <c r="C10435"/>
      <c r="D10435"/>
      <c r="E10435"/>
      <c r="F10435"/>
      <c r="G10435"/>
      <c r="H10435"/>
      <c r="I10435"/>
      <c r="J10435"/>
      <c r="K10435" s="1"/>
      <c r="L10435" s="2"/>
    </row>
    <row r="10436" spans="1:12" x14ac:dyDescent="0.2">
      <c r="A10436"/>
      <c r="B10436"/>
      <c r="C10436"/>
      <c r="D10436"/>
      <c r="E10436"/>
      <c r="F10436"/>
      <c r="G10436"/>
      <c r="H10436"/>
      <c r="I10436"/>
      <c r="J10436"/>
      <c r="K10436" s="1"/>
      <c r="L10436" s="2"/>
    </row>
    <row r="10437" spans="1:12" x14ac:dyDescent="0.2">
      <c r="A10437"/>
      <c r="B10437"/>
      <c r="C10437"/>
      <c r="D10437"/>
      <c r="E10437"/>
      <c r="F10437"/>
      <c r="G10437"/>
      <c r="H10437"/>
      <c r="I10437"/>
      <c r="J10437"/>
      <c r="K10437" s="1"/>
      <c r="L10437" s="2"/>
    </row>
    <row r="10438" spans="1:12" x14ac:dyDescent="0.2">
      <c r="A10438"/>
      <c r="B10438"/>
      <c r="C10438"/>
      <c r="D10438"/>
      <c r="E10438"/>
      <c r="F10438"/>
      <c r="G10438"/>
      <c r="H10438"/>
      <c r="I10438"/>
      <c r="J10438"/>
      <c r="K10438" s="1"/>
      <c r="L10438" s="2"/>
    </row>
    <row r="10439" spans="1:12" x14ac:dyDescent="0.2">
      <c r="A10439"/>
      <c r="B10439"/>
      <c r="C10439"/>
      <c r="D10439"/>
      <c r="E10439"/>
      <c r="F10439"/>
      <c r="G10439"/>
      <c r="H10439"/>
      <c r="I10439"/>
      <c r="J10439"/>
      <c r="K10439" s="1"/>
      <c r="L10439" s="2"/>
    </row>
    <row r="10440" spans="1:12" x14ac:dyDescent="0.2">
      <c r="A10440"/>
      <c r="B10440"/>
      <c r="C10440"/>
      <c r="D10440"/>
      <c r="E10440"/>
      <c r="F10440"/>
      <c r="G10440"/>
      <c r="H10440"/>
      <c r="I10440"/>
      <c r="J10440"/>
      <c r="K10440" s="1"/>
      <c r="L10440" s="2"/>
    </row>
    <row r="10441" spans="1:12" x14ac:dyDescent="0.2">
      <c r="A10441"/>
      <c r="B10441"/>
      <c r="C10441"/>
      <c r="D10441"/>
      <c r="E10441"/>
      <c r="F10441"/>
      <c r="G10441"/>
      <c r="H10441"/>
      <c r="I10441"/>
      <c r="J10441"/>
      <c r="K10441" s="1"/>
      <c r="L10441" s="2"/>
    </row>
    <row r="10442" spans="1:12" x14ac:dyDescent="0.2">
      <c r="A10442"/>
      <c r="B10442"/>
      <c r="C10442"/>
      <c r="D10442"/>
      <c r="E10442"/>
      <c r="F10442"/>
      <c r="G10442"/>
      <c r="H10442"/>
      <c r="I10442"/>
      <c r="J10442"/>
      <c r="K10442" s="1"/>
      <c r="L10442" s="2"/>
    </row>
    <row r="10443" spans="1:12" x14ac:dyDescent="0.2">
      <c r="A10443"/>
      <c r="B10443"/>
      <c r="C10443"/>
      <c r="D10443"/>
      <c r="E10443"/>
      <c r="F10443"/>
      <c r="G10443"/>
      <c r="H10443"/>
      <c r="I10443"/>
      <c r="J10443"/>
      <c r="K10443" s="1"/>
      <c r="L10443" s="2"/>
    </row>
    <row r="10444" spans="1:12" x14ac:dyDescent="0.2">
      <c r="A10444"/>
      <c r="B10444"/>
      <c r="C10444"/>
      <c r="D10444"/>
      <c r="E10444"/>
      <c r="F10444"/>
      <c r="G10444"/>
      <c r="H10444"/>
      <c r="I10444"/>
      <c r="J10444"/>
      <c r="K10444" s="1"/>
      <c r="L10444" s="2"/>
    </row>
    <row r="10445" spans="1:12" x14ac:dyDescent="0.2">
      <c r="A10445"/>
      <c r="B10445"/>
      <c r="C10445"/>
      <c r="D10445"/>
      <c r="E10445"/>
      <c r="F10445"/>
      <c r="G10445"/>
      <c r="H10445"/>
      <c r="I10445"/>
      <c r="J10445"/>
      <c r="K10445" s="1"/>
      <c r="L10445" s="2"/>
    </row>
    <row r="10446" spans="1:12" x14ac:dyDescent="0.2">
      <c r="A10446"/>
      <c r="B10446"/>
      <c r="C10446"/>
      <c r="D10446"/>
      <c r="E10446"/>
      <c r="F10446"/>
      <c r="G10446"/>
      <c r="H10446"/>
      <c r="I10446"/>
      <c r="J10446"/>
      <c r="K10446" s="1"/>
      <c r="L10446" s="2"/>
    </row>
    <row r="10447" spans="1:12" x14ac:dyDescent="0.2">
      <c r="A10447"/>
      <c r="B10447"/>
      <c r="C10447"/>
      <c r="D10447"/>
      <c r="E10447"/>
      <c r="F10447"/>
      <c r="G10447"/>
      <c r="H10447"/>
      <c r="I10447"/>
      <c r="J10447"/>
      <c r="K10447" s="1"/>
      <c r="L10447" s="2"/>
    </row>
    <row r="10448" spans="1:12" x14ac:dyDescent="0.2">
      <c r="A10448"/>
      <c r="B10448"/>
      <c r="C10448"/>
      <c r="D10448"/>
      <c r="E10448"/>
      <c r="F10448"/>
      <c r="G10448"/>
      <c r="H10448"/>
      <c r="I10448"/>
      <c r="J10448"/>
      <c r="K10448" s="1"/>
      <c r="L10448" s="2"/>
    </row>
    <row r="10449" spans="1:12" x14ac:dyDescent="0.2">
      <c r="A10449"/>
      <c r="B10449"/>
      <c r="C10449"/>
      <c r="D10449"/>
      <c r="E10449"/>
      <c r="F10449"/>
      <c r="G10449"/>
      <c r="H10449"/>
      <c r="I10449"/>
      <c r="J10449"/>
      <c r="K10449" s="1"/>
      <c r="L10449" s="2"/>
    </row>
    <row r="10450" spans="1:12" x14ac:dyDescent="0.2">
      <c r="A10450"/>
      <c r="B10450"/>
      <c r="C10450"/>
      <c r="D10450"/>
      <c r="E10450"/>
      <c r="F10450"/>
      <c r="G10450"/>
      <c r="H10450"/>
      <c r="I10450"/>
      <c r="J10450"/>
      <c r="K10450" s="1"/>
      <c r="L10450" s="2"/>
    </row>
    <row r="10451" spans="1:12" x14ac:dyDescent="0.2">
      <c r="A10451"/>
      <c r="B10451"/>
      <c r="C10451"/>
      <c r="D10451"/>
      <c r="E10451"/>
      <c r="F10451"/>
      <c r="G10451"/>
      <c r="H10451"/>
      <c r="I10451"/>
      <c r="J10451"/>
      <c r="K10451" s="1"/>
      <c r="L10451" s="2"/>
    </row>
    <row r="10452" spans="1:12" x14ac:dyDescent="0.2">
      <c r="A10452"/>
      <c r="B10452"/>
      <c r="C10452"/>
      <c r="D10452"/>
      <c r="E10452"/>
      <c r="F10452"/>
      <c r="G10452"/>
      <c r="H10452"/>
      <c r="I10452"/>
      <c r="J10452"/>
      <c r="K10452" s="1"/>
      <c r="L10452" s="2"/>
    </row>
    <row r="10453" spans="1:12" x14ac:dyDescent="0.2">
      <c r="A10453"/>
      <c r="B10453"/>
      <c r="C10453"/>
      <c r="D10453"/>
      <c r="E10453"/>
      <c r="F10453"/>
      <c r="G10453"/>
      <c r="H10453"/>
      <c r="I10453"/>
      <c r="J10453"/>
      <c r="K10453" s="1"/>
      <c r="L10453" s="2"/>
    </row>
    <row r="10454" spans="1:12" x14ac:dyDescent="0.2">
      <c r="A10454"/>
      <c r="B10454"/>
      <c r="C10454"/>
      <c r="D10454"/>
      <c r="E10454"/>
      <c r="F10454"/>
      <c r="G10454"/>
      <c r="H10454"/>
      <c r="I10454"/>
      <c r="J10454"/>
      <c r="K10454" s="1"/>
      <c r="L10454" s="2"/>
    </row>
    <row r="10455" spans="1:12" x14ac:dyDescent="0.2">
      <c r="A10455"/>
      <c r="B10455"/>
      <c r="C10455"/>
      <c r="D10455"/>
      <c r="E10455"/>
      <c r="F10455"/>
      <c r="G10455"/>
      <c r="H10455"/>
      <c r="I10455"/>
      <c r="J10455"/>
      <c r="K10455" s="1"/>
      <c r="L10455" s="2"/>
    </row>
    <row r="10456" spans="1:12" x14ac:dyDescent="0.2">
      <c r="A10456"/>
      <c r="B10456"/>
      <c r="C10456"/>
      <c r="D10456"/>
      <c r="E10456"/>
      <c r="F10456"/>
      <c r="G10456"/>
      <c r="H10456"/>
      <c r="I10456"/>
      <c r="J10456"/>
      <c r="K10456" s="1"/>
      <c r="L10456" s="2"/>
    </row>
    <row r="10457" spans="1:12" x14ac:dyDescent="0.2">
      <c r="A10457"/>
      <c r="B10457"/>
      <c r="C10457"/>
      <c r="D10457"/>
      <c r="E10457"/>
      <c r="F10457"/>
      <c r="G10457"/>
      <c r="H10457"/>
      <c r="I10457"/>
      <c r="J10457"/>
      <c r="K10457" s="1"/>
      <c r="L10457" s="2"/>
    </row>
    <row r="10458" spans="1:12" x14ac:dyDescent="0.2">
      <c r="A10458"/>
      <c r="B10458"/>
      <c r="C10458"/>
      <c r="D10458"/>
      <c r="E10458"/>
      <c r="F10458"/>
      <c r="G10458"/>
      <c r="H10458"/>
      <c r="I10458"/>
      <c r="J10458"/>
      <c r="K10458" s="1"/>
      <c r="L10458" s="2"/>
    </row>
    <row r="10459" spans="1:12" x14ac:dyDescent="0.2">
      <c r="A10459"/>
      <c r="B10459"/>
      <c r="C10459"/>
      <c r="D10459"/>
      <c r="E10459"/>
      <c r="F10459"/>
      <c r="G10459"/>
      <c r="H10459"/>
      <c r="I10459"/>
      <c r="J10459"/>
      <c r="K10459" s="1"/>
      <c r="L10459" s="2"/>
    </row>
    <row r="10460" spans="1:12" x14ac:dyDescent="0.2">
      <c r="A10460"/>
      <c r="B10460"/>
      <c r="C10460"/>
      <c r="D10460"/>
      <c r="E10460"/>
      <c r="F10460"/>
      <c r="G10460"/>
      <c r="H10460"/>
      <c r="I10460"/>
      <c r="J10460"/>
      <c r="K10460" s="1"/>
      <c r="L10460" s="2"/>
    </row>
    <row r="10461" spans="1:12" x14ac:dyDescent="0.2">
      <c r="A10461"/>
      <c r="B10461"/>
      <c r="C10461"/>
      <c r="D10461"/>
      <c r="E10461"/>
      <c r="F10461"/>
      <c r="G10461"/>
      <c r="H10461"/>
      <c r="I10461"/>
      <c r="J10461"/>
      <c r="K10461" s="1"/>
      <c r="L10461" s="2"/>
    </row>
    <row r="10462" spans="1:12" x14ac:dyDescent="0.2">
      <c r="A10462"/>
      <c r="B10462"/>
      <c r="C10462"/>
      <c r="D10462"/>
      <c r="E10462"/>
      <c r="F10462"/>
      <c r="G10462"/>
      <c r="H10462"/>
      <c r="I10462"/>
      <c r="J10462"/>
      <c r="K10462" s="1"/>
      <c r="L10462" s="2"/>
    </row>
    <row r="10463" spans="1:12" x14ac:dyDescent="0.2">
      <c r="A10463"/>
      <c r="B10463"/>
      <c r="C10463"/>
      <c r="D10463"/>
      <c r="E10463"/>
      <c r="F10463"/>
      <c r="G10463"/>
      <c r="H10463"/>
      <c r="I10463"/>
      <c r="J10463"/>
      <c r="K10463" s="1"/>
      <c r="L10463" s="2"/>
    </row>
    <row r="10464" spans="1:12" x14ac:dyDescent="0.2">
      <c r="A10464"/>
      <c r="B10464"/>
      <c r="C10464"/>
      <c r="D10464"/>
      <c r="E10464"/>
      <c r="F10464"/>
      <c r="G10464"/>
      <c r="H10464"/>
      <c r="I10464"/>
      <c r="J10464"/>
      <c r="K10464" s="1"/>
      <c r="L10464" s="2"/>
    </row>
    <row r="10465" spans="1:12" x14ac:dyDescent="0.2">
      <c r="A10465"/>
      <c r="B10465"/>
      <c r="C10465"/>
      <c r="D10465"/>
      <c r="E10465"/>
      <c r="F10465"/>
      <c r="G10465"/>
      <c r="H10465"/>
      <c r="I10465"/>
      <c r="J10465"/>
      <c r="K10465" s="1"/>
      <c r="L10465" s="2"/>
    </row>
    <row r="10466" spans="1:12" x14ac:dyDescent="0.2">
      <c r="A10466"/>
      <c r="B10466"/>
      <c r="C10466"/>
      <c r="D10466"/>
      <c r="E10466"/>
      <c r="F10466"/>
      <c r="G10466"/>
      <c r="H10466"/>
      <c r="I10466"/>
      <c r="J10466"/>
      <c r="K10466" s="1"/>
      <c r="L10466" s="2"/>
    </row>
    <row r="10467" spans="1:12" x14ac:dyDescent="0.2">
      <c r="A10467"/>
      <c r="B10467"/>
      <c r="C10467"/>
      <c r="D10467"/>
      <c r="E10467"/>
      <c r="F10467"/>
      <c r="G10467"/>
      <c r="H10467"/>
      <c r="I10467"/>
      <c r="J10467"/>
      <c r="K10467" s="1"/>
      <c r="L10467" s="2"/>
    </row>
    <row r="10468" spans="1:12" x14ac:dyDescent="0.2">
      <c r="A10468"/>
      <c r="B10468"/>
      <c r="C10468"/>
      <c r="D10468"/>
      <c r="E10468"/>
      <c r="F10468"/>
      <c r="G10468"/>
      <c r="H10468"/>
      <c r="I10468"/>
      <c r="J10468"/>
      <c r="K10468" s="1"/>
      <c r="L10468" s="2"/>
    </row>
    <row r="10469" spans="1:12" x14ac:dyDescent="0.2">
      <c r="A10469"/>
      <c r="B10469"/>
      <c r="C10469"/>
      <c r="D10469"/>
      <c r="E10469"/>
      <c r="F10469"/>
      <c r="G10469"/>
      <c r="H10469"/>
      <c r="I10469"/>
      <c r="J10469"/>
      <c r="K10469" s="1"/>
      <c r="L10469" s="2"/>
    </row>
    <row r="10470" spans="1:12" x14ac:dyDescent="0.2">
      <c r="A10470"/>
      <c r="B10470"/>
      <c r="C10470"/>
      <c r="D10470"/>
      <c r="E10470"/>
      <c r="F10470"/>
      <c r="G10470"/>
      <c r="H10470"/>
      <c r="I10470"/>
      <c r="J10470"/>
      <c r="K10470" s="1"/>
      <c r="L10470" s="2"/>
    </row>
    <row r="10471" spans="1:12" x14ac:dyDescent="0.2">
      <c r="A10471"/>
      <c r="B10471"/>
      <c r="C10471"/>
      <c r="D10471"/>
      <c r="E10471"/>
      <c r="F10471"/>
      <c r="G10471"/>
      <c r="H10471"/>
      <c r="I10471"/>
      <c r="J10471"/>
      <c r="K10471" s="1"/>
      <c r="L10471" s="2"/>
    </row>
    <row r="10472" spans="1:12" x14ac:dyDescent="0.2">
      <c r="A10472"/>
      <c r="B10472"/>
      <c r="C10472"/>
      <c r="D10472"/>
      <c r="E10472"/>
      <c r="F10472"/>
      <c r="G10472"/>
      <c r="H10472"/>
      <c r="I10472"/>
      <c r="J10472"/>
      <c r="K10472" s="1"/>
      <c r="L10472" s="2"/>
    </row>
    <row r="10473" spans="1:12" x14ac:dyDescent="0.2">
      <c r="A10473"/>
      <c r="B10473"/>
      <c r="C10473"/>
      <c r="D10473"/>
      <c r="E10473"/>
      <c r="F10473"/>
      <c r="G10473"/>
      <c r="H10473"/>
      <c r="I10473"/>
      <c r="J10473"/>
      <c r="K10473" s="1"/>
      <c r="L10473" s="2"/>
    </row>
    <row r="10474" spans="1:12" x14ac:dyDescent="0.2">
      <c r="A10474"/>
      <c r="B10474"/>
      <c r="C10474"/>
      <c r="D10474"/>
      <c r="E10474"/>
      <c r="F10474"/>
      <c r="G10474"/>
      <c r="H10474"/>
      <c r="I10474"/>
      <c r="J10474"/>
      <c r="K10474" s="1"/>
      <c r="L10474" s="2"/>
    </row>
    <row r="10475" spans="1:12" x14ac:dyDescent="0.2">
      <c r="A10475"/>
      <c r="B10475"/>
      <c r="C10475"/>
      <c r="D10475"/>
      <c r="E10475"/>
      <c r="F10475"/>
      <c r="G10475"/>
      <c r="H10475"/>
      <c r="I10475"/>
      <c r="J10475"/>
      <c r="K10475" s="1"/>
      <c r="L10475" s="2"/>
    </row>
    <row r="10476" spans="1:12" x14ac:dyDescent="0.2">
      <c r="A10476"/>
      <c r="B10476"/>
      <c r="C10476"/>
      <c r="D10476"/>
      <c r="E10476"/>
      <c r="F10476"/>
      <c r="G10476"/>
      <c r="H10476"/>
      <c r="I10476"/>
      <c r="J10476"/>
      <c r="K10476" s="1"/>
      <c r="L10476" s="2"/>
    </row>
    <row r="10477" spans="1:12" x14ac:dyDescent="0.2">
      <c r="A10477"/>
      <c r="B10477"/>
      <c r="C10477"/>
      <c r="D10477"/>
      <c r="E10477"/>
      <c r="F10477"/>
      <c r="G10477"/>
      <c r="H10477"/>
      <c r="I10477"/>
      <c r="J10477"/>
      <c r="K10477" s="1"/>
      <c r="L10477" s="2"/>
    </row>
    <row r="10478" spans="1:12" x14ac:dyDescent="0.2">
      <c r="A10478"/>
      <c r="B10478"/>
      <c r="C10478"/>
      <c r="D10478"/>
      <c r="E10478"/>
      <c r="F10478"/>
      <c r="G10478"/>
      <c r="H10478"/>
      <c r="I10478"/>
      <c r="J10478"/>
      <c r="K10478" s="1"/>
      <c r="L10478" s="2"/>
    </row>
    <row r="10479" spans="1:12" x14ac:dyDescent="0.2">
      <c r="A10479"/>
      <c r="B10479"/>
      <c r="C10479"/>
      <c r="D10479"/>
      <c r="E10479"/>
      <c r="F10479"/>
      <c r="G10479"/>
      <c r="H10479"/>
      <c r="I10479"/>
      <c r="J10479"/>
      <c r="K10479" s="1"/>
      <c r="L10479" s="2"/>
    </row>
    <row r="10480" spans="1:12" x14ac:dyDescent="0.2">
      <c r="A10480"/>
      <c r="B10480"/>
      <c r="C10480"/>
      <c r="D10480"/>
      <c r="E10480"/>
      <c r="F10480"/>
      <c r="G10480"/>
      <c r="H10480"/>
      <c r="I10480"/>
      <c r="J10480"/>
      <c r="K10480" s="1"/>
      <c r="L10480" s="2"/>
    </row>
    <row r="10481" spans="1:12" x14ac:dyDescent="0.2">
      <c r="A10481"/>
      <c r="B10481"/>
      <c r="C10481"/>
      <c r="D10481"/>
      <c r="E10481"/>
      <c r="F10481"/>
      <c r="G10481"/>
      <c r="H10481"/>
      <c r="I10481"/>
      <c r="J10481"/>
      <c r="K10481" s="1"/>
      <c r="L10481" s="2"/>
    </row>
    <row r="10482" spans="1:12" x14ac:dyDescent="0.2">
      <c r="A10482"/>
      <c r="B10482"/>
      <c r="C10482"/>
      <c r="D10482"/>
      <c r="E10482"/>
      <c r="F10482"/>
      <c r="G10482"/>
      <c r="H10482"/>
      <c r="I10482"/>
      <c r="J10482"/>
      <c r="K10482" s="1"/>
      <c r="L10482" s="2"/>
    </row>
    <row r="10483" spans="1:12" x14ac:dyDescent="0.2">
      <c r="A10483"/>
      <c r="B10483"/>
      <c r="C10483"/>
      <c r="D10483"/>
      <c r="E10483"/>
      <c r="F10483"/>
      <c r="G10483"/>
      <c r="H10483"/>
      <c r="I10483"/>
      <c r="J10483"/>
      <c r="K10483" s="1"/>
      <c r="L10483" s="2"/>
    </row>
    <row r="10484" spans="1:12" x14ac:dyDescent="0.2">
      <c r="A10484"/>
      <c r="B10484"/>
      <c r="C10484"/>
      <c r="D10484"/>
      <c r="E10484"/>
      <c r="F10484"/>
      <c r="G10484"/>
      <c r="H10484"/>
      <c r="I10484"/>
      <c r="J10484"/>
      <c r="K10484" s="1"/>
      <c r="L10484" s="2"/>
    </row>
    <row r="10485" spans="1:12" x14ac:dyDescent="0.2">
      <c r="A10485"/>
      <c r="B10485"/>
      <c r="C10485"/>
      <c r="D10485"/>
      <c r="E10485"/>
      <c r="F10485"/>
      <c r="G10485"/>
      <c r="H10485"/>
      <c r="I10485"/>
      <c r="J10485"/>
      <c r="K10485" s="1"/>
      <c r="L10485" s="2"/>
    </row>
    <row r="10486" spans="1:12" x14ac:dyDescent="0.2">
      <c r="A10486"/>
      <c r="B10486"/>
      <c r="C10486"/>
      <c r="D10486"/>
      <c r="E10486"/>
      <c r="F10486"/>
      <c r="G10486"/>
      <c r="H10486"/>
      <c r="I10486"/>
      <c r="J10486"/>
      <c r="K10486" s="1"/>
      <c r="L10486" s="2"/>
    </row>
    <row r="10487" spans="1:12" x14ac:dyDescent="0.2">
      <c r="A10487"/>
      <c r="B10487"/>
      <c r="C10487"/>
      <c r="D10487"/>
      <c r="E10487"/>
      <c r="F10487"/>
      <c r="G10487"/>
      <c r="H10487"/>
      <c r="I10487"/>
      <c r="J10487"/>
      <c r="K10487" s="1"/>
      <c r="L10487" s="2"/>
    </row>
    <row r="10488" spans="1:12" x14ac:dyDescent="0.2">
      <c r="A10488"/>
      <c r="B10488"/>
      <c r="C10488"/>
      <c r="D10488"/>
      <c r="E10488"/>
      <c r="F10488"/>
      <c r="G10488"/>
      <c r="H10488"/>
      <c r="I10488"/>
      <c r="J10488"/>
      <c r="K10488" s="1"/>
      <c r="L10488" s="2"/>
    </row>
    <row r="10489" spans="1:12" x14ac:dyDescent="0.2">
      <c r="A10489"/>
      <c r="B10489"/>
      <c r="C10489"/>
      <c r="D10489"/>
      <c r="E10489"/>
      <c r="F10489"/>
      <c r="G10489"/>
      <c r="H10489"/>
      <c r="I10489"/>
      <c r="J10489"/>
      <c r="K10489" s="1"/>
      <c r="L10489" s="2"/>
    </row>
    <row r="10490" spans="1:12" x14ac:dyDescent="0.2">
      <c r="A10490"/>
      <c r="B10490"/>
      <c r="C10490"/>
      <c r="D10490"/>
      <c r="E10490"/>
      <c r="F10490"/>
      <c r="G10490"/>
      <c r="H10490"/>
      <c r="I10490"/>
      <c r="J10490"/>
      <c r="K10490" s="1"/>
      <c r="L10490" s="2"/>
    </row>
    <row r="10491" spans="1:12" x14ac:dyDescent="0.2">
      <c r="A10491"/>
      <c r="B10491"/>
      <c r="C10491"/>
      <c r="D10491"/>
      <c r="E10491"/>
      <c r="F10491"/>
      <c r="G10491"/>
      <c r="H10491"/>
      <c r="I10491"/>
      <c r="J10491"/>
      <c r="K10491" s="1"/>
      <c r="L10491" s="2"/>
    </row>
    <row r="10492" spans="1:12" x14ac:dyDescent="0.2">
      <c r="A10492"/>
      <c r="B10492"/>
      <c r="C10492"/>
      <c r="D10492"/>
      <c r="E10492"/>
      <c r="F10492"/>
      <c r="G10492"/>
      <c r="H10492"/>
      <c r="I10492"/>
      <c r="J10492"/>
      <c r="K10492" s="1"/>
      <c r="L10492" s="2"/>
    </row>
    <row r="10493" spans="1:12" x14ac:dyDescent="0.2">
      <c r="A10493"/>
      <c r="B10493"/>
      <c r="C10493"/>
      <c r="D10493"/>
      <c r="E10493"/>
      <c r="F10493"/>
      <c r="G10493"/>
      <c r="H10493"/>
      <c r="I10493"/>
      <c r="J10493"/>
      <c r="K10493" s="1"/>
      <c r="L10493" s="2"/>
    </row>
    <row r="10494" spans="1:12" x14ac:dyDescent="0.2">
      <c r="A10494"/>
      <c r="B10494"/>
      <c r="C10494"/>
      <c r="D10494"/>
      <c r="E10494"/>
      <c r="F10494"/>
      <c r="G10494"/>
      <c r="H10494"/>
      <c r="I10494"/>
      <c r="J10494"/>
      <c r="K10494" s="1"/>
      <c r="L10494" s="2"/>
    </row>
    <row r="10495" spans="1:12" x14ac:dyDescent="0.2">
      <c r="A10495"/>
      <c r="B10495"/>
      <c r="C10495"/>
      <c r="D10495"/>
      <c r="E10495"/>
      <c r="F10495"/>
      <c r="G10495"/>
      <c r="H10495"/>
      <c r="I10495"/>
      <c r="J10495"/>
      <c r="K10495" s="1"/>
      <c r="L10495" s="2"/>
    </row>
    <row r="10496" spans="1:12" x14ac:dyDescent="0.2">
      <c r="A10496"/>
      <c r="B10496"/>
      <c r="C10496"/>
      <c r="D10496"/>
      <c r="E10496"/>
      <c r="F10496"/>
      <c r="G10496"/>
      <c r="H10496"/>
      <c r="I10496"/>
      <c r="J10496"/>
      <c r="K10496" s="1"/>
      <c r="L10496" s="2"/>
    </row>
    <row r="10497" spans="1:12" x14ac:dyDescent="0.2">
      <c r="A10497"/>
      <c r="B10497"/>
      <c r="C10497"/>
      <c r="D10497"/>
      <c r="E10497"/>
      <c r="F10497"/>
      <c r="G10497"/>
      <c r="H10497"/>
      <c r="I10497"/>
      <c r="J10497"/>
      <c r="K10497" s="1"/>
      <c r="L10497" s="2"/>
    </row>
    <row r="10498" spans="1:12" x14ac:dyDescent="0.2">
      <c r="A10498"/>
      <c r="B10498"/>
      <c r="C10498"/>
      <c r="D10498"/>
      <c r="E10498"/>
      <c r="F10498"/>
      <c r="G10498"/>
      <c r="H10498"/>
      <c r="I10498"/>
      <c r="J10498"/>
      <c r="K10498" s="1"/>
      <c r="L10498" s="2"/>
    </row>
    <row r="10499" spans="1:12" x14ac:dyDescent="0.2">
      <c r="A10499"/>
      <c r="B10499"/>
      <c r="C10499"/>
      <c r="D10499"/>
      <c r="E10499"/>
      <c r="F10499"/>
      <c r="G10499"/>
      <c r="H10499"/>
      <c r="I10499"/>
      <c r="J10499"/>
      <c r="K10499" s="1"/>
      <c r="L10499" s="2"/>
    </row>
    <row r="10500" spans="1:12" x14ac:dyDescent="0.2">
      <c r="A10500"/>
      <c r="B10500"/>
      <c r="C10500"/>
      <c r="D10500"/>
      <c r="E10500"/>
      <c r="F10500"/>
      <c r="G10500"/>
      <c r="H10500"/>
      <c r="I10500"/>
      <c r="J10500"/>
      <c r="K10500" s="1"/>
      <c r="L10500" s="2"/>
    </row>
    <row r="10501" spans="1:12" x14ac:dyDescent="0.2">
      <c r="A10501"/>
      <c r="B10501"/>
      <c r="C10501"/>
      <c r="D10501"/>
      <c r="E10501"/>
      <c r="F10501"/>
      <c r="G10501"/>
      <c r="H10501"/>
      <c r="I10501"/>
      <c r="J10501"/>
      <c r="K10501" s="1"/>
      <c r="L10501" s="2"/>
    </row>
    <row r="10502" spans="1:12" x14ac:dyDescent="0.2">
      <c r="A10502"/>
      <c r="B10502"/>
      <c r="C10502"/>
      <c r="D10502"/>
      <c r="E10502"/>
      <c r="F10502"/>
      <c r="G10502"/>
      <c r="H10502"/>
      <c r="I10502"/>
      <c r="J10502"/>
      <c r="K10502" s="1"/>
      <c r="L10502" s="2"/>
    </row>
    <row r="10503" spans="1:12" x14ac:dyDescent="0.2">
      <c r="A10503"/>
      <c r="B10503"/>
      <c r="C10503"/>
      <c r="D10503"/>
      <c r="E10503"/>
      <c r="F10503"/>
      <c r="G10503"/>
      <c r="H10503"/>
      <c r="I10503"/>
      <c r="J10503"/>
      <c r="K10503" s="1"/>
      <c r="L10503" s="2"/>
    </row>
    <row r="10504" spans="1:12" x14ac:dyDescent="0.2">
      <c r="A10504"/>
      <c r="B10504"/>
      <c r="C10504"/>
      <c r="D10504"/>
      <c r="E10504"/>
      <c r="F10504"/>
      <c r="G10504"/>
      <c r="H10504"/>
      <c r="I10504"/>
      <c r="J10504"/>
      <c r="K10504" s="1"/>
      <c r="L10504" s="2"/>
    </row>
    <row r="10505" spans="1:12" x14ac:dyDescent="0.2">
      <c r="A10505"/>
      <c r="B10505"/>
      <c r="C10505"/>
      <c r="D10505"/>
      <c r="E10505"/>
      <c r="F10505"/>
      <c r="G10505"/>
      <c r="H10505"/>
      <c r="I10505"/>
      <c r="J10505"/>
      <c r="K10505" s="1"/>
      <c r="L10505" s="2"/>
    </row>
    <row r="10506" spans="1:12" x14ac:dyDescent="0.2">
      <c r="A10506"/>
      <c r="B10506"/>
      <c r="C10506"/>
      <c r="D10506"/>
      <c r="E10506"/>
      <c r="F10506"/>
      <c r="G10506"/>
      <c r="H10506"/>
      <c r="I10506"/>
      <c r="J10506"/>
      <c r="K10506" s="1"/>
      <c r="L10506" s="2"/>
    </row>
    <row r="10507" spans="1:12" x14ac:dyDescent="0.2">
      <c r="A10507"/>
      <c r="B10507"/>
      <c r="C10507"/>
      <c r="D10507"/>
      <c r="E10507"/>
      <c r="F10507"/>
      <c r="G10507"/>
      <c r="H10507"/>
      <c r="I10507"/>
      <c r="J10507"/>
      <c r="K10507" s="1"/>
      <c r="L10507" s="2"/>
    </row>
    <row r="10508" spans="1:12" x14ac:dyDescent="0.2">
      <c r="A10508"/>
      <c r="B10508"/>
      <c r="C10508"/>
      <c r="D10508"/>
      <c r="E10508"/>
      <c r="F10508"/>
      <c r="G10508"/>
      <c r="H10508"/>
      <c r="I10508"/>
      <c r="J10508"/>
      <c r="K10508" s="1"/>
      <c r="L10508" s="2"/>
    </row>
    <row r="10509" spans="1:12" x14ac:dyDescent="0.2">
      <c r="A10509"/>
      <c r="B10509"/>
      <c r="C10509"/>
      <c r="D10509"/>
      <c r="E10509"/>
      <c r="F10509"/>
      <c r="G10509"/>
      <c r="H10509"/>
      <c r="I10509"/>
      <c r="J10509"/>
      <c r="K10509" s="1"/>
      <c r="L10509" s="2"/>
    </row>
    <row r="10510" spans="1:12" x14ac:dyDescent="0.2">
      <c r="A10510"/>
      <c r="B10510"/>
      <c r="C10510"/>
      <c r="D10510"/>
      <c r="E10510"/>
      <c r="F10510"/>
      <c r="G10510"/>
      <c r="H10510"/>
      <c r="I10510"/>
      <c r="J10510"/>
      <c r="K10510" s="1"/>
      <c r="L10510" s="2"/>
    </row>
    <row r="10511" spans="1:12" x14ac:dyDescent="0.2">
      <c r="A10511"/>
      <c r="B10511"/>
      <c r="C10511"/>
      <c r="D10511"/>
      <c r="E10511"/>
      <c r="F10511"/>
      <c r="G10511"/>
      <c r="H10511"/>
      <c r="I10511"/>
      <c r="J10511"/>
      <c r="K10511" s="1"/>
      <c r="L10511" s="2"/>
    </row>
    <row r="10512" spans="1:12" x14ac:dyDescent="0.2">
      <c r="A10512"/>
      <c r="B10512"/>
      <c r="C10512"/>
      <c r="D10512"/>
      <c r="E10512"/>
      <c r="F10512"/>
      <c r="G10512"/>
      <c r="H10512"/>
      <c r="I10512"/>
      <c r="J10512"/>
      <c r="K10512" s="1"/>
      <c r="L10512" s="2"/>
    </row>
    <row r="10513" spans="1:12" x14ac:dyDescent="0.2">
      <c r="A10513"/>
      <c r="B10513"/>
      <c r="C10513"/>
      <c r="D10513"/>
      <c r="E10513"/>
      <c r="F10513"/>
      <c r="G10513"/>
      <c r="H10513"/>
      <c r="I10513"/>
      <c r="J10513"/>
      <c r="K10513" s="1"/>
      <c r="L10513" s="2"/>
    </row>
    <row r="10514" spans="1:12" x14ac:dyDescent="0.2">
      <c r="A10514"/>
      <c r="B10514"/>
      <c r="C10514"/>
      <c r="D10514"/>
      <c r="E10514"/>
      <c r="F10514"/>
      <c r="G10514"/>
      <c r="H10514"/>
      <c r="I10514"/>
      <c r="J10514"/>
      <c r="K10514" s="1"/>
      <c r="L10514" s="2"/>
    </row>
    <row r="10515" spans="1:12" x14ac:dyDescent="0.2">
      <c r="A10515"/>
      <c r="B10515"/>
      <c r="C10515"/>
      <c r="D10515"/>
      <c r="E10515"/>
      <c r="F10515"/>
      <c r="G10515"/>
      <c r="H10515"/>
      <c r="I10515"/>
      <c r="J10515"/>
      <c r="K10515" s="1"/>
      <c r="L10515" s="2"/>
    </row>
    <row r="10516" spans="1:12" x14ac:dyDescent="0.2">
      <c r="A10516"/>
      <c r="B10516"/>
      <c r="C10516"/>
      <c r="D10516"/>
      <c r="E10516"/>
      <c r="F10516"/>
      <c r="G10516"/>
      <c r="H10516"/>
      <c r="I10516"/>
      <c r="J10516"/>
      <c r="K10516" s="1"/>
      <c r="L10516" s="2"/>
    </row>
    <row r="10517" spans="1:12" x14ac:dyDescent="0.2">
      <c r="A10517"/>
      <c r="B10517"/>
      <c r="C10517"/>
      <c r="D10517"/>
      <c r="E10517"/>
      <c r="F10517"/>
      <c r="G10517"/>
      <c r="H10517"/>
      <c r="I10517"/>
      <c r="J10517"/>
      <c r="K10517" s="1"/>
      <c r="L10517" s="2"/>
    </row>
    <row r="10518" spans="1:12" x14ac:dyDescent="0.2">
      <c r="A10518"/>
      <c r="B10518"/>
      <c r="C10518"/>
      <c r="D10518"/>
      <c r="E10518"/>
      <c r="F10518"/>
      <c r="G10518"/>
      <c r="H10518"/>
      <c r="I10518"/>
      <c r="J10518"/>
      <c r="K10518" s="1"/>
      <c r="L10518" s="2"/>
    </row>
    <row r="10519" spans="1:12" x14ac:dyDescent="0.2">
      <c r="A10519"/>
      <c r="B10519"/>
      <c r="C10519"/>
      <c r="D10519"/>
      <c r="E10519"/>
      <c r="F10519"/>
      <c r="G10519"/>
      <c r="H10519"/>
      <c r="I10519"/>
      <c r="J10519"/>
      <c r="K10519" s="1"/>
      <c r="L10519" s="2"/>
    </row>
    <row r="10520" spans="1:12" x14ac:dyDescent="0.2">
      <c r="A10520"/>
      <c r="B10520"/>
      <c r="C10520"/>
      <c r="D10520"/>
      <c r="E10520"/>
      <c r="F10520"/>
      <c r="G10520"/>
      <c r="H10520"/>
      <c r="I10520"/>
      <c r="J10520"/>
      <c r="K10520" s="1"/>
      <c r="L10520" s="2"/>
    </row>
    <row r="10521" spans="1:12" x14ac:dyDescent="0.2">
      <c r="A10521"/>
      <c r="B10521"/>
      <c r="C10521"/>
      <c r="D10521"/>
      <c r="E10521"/>
      <c r="F10521"/>
      <c r="G10521"/>
      <c r="H10521"/>
      <c r="I10521"/>
      <c r="J10521"/>
      <c r="K10521" s="1"/>
      <c r="L10521" s="2"/>
    </row>
    <row r="10522" spans="1:12" x14ac:dyDescent="0.2">
      <c r="A10522"/>
      <c r="B10522"/>
      <c r="C10522"/>
      <c r="D10522"/>
      <c r="E10522"/>
      <c r="F10522"/>
      <c r="G10522"/>
      <c r="H10522"/>
      <c r="I10522"/>
      <c r="J10522"/>
      <c r="K10522" s="1"/>
      <c r="L10522" s="2"/>
    </row>
    <row r="10523" spans="1:12" x14ac:dyDescent="0.2">
      <c r="A10523"/>
      <c r="B10523"/>
      <c r="C10523"/>
      <c r="D10523"/>
      <c r="E10523"/>
      <c r="F10523"/>
      <c r="G10523"/>
      <c r="H10523"/>
      <c r="I10523"/>
      <c r="J10523"/>
      <c r="K10523" s="1"/>
      <c r="L10523" s="2"/>
    </row>
    <row r="10524" spans="1:12" x14ac:dyDescent="0.2">
      <c r="A10524"/>
      <c r="B10524"/>
      <c r="C10524"/>
      <c r="D10524"/>
      <c r="E10524"/>
      <c r="F10524"/>
      <c r="G10524"/>
      <c r="H10524"/>
      <c r="I10524"/>
      <c r="J10524"/>
      <c r="K10524" s="1"/>
      <c r="L10524" s="2"/>
    </row>
    <row r="10525" spans="1:12" x14ac:dyDescent="0.2">
      <c r="A10525"/>
      <c r="B10525"/>
      <c r="C10525"/>
      <c r="D10525"/>
      <c r="E10525"/>
      <c r="F10525"/>
      <c r="G10525"/>
      <c r="H10525"/>
      <c r="I10525"/>
      <c r="J10525"/>
      <c r="K10525" s="1"/>
      <c r="L10525" s="2"/>
    </row>
    <row r="10526" spans="1:12" x14ac:dyDescent="0.2">
      <c r="A10526"/>
      <c r="B10526"/>
      <c r="C10526"/>
      <c r="D10526"/>
      <c r="E10526"/>
      <c r="F10526"/>
      <c r="G10526"/>
      <c r="H10526"/>
      <c r="I10526"/>
      <c r="J10526"/>
      <c r="K10526" s="1"/>
      <c r="L10526" s="2"/>
    </row>
    <row r="10527" spans="1:12" x14ac:dyDescent="0.2">
      <c r="A10527"/>
      <c r="B10527"/>
      <c r="C10527"/>
      <c r="D10527"/>
      <c r="E10527"/>
      <c r="F10527"/>
      <c r="G10527"/>
      <c r="H10527"/>
      <c r="I10527"/>
      <c r="J10527"/>
      <c r="K10527" s="1"/>
      <c r="L10527" s="2"/>
    </row>
    <row r="10528" spans="1:12" x14ac:dyDescent="0.2">
      <c r="A10528"/>
      <c r="B10528"/>
      <c r="C10528"/>
      <c r="D10528"/>
      <c r="E10528"/>
      <c r="F10528"/>
      <c r="G10528"/>
      <c r="H10528"/>
      <c r="I10528"/>
      <c r="J10528"/>
      <c r="K10528" s="1"/>
      <c r="L10528" s="2"/>
    </row>
    <row r="10529" spans="1:12" x14ac:dyDescent="0.2">
      <c r="A10529"/>
      <c r="B10529"/>
      <c r="C10529"/>
      <c r="D10529"/>
      <c r="E10529"/>
      <c r="F10529"/>
      <c r="G10529"/>
      <c r="H10529"/>
      <c r="I10529"/>
      <c r="J10529"/>
      <c r="K10529" s="1"/>
      <c r="L10529" s="2"/>
    </row>
    <row r="10530" spans="1:12" x14ac:dyDescent="0.2">
      <c r="A10530"/>
      <c r="B10530"/>
      <c r="C10530"/>
      <c r="D10530"/>
      <c r="E10530"/>
      <c r="F10530"/>
      <c r="G10530"/>
      <c r="H10530"/>
      <c r="I10530"/>
      <c r="J10530"/>
      <c r="K10530" s="1"/>
      <c r="L10530" s="2"/>
    </row>
    <row r="10531" spans="1:12" x14ac:dyDescent="0.2">
      <c r="A10531"/>
      <c r="B10531"/>
      <c r="C10531"/>
      <c r="D10531"/>
      <c r="E10531"/>
      <c r="F10531"/>
      <c r="G10531"/>
      <c r="H10531"/>
      <c r="I10531"/>
      <c r="J10531"/>
      <c r="K10531" s="1"/>
      <c r="L10531" s="2"/>
    </row>
    <row r="10532" spans="1:12" x14ac:dyDescent="0.2">
      <c r="A10532"/>
      <c r="B10532"/>
      <c r="C10532"/>
      <c r="D10532"/>
      <c r="E10532"/>
      <c r="F10532"/>
      <c r="G10532"/>
      <c r="H10532"/>
      <c r="I10532"/>
      <c r="J10532"/>
      <c r="K10532" s="1"/>
      <c r="L10532" s="2"/>
    </row>
    <row r="10533" spans="1:12" x14ac:dyDescent="0.2">
      <c r="A10533"/>
      <c r="B10533"/>
      <c r="C10533"/>
      <c r="D10533"/>
      <c r="E10533"/>
      <c r="F10533"/>
      <c r="G10533"/>
      <c r="H10533"/>
      <c r="I10533"/>
      <c r="J10533"/>
      <c r="K10533" s="1"/>
      <c r="L10533" s="2"/>
    </row>
    <row r="10534" spans="1:12" x14ac:dyDescent="0.2">
      <c r="A10534"/>
      <c r="B10534"/>
      <c r="C10534"/>
      <c r="D10534"/>
      <c r="E10534"/>
      <c r="F10534"/>
      <c r="G10534"/>
      <c r="H10534"/>
      <c r="I10534"/>
      <c r="J10534"/>
      <c r="K10534" s="1"/>
      <c r="L10534" s="2"/>
    </row>
    <row r="10535" spans="1:12" x14ac:dyDescent="0.2">
      <c r="A10535"/>
      <c r="B10535"/>
      <c r="C10535"/>
      <c r="D10535"/>
      <c r="E10535"/>
      <c r="F10535"/>
      <c r="G10535"/>
      <c r="H10535"/>
      <c r="I10535"/>
      <c r="J10535"/>
      <c r="K10535" s="1"/>
      <c r="L10535" s="2"/>
    </row>
    <row r="10536" spans="1:12" x14ac:dyDescent="0.2">
      <c r="A10536"/>
      <c r="B10536"/>
      <c r="C10536"/>
      <c r="D10536"/>
      <c r="E10536"/>
      <c r="F10536"/>
      <c r="G10536"/>
      <c r="H10536"/>
      <c r="I10536"/>
      <c r="J10536"/>
      <c r="K10536" s="1"/>
      <c r="L10536" s="2"/>
    </row>
    <row r="10537" spans="1:12" x14ac:dyDescent="0.2">
      <c r="A10537"/>
      <c r="B10537"/>
      <c r="C10537"/>
      <c r="D10537"/>
      <c r="E10537"/>
      <c r="F10537"/>
      <c r="G10537"/>
      <c r="H10537"/>
      <c r="I10537"/>
      <c r="J10537"/>
      <c r="K10537" s="1"/>
      <c r="L10537" s="2"/>
    </row>
    <row r="10538" spans="1:12" x14ac:dyDescent="0.2">
      <c r="A10538"/>
      <c r="B10538"/>
      <c r="C10538"/>
      <c r="D10538"/>
      <c r="E10538"/>
      <c r="F10538"/>
      <c r="G10538"/>
      <c r="H10538"/>
      <c r="I10538"/>
      <c r="J10538"/>
      <c r="K10538" s="1"/>
      <c r="L10538" s="2"/>
    </row>
    <row r="10539" spans="1:12" x14ac:dyDescent="0.2">
      <c r="A10539"/>
      <c r="B10539"/>
      <c r="C10539"/>
      <c r="D10539"/>
      <c r="E10539"/>
      <c r="F10539"/>
      <c r="G10539"/>
      <c r="H10539"/>
      <c r="I10539"/>
      <c r="J10539"/>
      <c r="K10539" s="1"/>
      <c r="L10539" s="2"/>
    </row>
    <row r="10540" spans="1:12" x14ac:dyDescent="0.2">
      <c r="A10540"/>
      <c r="B10540"/>
      <c r="C10540"/>
      <c r="D10540"/>
      <c r="E10540"/>
      <c r="F10540"/>
      <c r="G10540"/>
      <c r="H10540"/>
      <c r="I10540"/>
      <c r="J10540"/>
      <c r="K10540" s="1"/>
      <c r="L10540" s="2"/>
    </row>
    <row r="10541" spans="1:12" x14ac:dyDescent="0.2">
      <c r="A10541"/>
      <c r="B10541"/>
      <c r="C10541"/>
      <c r="D10541"/>
      <c r="E10541"/>
      <c r="F10541"/>
      <c r="G10541"/>
      <c r="H10541"/>
      <c r="I10541"/>
      <c r="J10541"/>
      <c r="K10541" s="1"/>
      <c r="L10541" s="2"/>
    </row>
    <row r="10542" spans="1:12" x14ac:dyDescent="0.2">
      <c r="A10542"/>
      <c r="B10542"/>
      <c r="C10542"/>
      <c r="D10542"/>
      <c r="E10542"/>
      <c r="F10542"/>
      <c r="G10542"/>
      <c r="H10542"/>
      <c r="I10542"/>
      <c r="J10542"/>
      <c r="K10542" s="1"/>
      <c r="L10542" s="2"/>
    </row>
    <row r="10543" spans="1:12" x14ac:dyDescent="0.2">
      <c r="A10543"/>
      <c r="B10543"/>
      <c r="C10543"/>
      <c r="D10543"/>
      <c r="E10543"/>
      <c r="F10543"/>
      <c r="G10543"/>
      <c r="H10543"/>
      <c r="I10543"/>
      <c r="J10543"/>
      <c r="K10543" s="1"/>
      <c r="L10543" s="2"/>
    </row>
    <row r="10544" spans="1:12" x14ac:dyDescent="0.2">
      <c r="A10544"/>
      <c r="B10544"/>
      <c r="C10544"/>
      <c r="D10544"/>
      <c r="E10544"/>
      <c r="F10544"/>
      <c r="G10544"/>
      <c r="H10544"/>
      <c r="I10544"/>
      <c r="J10544"/>
      <c r="K10544" s="1"/>
      <c r="L10544" s="2"/>
    </row>
    <row r="10545" spans="1:12" x14ac:dyDescent="0.2">
      <c r="A10545"/>
      <c r="B10545"/>
      <c r="C10545"/>
      <c r="D10545"/>
      <c r="E10545"/>
      <c r="F10545"/>
      <c r="G10545"/>
      <c r="H10545"/>
      <c r="I10545"/>
      <c r="J10545"/>
      <c r="K10545" s="1"/>
      <c r="L10545" s="2"/>
    </row>
    <row r="10546" spans="1:12" x14ac:dyDescent="0.2">
      <c r="A10546"/>
      <c r="B10546"/>
      <c r="C10546"/>
      <c r="D10546"/>
      <c r="E10546"/>
      <c r="F10546"/>
      <c r="G10546"/>
      <c r="H10546"/>
      <c r="I10546"/>
      <c r="J10546"/>
      <c r="K10546" s="1"/>
      <c r="L10546" s="2"/>
    </row>
    <row r="10547" spans="1:12" x14ac:dyDescent="0.2">
      <c r="A10547"/>
      <c r="B10547"/>
      <c r="C10547"/>
      <c r="D10547"/>
      <c r="E10547"/>
      <c r="F10547"/>
      <c r="G10547"/>
      <c r="H10547"/>
      <c r="I10547"/>
      <c r="J10547"/>
      <c r="K10547" s="1"/>
      <c r="L10547" s="2"/>
    </row>
    <row r="10548" spans="1:12" x14ac:dyDescent="0.2">
      <c r="A10548"/>
      <c r="B10548"/>
      <c r="C10548"/>
      <c r="D10548"/>
      <c r="E10548"/>
      <c r="F10548"/>
      <c r="G10548"/>
      <c r="H10548"/>
      <c r="I10548"/>
      <c r="J10548"/>
      <c r="K10548" s="1"/>
      <c r="L10548" s="2"/>
    </row>
    <row r="10549" spans="1:12" x14ac:dyDescent="0.2">
      <c r="A10549"/>
      <c r="B10549"/>
      <c r="C10549"/>
      <c r="D10549"/>
      <c r="E10549"/>
      <c r="F10549"/>
      <c r="G10549"/>
      <c r="H10549"/>
      <c r="I10549"/>
      <c r="J10549"/>
      <c r="K10549" s="1"/>
      <c r="L10549" s="2"/>
    </row>
    <row r="10550" spans="1:12" x14ac:dyDescent="0.2">
      <c r="A10550"/>
      <c r="B10550"/>
      <c r="C10550"/>
      <c r="D10550"/>
      <c r="E10550"/>
      <c r="F10550"/>
      <c r="G10550"/>
      <c r="H10550"/>
      <c r="I10550"/>
      <c r="J10550"/>
      <c r="K10550" s="1"/>
      <c r="L10550" s="2"/>
    </row>
    <row r="10551" spans="1:12" x14ac:dyDescent="0.2">
      <c r="A10551"/>
      <c r="B10551"/>
      <c r="C10551"/>
      <c r="D10551"/>
      <c r="E10551"/>
      <c r="F10551"/>
      <c r="G10551"/>
      <c r="H10551"/>
      <c r="I10551"/>
      <c r="J10551"/>
      <c r="K10551" s="1"/>
      <c r="L10551" s="2"/>
    </row>
    <row r="10552" spans="1:12" x14ac:dyDescent="0.2">
      <c r="A10552"/>
      <c r="B10552"/>
      <c r="C10552"/>
      <c r="D10552"/>
      <c r="E10552"/>
      <c r="F10552"/>
      <c r="G10552"/>
      <c r="H10552"/>
      <c r="I10552"/>
      <c r="J10552"/>
      <c r="K10552" s="1"/>
      <c r="L10552" s="2"/>
    </row>
    <row r="10553" spans="1:12" x14ac:dyDescent="0.2">
      <c r="A10553"/>
      <c r="B10553"/>
      <c r="C10553"/>
      <c r="D10553"/>
      <c r="E10553"/>
      <c r="F10553"/>
      <c r="G10553"/>
      <c r="H10553"/>
      <c r="I10553"/>
      <c r="J10553"/>
      <c r="K10553" s="1"/>
      <c r="L10553" s="2"/>
    </row>
    <row r="10554" spans="1:12" x14ac:dyDescent="0.2">
      <c r="A10554"/>
      <c r="B10554"/>
      <c r="C10554"/>
      <c r="D10554"/>
      <c r="E10554"/>
      <c r="F10554"/>
      <c r="G10554"/>
      <c r="H10554"/>
      <c r="I10554"/>
      <c r="J10554"/>
      <c r="K10554" s="1"/>
      <c r="L10554" s="2"/>
    </row>
    <row r="10555" spans="1:12" x14ac:dyDescent="0.2">
      <c r="A10555"/>
      <c r="B10555"/>
      <c r="C10555"/>
      <c r="D10555"/>
      <c r="E10555"/>
      <c r="F10555"/>
      <c r="G10555"/>
      <c r="H10555"/>
      <c r="I10555"/>
      <c r="J10555"/>
      <c r="K10555" s="1"/>
      <c r="L10555" s="2"/>
    </row>
    <row r="10556" spans="1:12" x14ac:dyDescent="0.2">
      <c r="A10556"/>
      <c r="B10556"/>
      <c r="C10556"/>
      <c r="D10556"/>
      <c r="E10556"/>
      <c r="F10556"/>
      <c r="G10556"/>
      <c r="H10556"/>
      <c r="I10556"/>
      <c r="J10556"/>
      <c r="K10556" s="1"/>
      <c r="L10556" s="2"/>
    </row>
    <row r="10557" spans="1:12" x14ac:dyDescent="0.2">
      <c r="A10557"/>
      <c r="B10557"/>
      <c r="C10557"/>
      <c r="D10557"/>
      <c r="E10557"/>
      <c r="F10557"/>
      <c r="G10557"/>
      <c r="H10557"/>
      <c r="I10557"/>
      <c r="J10557"/>
      <c r="K10557" s="1"/>
      <c r="L10557" s="2"/>
    </row>
    <row r="10558" spans="1:12" x14ac:dyDescent="0.2">
      <c r="A10558"/>
      <c r="B10558"/>
      <c r="C10558"/>
      <c r="D10558"/>
      <c r="E10558"/>
      <c r="F10558"/>
      <c r="G10558"/>
      <c r="H10558"/>
      <c r="I10558"/>
      <c r="J10558"/>
      <c r="K10558" s="1"/>
      <c r="L10558" s="2"/>
    </row>
    <row r="10559" spans="1:12" x14ac:dyDescent="0.2">
      <c r="A10559"/>
      <c r="B10559"/>
      <c r="C10559"/>
      <c r="D10559"/>
      <c r="E10559"/>
      <c r="F10559"/>
      <c r="G10559"/>
      <c r="H10559"/>
      <c r="I10559"/>
      <c r="J10559"/>
      <c r="K10559" s="1"/>
      <c r="L10559" s="2"/>
    </row>
    <row r="10560" spans="1:12" x14ac:dyDescent="0.2">
      <c r="A10560"/>
      <c r="B10560"/>
      <c r="C10560"/>
      <c r="D10560"/>
      <c r="E10560"/>
      <c r="F10560"/>
      <c r="G10560"/>
      <c r="H10560"/>
      <c r="I10560"/>
      <c r="J10560"/>
      <c r="K10560" s="1"/>
      <c r="L10560" s="2"/>
    </row>
    <row r="10561" spans="1:12" x14ac:dyDescent="0.2">
      <c r="A10561"/>
      <c r="B10561"/>
      <c r="C10561"/>
      <c r="D10561"/>
      <c r="E10561"/>
      <c r="F10561"/>
      <c r="G10561"/>
      <c r="H10561"/>
      <c r="I10561"/>
      <c r="J10561"/>
      <c r="K10561" s="1"/>
      <c r="L10561" s="2"/>
    </row>
    <row r="10562" spans="1:12" x14ac:dyDescent="0.2">
      <c r="A10562"/>
      <c r="B10562"/>
      <c r="C10562"/>
      <c r="D10562"/>
      <c r="E10562"/>
      <c r="F10562"/>
      <c r="G10562"/>
      <c r="H10562"/>
      <c r="I10562"/>
      <c r="J10562"/>
      <c r="K10562" s="1"/>
      <c r="L10562" s="2"/>
    </row>
    <row r="10563" spans="1:12" x14ac:dyDescent="0.2">
      <c r="A10563"/>
      <c r="B10563"/>
      <c r="C10563"/>
      <c r="D10563"/>
      <c r="E10563"/>
      <c r="F10563"/>
      <c r="G10563"/>
      <c r="H10563"/>
      <c r="I10563"/>
      <c r="J10563"/>
      <c r="K10563" s="1"/>
      <c r="L10563" s="2"/>
    </row>
    <row r="10564" spans="1:12" x14ac:dyDescent="0.2">
      <c r="A10564"/>
      <c r="B10564"/>
      <c r="C10564"/>
      <c r="D10564"/>
      <c r="E10564"/>
      <c r="F10564"/>
      <c r="G10564"/>
      <c r="H10564"/>
      <c r="I10564"/>
      <c r="J10564"/>
      <c r="K10564" s="1"/>
      <c r="L10564" s="2"/>
    </row>
    <row r="10565" spans="1:12" x14ac:dyDescent="0.2">
      <c r="A10565"/>
      <c r="B10565"/>
      <c r="C10565"/>
      <c r="D10565"/>
      <c r="E10565"/>
      <c r="F10565"/>
      <c r="G10565"/>
      <c r="H10565"/>
      <c r="I10565"/>
      <c r="J10565"/>
      <c r="K10565" s="1"/>
      <c r="L10565" s="2"/>
    </row>
    <row r="10566" spans="1:12" x14ac:dyDescent="0.2">
      <c r="A10566"/>
      <c r="B10566"/>
      <c r="C10566"/>
      <c r="D10566"/>
      <c r="E10566"/>
      <c r="F10566"/>
      <c r="G10566"/>
      <c r="H10566"/>
      <c r="I10566"/>
      <c r="J10566"/>
      <c r="K10566" s="1"/>
      <c r="L10566" s="2"/>
    </row>
    <row r="10567" spans="1:12" x14ac:dyDescent="0.2">
      <c r="A10567"/>
      <c r="B10567"/>
      <c r="C10567"/>
      <c r="D10567"/>
      <c r="E10567"/>
      <c r="F10567"/>
      <c r="G10567"/>
      <c r="H10567"/>
      <c r="I10567"/>
      <c r="J10567"/>
      <c r="K10567" s="1"/>
      <c r="L10567" s="2"/>
    </row>
    <row r="10568" spans="1:12" x14ac:dyDescent="0.2">
      <c r="A10568"/>
      <c r="B10568"/>
      <c r="C10568"/>
      <c r="D10568"/>
      <c r="E10568"/>
      <c r="F10568"/>
      <c r="G10568"/>
      <c r="H10568"/>
      <c r="I10568"/>
      <c r="J10568"/>
      <c r="K10568" s="1"/>
      <c r="L10568" s="2"/>
    </row>
    <row r="10569" spans="1:12" x14ac:dyDescent="0.2">
      <c r="A10569"/>
      <c r="B10569"/>
      <c r="C10569"/>
      <c r="D10569"/>
      <c r="E10569"/>
      <c r="F10569"/>
      <c r="G10569"/>
      <c r="H10569"/>
      <c r="I10569"/>
      <c r="J10569"/>
      <c r="K10569" s="1"/>
      <c r="L10569" s="2"/>
    </row>
    <row r="10570" spans="1:12" x14ac:dyDescent="0.2">
      <c r="A10570"/>
      <c r="B10570"/>
      <c r="C10570"/>
      <c r="D10570"/>
      <c r="E10570"/>
      <c r="F10570"/>
      <c r="G10570"/>
      <c r="H10570"/>
      <c r="I10570"/>
      <c r="J10570"/>
      <c r="K10570" s="1"/>
      <c r="L10570" s="2"/>
    </row>
    <row r="10571" spans="1:12" x14ac:dyDescent="0.2">
      <c r="A10571"/>
      <c r="B10571"/>
      <c r="C10571"/>
      <c r="D10571"/>
      <c r="E10571"/>
      <c r="F10571"/>
      <c r="G10571"/>
      <c r="H10571"/>
      <c r="I10571"/>
      <c r="J10571"/>
      <c r="K10571" s="1"/>
      <c r="L10571" s="2"/>
    </row>
    <row r="10572" spans="1:12" x14ac:dyDescent="0.2">
      <c r="A10572"/>
      <c r="B10572"/>
      <c r="C10572"/>
      <c r="D10572"/>
      <c r="E10572"/>
      <c r="F10572"/>
      <c r="G10572"/>
      <c r="H10572"/>
      <c r="I10572"/>
      <c r="J10572"/>
      <c r="K10572" s="1"/>
      <c r="L10572" s="2"/>
    </row>
    <row r="10573" spans="1:12" x14ac:dyDescent="0.2">
      <c r="A10573"/>
      <c r="B10573"/>
      <c r="C10573"/>
      <c r="D10573"/>
      <c r="E10573"/>
      <c r="F10573"/>
      <c r="G10573"/>
      <c r="H10573"/>
      <c r="I10573"/>
      <c r="J10573"/>
      <c r="K10573" s="1"/>
      <c r="L10573" s="2"/>
    </row>
    <row r="10574" spans="1:12" x14ac:dyDescent="0.2">
      <c r="A10574"/>
      <c r="B10574"/>
      <c r="C10574"/>
      <c r="D10574"/>
      <c r="E10574"/>
      <c r="F10574"/>
      <c r="G10574"/>
      <c r="H10574"/>
      <c r="I10574"/>
      <c r="J10574"/>
      <c r="K10574" s="1"/>
      <c r="L10574" s="2"/>
    </row>
    <row r="10575" spans="1:12" x14ac:dyDescent="0.2">
      <c r="A10575"/>
      <c r="B10575"/>
      <c r="C10575"/>
      <c r="D10575"/>
      <c r="E10575"/>
      <c r="F10575"/>
      <c r="G10575"/>
      <c r="H10575"/>
      <c r="I10575"/>
      <c r="J10575"/>
      <c r="K10575" s="1"/>
      <c r="L10575" s="2"/>
    </row>
    <row r="10576" spans="1:12" x14ac:dyDescent="0.2">
      <c r="A10576"/>
      <c r="B10576"/>
      <c r="C10576"/>
      <c r="D10576"/>
      <c r="E10576"/>
      <c r="F10576"/>
      <c r="G10576"/>
      <c r="H10576"/>
      <c r="I10576"/>
      <c r="J10576"/>
      <c r="K10576" s="1"/>
      <c r="L10576" s="2"/>
    </row>
    <row r="10577" spans="1:12" x14ac:dyDescent="0.2">
      <c r="A10577"/>
      <c r="B10577"/>
      <c r="C10577"/>
      <c r="D10577"/>
      <c r="E10577"/>
      <c r="F10577"/>
      <c r="G10577"/>
      <c r="H10577"/>
      <c r="I10577"/>
      <c r="J10577"/>
      <c r="K10577" s="1"/>
      <c r="L10577" s="2"/>
    </row>
    <row r="10578" spans="1:12" x14ac:dyDescent="0.2">
      <c r="A10578"/>
      <c r="B10578"/>
      <c r="C10578"/>
      <c r="D10578"/>
      <c r="E10578"/>
      <c r="F10578"/>
      <c r="G10578"/>
      <c r="H10578"/>
      <c r="I10578"/>
      <c r="J10578"/>
      <c r="K10578" s="1"/>
      <c r="L10578" s="2"/>
    </row>
    <row r="10579" spans="1:12" x14ac:dyDescent="0.2">
      <c r="A10579"/>
      <c r="B10579"/>
      <c r="C10579"/>
      <c r="D10579"/>
      <c r="E10579"/>
      <c r="F10579"/>
      <c r="G10579"/>
      <c r="H10579"/>
      <c r="I10579"/>
      <c r="J10579"/>
      <c r="K10579" s="1"/>
      <c r="L10579" s="2"/>
    </row>
    <row r="10580" spans="1:12" x14ac:dyDescent="0.2">
      <c r="A10580"/>
      <c r="B10580"/>
      <c r="C10580"/>
      <c r="D10580"/>
      <c r="E10580"/>
      <c r="F10580"/>
      <c r="G10580"/>
      <c r="H10580"/>
      <c r="I10580"/>
      <c r="J10580"/>
      <c r="K10580" s="1"/>
      <c r="L10580" s="2"/>
    </row>
    <row r="10581" spans="1:12" x14ac:dyDescent="0.2">
      <c r="A10581"/>
      <c r="B10581"/>
      <c r="C10581"/>
      <c r="D10581"/>
      <c r="E10581"/>
      <c r="F10581"/>
      <c r="G10581"/>
      <c r="H10581"/>
      <c r="I10581"/>
      <c r="J10581"/>
      <c r="K10581" s="1"/>
      <c r="L10581" s="2"/>
    </row>
    <row r="10582" spans="1:12" x14ac:dyDescent="0.2">
      <c r="A10582"/>
      <c r="B10582"/>
      <c r="C10582"/>
      <c r="D10582"/>
      <c r="E10582"/>
      <c r="F10582"/>
      <c r="G10582"/>
      <c r="H10582"/>
      <c r="I10582"/>
      <c r="J10582"/>
      <c r="K10582" s="1"/>
      <c r="L10582" s="2"/>
    </row>
    <row r="10583" spans="1:12" x14ac:dyDescent="0.2">
      <c r="A10583"/>
      <c r="B10583"/>
      <c r="C10583"/>
      <c r="D10583"/>
      <c r="E10583"/>
      <c r="F10583"/>
      <c r="G10583"/>
      <c r="H10583"/>
      <c r="I10583"/>
      <c r="J10583"/>
      <c r="K10583" s="1"/>
      <c r="L10583" s="2"/>
    </row>
    <row r="10584" spans="1:12" x14ac:dyDescent="0.2">
      <c r="A10584"/>
      <c r="B10584"/>
      <c r="C10584"/>
      <c r="D10584"/>
      <c r="E10584"/>
      <c r="F10584"/>
      <c r="G10584"/>
      <c r="H10584"/>
      <c r="I10584"/>
      <c r="J10584"/>
      <c r="K10584" s="1"/>
      <c r="L10584" s="2"/>
    </row>
    <row r="10585" spans="1:12" x14ac:dyDescent="0.2">
      <c r="A10585"/>
      <c r="B10585"/>
      <c r="C10585"/>
      <c r="D10585"/>
      <c r="E10585"/>
      <c r="F10585"/>
      <c r="G10585"/>
      <c r="H10585"/>
      <c r="I10585"/>
      <c r="J10585"/>
      <c r="K10585" s="1"/>
      <c r="L10585" s="2"/>
    </row>
    <row r="10586" spans="1:12" x14ac:dyDescent="0.2">
      <c r="A10586"/>
      <c r="B10586"/>
      <c r="C10586"/>
      <c r="D10586"/>
      <c r="E10586"/>
      <c r="F10586"/>
      <c r="G10586"/>
      <c r="H10586"/>
      <c r="I10586"/>
      <c r="J10586"/>
      <c r="K10586" s="1"/>
      <c r="L10586" s="2"/>
    </row>
    <row r="10587" spans="1:12" x14ac:dyDescent="0.2">
      <c r="A10587"/>
      <c r="B10587"/>
      <c r="C10587"/>
      <c r="D10587"/>
      <c r="E10587"/>
      <c r="F10587"/>
      <c r="G10587"/>
      <c r="H10587"/>
      <c r="I10587"/>
      <c r="J10587"/>
      <c r="K10587" s="1"/>
      <c r="L10587" s="2"/>
    </row>
    <row r="10588" spans="1:12" x14ac:dyDescent="0.2">
      <c r="A10588"/>
      <c r="B10588"/>
      <c r="C10588"/>
      <c r="D10588"/>
      <c r="E10588"/>
      <c r="F10588"/>
      <c r="G10588"/>
      <c r="H10588"/>
      <c r="I10588"/>
      <c r="J10588"/>
      <c r="K10588" s="1"/>
      <c r="L10588" s="2"/>
    </row>
    <row r="10589" spans="1:12" x14ac:dyDescent="0.2">
      <c r="A10589"/>
      <c r="B10589"/>
      <c r="C10589"/>
      <c r="D10589"/>
      <c r="E10589"/>
      <c r="F10589"/>
      <c r="G10589"/>
      <c r="H10589"/>
      <c r="I10589"/>
      <c r="J10589"/>
      <c r="K10589" s="1"/>
      <c r="L10589" s="2"/>
    </row>
    <row r="10590" spans="1:12" x14ac:dyDescent="0.2">
      <c r="A10590"/>
      <c r="B10590"/>
      <c r="C10590"/>
      <c r="D10590"/>
      <c r="E10590"/>
      <c r="F10590"/>
      <c r="G10590"/>
      <c r="H10590"/>
      <c r="I10590"/>
      <c r="J10590"/>
      <c r="K10590" s="1"/>
      <c r="L10590" s="2"/>
    </row>
    <row r="10591" spans="1:12" x14ac:dyDescent="0.2">
      <c r="A10591"/>
      <c r="B10591"/>
      <c r="C10591"/>
      <c r="D10591"/>
      <c r="E10591"/>
      <c r="F10591"/>
      <c r="G10591"/>
      <c r="H10591"/>
      <c r="I10591"/>
      <c r="J10591"/>
      <c r="K10591" s="1"/>
      <c r="L10591" s="2"/>
    </row>
    <row r="10592" spans="1:12" x14ac:dyDescent="0.2">
      <c r="A10592"/>
      <c r="B10592"/>
      <c r="C10592"/>
      <c r="D10592"/>
      <c r="E10592"/>
      <c r="F10592"/>
      <c r="G10592"/>
      <c r="H10592"/>
      <c r="I10592"/>
      <c r="J10592"/>
      <c r="K10592" s="1"/>
      <c r="L10592" s="2"/>
    </row>
    <row r="10593" spans="1:12" x14ac:dyDescent="0.2">
      <c r="A10593"/>
      <c r="B10593"/>
      <c r="C10593"/>
      <c r="D10593"/>
      <c r="E10593"/>
      <c r="F10593"/>
      <c r="G10593"/>
      <c r="H10593"/>
      <c r="I10593"/>
      <c r="J10593"/>
      <c r="K10593" s="1"/>
      <c r="L10593" s="2"/>
    </row>
    <row r="10594" spans="1:12" x14ac:dyDescent="0.2">
      <c r="A10594"/>
      <c r="B10594"/>
      <c r="C10594"/>
      <c r="D10594"/>
      <c r="E10594"/>
      <c r="F10594"/>
      <c r="G10594"/>
      <c r="H10594"/>
      <c r="I10594"/>
      <c r="J10594"/>
      <c r="K10594" s="1"/>
      <c r="L10594" s="2"/>
    </row>
    <row r="10595" spans="1:12" x14ac:dyDescent="0.2">
      <c r="A10595"/>
      <c r="B10595"/>
      <c r="C10595"/>
      <c r="D10595"/>
      <c r="E10595"/>
      <c r="F10595"/>
      <c r="G10595"/>
      <c r="H10595"/>
      <c r="I10595"/>
      <c r="J10595"/>
      <c r="K10595" s="1"/>
      <c r="L10595" s="2"/>
    </row>
    <row r="10596" spans="1:12" x14ac:dyDescent="0.2">
      <c r="A10596"/>
      <c r="B10596"/>
      <c r="C10596"/>
      <c r="D10596"/>
      <c r="E10596"/>
      <c r="F10596"/>
      <c r="G10596"/>
      <c r="H10596"/>
      <c r="I10596"/>
      <c r="J10596"/>
      <c r="K10596" s="1"/>
      <c r="L10596" s="2"/>
    </row>
    <row r="10597" spans="1:12" x14ac:dyDescent="0.2">
      <c r="A10597"/>
      <c r="B10597"/>
      <c r="C10597"/>
      <c r="D10597"/>
      <c r="E10597"/>
      <c r="F10597"/>
      <c r="G10597"/>
      <c r="H10597"/>
      <c r="I10597"/>
      <c r="J10597"/>
      <c r="K10597" s="1"/>
      <c r="L10597" s="2"/>
    </row>
    <row r="10598" spans="1:12" x14ac:dyDescent="0.2">
      <c r="A10598"/>
      <c r="B10598"/>
      <c r="C10598"/>
      <c r="D10598"/>
      <c r="E10598"/>
      <c r="F10598"/>
      <c r="G10598"/>
      <c r="H10598"/>
      <c r="I10598"/>
      <c r="J10598"/>
      <c r="K10598" s="1"/>
      <c r="L10598" s="2"/>
    </row>
    <row r="10599" spans="1:12" x14ac:dyDescent="0.2">
      <c r="A10599"/>
      <c r="B10599"/>
      <c r="C10599"/>
      <c r="D10599"/>
      <c r="E10599"/>
      <c r="F10599"/>
      <c r="G10599"/>
      <c r="H10599"/>
      <c r="I10599"/>
      <c r="J10599"/>
      <c r="K10599" s="1"/>
      <c r="L10599" s="2"/>
    </row>
    <row r="10600" spans="1:12" x14ac:dyDescent="0.2">
      <c r="A10600"/>
      <c r="B10600"/>
      <c r="C10600"/>
      <c r="D10600"/>
      <c r="E10600"/>
      <c r="F10600"/>
      <c r="G10600"/>
      <c r="H10600"/>
      <c r="I10600"/>
      <c r="J10600"/>
      <c r="K10600" s="1"/>
      <c r="L10600" s="2"/>
    </row>
    <row r="10601" spans="1:12" x14ac:dyDescent="0.2">
      <c r="A10601"/>
      <c r="B10601"/>
      <c r="C10601"/>
      <c r="D10601"/>
      <c r="E10601"/>
      <c r="F10601"/>
      <c r="G10601"/>
      <c r="H10601"/>
      <c r="I10601"/>
      <c r="J10601"/>
      <c r="K10601" s="1"/>
      <c r="L10601" s="2"/>
    </row>
    <row r="10602" spans="1:12" x14ac:dyDescent="0.2">
      <c r="A10602"/>
      <c r="B10602"/>
      <c r="C10602"/>
      <c r="D10602"/>
      <c r="E10602"/>
      <c r="F10602"/>
      <c r="G10602"/>
      <c r="H10602"/>
      <c r="I10602"/>
      <c r="J10602"/>
      <c r="K10602" s="1"/>
      <c r="L10602" s="2"/>
    </row>
    <row r="10603" spans="1:12" x14ac:dyDescent="0.2">
      <c r="A10603"/>
      <c r="B10603"/>
      <c r="C10603"/>
      <c r="D10603"/>
      <c r="E10603"/>
      <c r="F10603"/>
      <c r="G10603"/>
      <c r="H10603"/>
      <c r="I10603"/>
      <c r="J10603"/>
      <c r="K10603" s="1"/>
      <c r="L10603" s="2"/>
    </row>
    <row r="10604" spans="1:12" x14ac:dyDescent="0.2">
      <c r="A10604"/>
      <c r="B10604"/>
      <c r="C10604"/>
      <c r="D10604"/>
      <c r="E10604"/>
      <c r="F10604"/>
      <c r="G10604"/>
      <c r="H10604"/>
      <c r="I10604"/>
      <c r="J10604"/>
      <c r="K10604" s="1"/>
      <c r="L10604" s="2"/>
    </row>
    <row r="10605" spans="1:12" x14ac:dyDescent="0.2">
      <c r="A10605"/>
      <c r="B10605"/>
      <c r="C10605"/>
      <c r="D10605"/>
      <c r="E10605"/>
      <c r="F10605"/>
      <c r="G10605"/>
      <c r="H10605"/>
      <c r="I10605"/>
      <c r="J10605"/>
      <c r="K10605" s="1"/>
      <c r="L10605" s="2"/>
    </row>
    <row r="10606" spans="1:12" x14ac:dyDescent="0.2">
      <c r="A10606"/>
      <c r="B10606"/>
      <c r="C10606"/>
      <c r="D10606"/>
      <c r="E10606"/>
      <c r="F10606"/>
      <c r="G10606"/>
      <c r="H10606"/>
      <c r="I10606"/>
      <c r="J10606"/>
      <c r="K10606" s="1"/>
      <c r="L10606" s="2"/>
    </row>
    <row r="10607" spans="1:12" x14ac:dyDescent="0.2">
      <c r="A10607"/>
      <c r="B10607"/>
      <c r="C10607"/>
      <c r="D10607"/>
      <c r="E10607"/>
      <c r="F10607"/>
      <c r="G10607"/>
      <c r="H10607"/>
      <c r="I10607"/>
      <c r="J10607"/>
      <c r="K10607" s="1"/>
      <c r="L10607" s="2"/>
    </row>
    <row r="10608" spans="1:12" x14ac:dyDescent="0.2">
      <c r="A10608"/>
      <c r="B10608"/>
      <c r="C10608"/>
      <c r="D10608"/>
      <c r="E10608"/>
      <c r="F10608"/>
      <c r="G10608"/>
      <c r="H10608"/>
      <c r="I10608"/>
      <c r="J10608"/>
      <c r="K10608" s="1"/>
      <c r="L10608" s="2"/>
    </row>
    <row r="10609" spans="1:12" x14ac:dyDescent="0.2">
      <c r="A10609"/>
      <c r="B10609"/>
      <c r="C10609"/>
      <c r="D10609"/>
      <c r="E10609"/>
      <c r="F10609"/>
      <c r="G10609"/>
      <c r="H10609"/>
      <c r="I10609"/>
      <c r="J10609"/>
      <c r="K10609" s="1"/>
      <c r="L10609" s="2"/>
    </row>
    <row r="10610" spans="1:12" x14ac:dyDescent="0.2">
      <c r="A10610"/>
      <c r="B10610"/>
      <c r="C10610"/>
      <c r="D10610"/>
      <c r="E10610"/>
      <c r="F10610"/>
      <c r="G10610"/>
      <c r="H10610"/>
      <c r="I10610"/>
      <c r="J10610"/>
      <c r="K10610" s="1"/>
      <c r="L10610" s="2"/>
    </row>
    <row r="10611" spans="1:12" x14ac:dyDescent="0.2">
      <c r="A10611"/>
      <c r="B10611"/>
      <c r="C10611"/>
      <c r="D10611"/>
      <c r="E10611"/>
      <c r="F10611"/>
      <c r="G10611"/>
      <c r="H10611"/>
      <c r="I10611"/>
      <c r="J10611"/>
      <c r="K10611" s="1"/>
      <c r="L10611" s="2"/>
    </row>
    <row r="10612" spans="1:12" x14ac:dyDescent="0.2">
      <c r="A10612"/>
      <c r="B10612"/>
      <c r="C10612"/>
      <c r="D10612"/>
      <c r="E10612"/>
      <c r="F10612"/>
      <c r="G10612"/>
      <c r="H10612"/>
      <c r="I10612"/>
      <c r="J10612"/>
      <c r="K10612" s="1"/>
      <c r="L10612" s="2"/>
    </row>
    <row r="10613" spans="1:12" x14ac:dyDescent="0.2">
      <c r="A10613"/>
      <c r="B10613"/>
      <c r="C10613"/>
      <c r="D10613"/>
      <c r="E10613"/>
      <c r="F10613"/>
      <c r="G10613"/>
      <c r="H10613"/>
      <c r="I10613"/>
      <c r="J10613"/>
      <c r="K10613" s="1"/>
      <c r="L10613" s="2"/>
    </row>
    <row r="10614" spans="1:12" x14ac:dyDescent="0.2">
      <c r="A10614"/>
      <c r="B10614"/>
      <c r="C10614"/>
      <c r="D10614"/>
      <c r="E10614"/>
      <c r="F10614"/>
      <c r="G10614"/>
      <c r="H10614"/>
      <c r="I10614"/>
      <c r="J10614"/>
      <c r="K10614" s="1"/>
      <c r="L10614" s="2"/>
    </row>
    <row r="10615" spans="1:12" x14ac:dyDescent="0.2">
      <c r="A10615"/>
      <c r="B10615"/>
      <c r="C10615"/>
      <c r="D10615"/>
      <c r="E10615"/>
      <c r="F10615"/>
      <c r="G10615"/>
      <c r="H10615"/>
      <c r="I10615"/>
      <c r="J10615"/>
      <c r="K10615" s="1"/>
      <c r="L10615" s="2"/>
    </row>
    <row r="10616" spans="1:12" x14ac:dyDescent="0.2">
      <c r="A10616"/>
      <c r="B10616"/>
      <c r="C10616"/>
      <c r="D10616"/>
      <c r="E10616"/>
      <c r="F10616"/>
      <c r="G10616"/>
      <c r="H10616"/>
      <c r="I10616"/>
      <c r="J10616"/>
      <c r="K10616" s="1"/>
      <c r="L10616" s="2"/>
    </row>
    <row r="10617" spans="1:12" x14ac:dyDescent="0.2">
      <c r="A10617"/>
      <c r="B10617"/>
      <c r="C10617"/>
      <c r="D10617"/>
      <c r="E10617"/>
      <c r="F10617"/>
      <c r="G10617"/>
      <c r="H10617"/>
      <c r="I10617"/>
      <c r="J10617"/>
      <c r="K10617" s="1"/>
      <c r="L10617" s="2"/>
    </row>
    <row r="10618" spans="1:12" x14ac:dyDescent="0.2">
      <c r="A10618"/>
      <c r="B10618"/>
      <c r="C10618"/>
      <c r="D10618"/>
      <c r="E10618"/>
      <c r="F10618"/>
      <c r="G10618"/>
      <c r="H10618"/>
      <c r="I10618"/>
      <c r="J10618"/>
      <c r="K10618" s="1"/>
      <c r="L10618" s="2"/>
    </row>
    <row r="10619" spans="1:12" x14ac:dyDescent="0.2">
      <c r="A10619"/>
      <c r="B10619"/>
      <c r="C10619"/>
      <c r="D10619"/>
      <c r="E10619"/>
      <c r="F10619"/>
      <c r="G10619"/>
      <c r="H10619"/>
      <c r="I10619"/>
      <c r="J10619"/>
      <c r="K10619" s="1"/>
      <c r="L10619" s="2"/>
    </row>
    <row r="10620" spans="1:12" x14ac:dyDescent="0.2">
      <c r="A10620"/>
      <c r="B10620"/>
      <c r="C10620"/>
      <c r="D10620"/>
      <c r="E10620"/>
      <c r="F10620"/>
      <c r="G10620"/>
      <c r="H10620"/>
      <c r="I10620"/>
      <c r="J10620"/>
      <c r="K10620" s="1"/>
      <c r="L10620" s="2"/>
    </row>
    <row r="10621" spans="1:12" x14ac:dyDescent="0.2">
      <c r="A10621"/>
      <c r="B10621"/>
      <c r="C10621"/>
      <c r="D10621"/>
      <c r="E10621"/>
      <c r="F10621"/>
      <c r="G10621"/>
      <c r="H10621"/>
      <c r="I10621"/>
      <c r="J10621"/>
      <c r="K10621" s="1"/>
      <c r="L10621" s="2"/>
    </row>
    <row r="10622" spans="1:12" x14ac:dyDescent="0.2">
      <c r="A10622"/>
      <c r="B10622"/>
      <c r="C10622"/>
      <c r="D10622"/>
      <c r="E10622"/>
      <c r="F10622"/>
      <c r="G10622"/>
      <c r="H10622"/>
      <c r="I10622"/>
      <c r="J10622"/>
      <c r="K10622" s="1"/>
      <c r="L10622" s="2"/>
    </row>
    <row r="10623" spans="1:12" x14ac:dyDescent="0.2">
      <c r="A10623"/>
      <c r="B10623"/>
      <c r="C10623"/>
      <c r="D10623"/>
      <c r="E10623"/>
      <c r="F10623"/>
      <c r="G10623"/>
      <c r="H10623"/>
      <c r="I10623"/>
      <c r="J10623"/>
      <c r="K10623" s="1"/>
      <c r="L10623" s="2"/>
    </row>
    <row r="10624" spans="1:12" x14ac:dyDescent="0.2">
      <c r="A10624"/>
      <c r="B10624"/>
      <c r="C10624"/>
      <c r="D10624"/>
      <c r="E10624"/>
      <c r="F10624"/>
      <c r="G10624"/>
      <c r="H10624"/>
      <c r="I10624"/>
      <c r="J10624"/>
      <c r="K10624" s="1"/>
      <c r="L10624" s="2"/>
    </row>
    <row r="10625" spans="1:12" x14ac:dyDescent="0.2">
      <c r="A10625"/>
      <c r="B10625"/>
      <c r="C10625"/>
      <c r="D10625"/>
      <c r="E10625"/>
      <c r="F10625"/>
      <c r="G10625"/>
      <c r="H10625"/>
      <c r="I10625"/>
      <c r="J10625"/>
      <c r="K10625" s="1"/>
      <c r="L10625" s="2"/>
    </row>
    <row r="10626" spans="1:12" x14ac:dyDescent="0.2">
      <c r="A10626"/>
      <c r="B10626"/>
      <c r="C10626"/>
      <c r="D10626"/>
      <c r="E10626"/>
      <c r="F10626"/>
      <c r="G10626"/>
      <c r="H10626"/>
      <c r="I10626"/>
      <c r="J10626"/>
      <c r="K10626" s="1"/>
      <c r="L10626" s="2"/>
    </row>
    <row r="10627" spans="1:12" x14ac:dyDescent="0.2">
      <c r="A10627"/>
      <c r="B10627"/>
      <c r="C10627"/>
      <c r="D10627"/>
      <c r="E10627"/>
      <c r="F10627"/>
      <c r="G10627"/>
      <c r="H10627"/>
      <c r="I10627"/>
      <c r="J10627"/>
      <c r="K10627" s="1"/>
      <c r="L10627" s="2"/>
    </row>
    <row r="10628" spans="1:12" x14ac:dyDescent="0.2">
      <c r="A10628"/>
      <c r="B10628"/>
      <c r="C10628"/>
      <c r="D10628"/>
      <c r="E10628"/>
      <c r="F10628"/>
      <c r="G10628"/>
      <c r="H10628"/>
      <c r="I10628"/>
      <c r="J10628"/>
      <c r="K10628" s="1"/>
      <c r="L10628" s="2"/>
    </row>
    <row r="10629" spans="1:12" x14ac:dyDescent="0.2">
      <c r="A10629"/>
      <c r="B10629"/>
      <c r="C10629"/>
      <c r="D10629"/>
      <c r="E10629"/>
      <c r="F10629"/>
      <c r="G10629"/>
      <c r="H10629"/>
      <c r="I10629"/>
      <c r="J10629"/>
      <c r="K10629" s="1"/>
      <c r="L10629" s="2"/>
    </row>
    <row r="10630" spans="1:12" x14ac:dyDescent="0.2">
      <c r="A10630"/>
      <c r="B10630"/>
      <c r="C10630"/>
      <c r="D10630"/>
      <c r="E10630"/>
      <c r="F10630"/>
      <c r="G10630"/>
      <c r="H10630"/>
      <c r="I10630"/>
      <c r="J10630"/>
      <c r="K10630" s="1"/>
      <c r="L10630" s="2"/>
    </row>
    <row r="10631" spans="1:12" x14ac:dyDescent="0.2">
      <c r="A10631"/>
      <c r="B10631"/>
      <c r="C10631"/>
      <c r="D10631"/>
      <c r="E10631"/>
      <c r="F10631"/>
      <c r="G10631"/>
      <c r="H10631"/>
      <c r="I10631"/>
      <c r="J10631"/>
      <c r="K10631" s="1"/>
      <c r="L10631" s="2"/>
    </row>
    <row r="10632" spans="1:12" x14ac:dyDescent="0.2">
      <c r="A10632"/>
      <c r="B10632"/>
      <c r="C10632"/>
      <c r="D10632"/>
      <c r="E10632"/>
      <c r="F10632"/>
      <c r="G10632"/>
      <c r="H10632"/>
      <c r="I10632"/>
      <c r="J10632"/>
      <c r="K10632" s="1"/>
      <c r="L10632" s="2"/>
    </row>
    <row r="10633" spans="1:12" x14ac:dyDescent="0.2">
      <c r="A10633"/>
      <c r="B10633"/>
      <c r="C10633"/>
      <c r="D10633"/>
      <c r="E10633"/>
      <c r="F10633"/>
      <c r="G10633"/>
      <c r="H10633"/>
      <c r="I10633"/>
      <c r="J10633"/>
      <c r="K10633" s="1"/>
      <c r="L10633" s="2"/>
    </row>
    <row r="10634" spans="1:12" x14ac:dyDescent="0.2">
      <c r="A10634"/>
      <c r="B10634"/>
      <c r="C10634"/>
      <c r="D10634"/>
      <c r="E10634"/>
      <c r="F10634"/>
      <c r="G10634"/>
      <c r="H10634"/>
      <c r="I10634"/>
      <c r="J10634"/>
      <c r="K10634" s="1"/>
      <c r="L10634" s="2"/>
    </row>
    <row r="10635" spans="1:12" x14ac:dyDescent="0.2">
      <c r="A10635"/>
      <c r="B10635"/>
      <c r="C10635"/>
      <c r="D10635"/>
      <c r="E10635"/>
      <c r="F10635"/>
      <c r="G10635"/>
      <c r="H10635"/>
      <c r="I10635"/>
      <c r="J10635"/>
      <c r="K10635" s="1"/>
      <c r="L10635" s="2"/>
    </row>
    <row r="10636" spans="1:12" x14ac:dyDescent="0.2">
      <c r="A10636"/>
      <c r="B10636"/>
      <c r="C10636"/>
      <c r="D10636"/>
      <c r="E10636"/>
      <c r="F10636"/>
      <c r="G10636"/>
      <c r="H10636"/>
      <c r="I10636"/>
      <c r="J10636"/>
      <c r="K10636" s="1"/>
      <c r="L10636" s="2"/>
    </row>
    <row r="10637" spans="1:12" x14ac:dyDescent="0.2">
      <c r="A10637"/>
      <c r="B10637"/>
      <c r="C10637"/>
      <c r="D10637"/>
      <c r="E10637"/>
      <c r="F10637"/>
      <c r="G10637"/>
      <c r="H10637"/>
      <c r="I10637"/>
      <c r="J10637"/>
      <c r="K10637" s="1"/>
      <c r="L10637" s="2"/>
    </row>
    <row r="10638" spans="1:12" x14ac:dyDescent="0.2">
      <c r="A10638"/>
      <c r="B10638"/>
      <c r="C10638"/>
      <c r="D10638"/>
      <c r="E10638"/>
      <c r="F10638"/>
      <c r="G10638"/>
      <c r="H10638"/>
      <c r="I10638"/>
      <c r="J10638"/>
      <c r="K10638" s="1"/>
      <c r="L10638" s="2"/>
    </row>
    <row r="10639" spans="1:12" x14ac:dyDescent="0.2">
      <c r="A10639"/>
      <c r="B10639"/>
      <c r="C10639"/>
      <c r="D10639"/>
      <c r="E10639"/>
      <c r="F10639"/>
      <c r="G10639"/>
      <c r="H10639"/>
      <c r="I10639"/>
      <c r="J10639"/>
      <c r="K10639" s="1"/>
      <c r="L10639" s="2"/>
    </row>
    <row r="10640" spans="1:12" x14ac:dyDescent="0.2">
      <c r="A10640"/>
      <c r="B10640"/>
      <c r="C10640"/>
      <c r="D10640"/>
      <c r="E10640"/>
      <c r="F10640"/>
      <c r="G10640"/>
      <c r="H10640"/>
      <c r="I10640"/>
      <c r="J10640"/>
      <c r="K10640" s="1"/>
      <c r="L10640" s="2"/>
    </row>
    <row r="10641" spans="1:12" x14ac:dyDescent="0.2">
      <c r="A10641"/>
      <c r="B10641"/>
      <c r="C10641"/>
      <c r="D10641"/>
      <c r="E10641"/>
      <c r="F10641"/>
      <c r="G10641"/>
      <c r="H10641"/>
      <c r="I10641"/>
      <c r="J10641"/>
      <c r="K10641" s="1"/>
      <c r="L10641" s="2"/>
    </row>
    <row r="10642" spans="1:12" x14ac:dyDescent="0.2">
      <c r="A10642"/>
      <c r="B10642"/>
      <c r="C10642"/>
      <c r="D10642"/>
      <c r="E10642"/>
      <c r="F10642"/>
      <c r="G10642"/>
      <c r="H10642"/>
      <c r="I10642"/>
      <c r="J10642"/>
      <c r="K10642" s="1"/>
      <c r="L10642" s="2"/>
    </row>
    <row r="10643" spans="1:12" x14ac:dyDescent="0.2">
      <c r="A10643"/>
      <c r="B10643"/>
      <c r="C10643"/>
      <c r="D10643"/>
      <c r="E10643"/>
      <c r="F10643"/>
      <c r="G10643"/>
      <c r="H10643"/>
      <c r="I10643"/>
      <c r="J10643"/>
      <c r="K10643" s="1"/>
      <c r="L10643" s="2"/>
    </row>
    <row r="10644" spans="1:12" x14ac:dyDescent="0.2">
      <c r="A10644"/>
      <c r="B10644"/>
      <c r="C10644"/>
      <c r="D10644"/>
      <c r="E10644"/>
      <c r="F10644"/>
      <c r="G10644"/>
      <c r="H10644"/>
      <c r="I10644"/>
      <c r="J10644"/>
      <c r="K10644" s="1"/>
      <c r="L10644" s="2"/>
    </row>
    <row r="10645" spans="1:12" x14ac:dyDescent="0.2">
      <c r="A10645"/>
      <c r="B10645"/>
      <c r="C10645"/>
      <c r="D10645"/>
      <c r="E10645"/>
      <c r="F10645"/>
      <c r="G10645"/>
      <c r="H10645"/>
      <c r="I10645"/>
      <c r="J10645"/>
      <c r="K10645" s="1"/>
      <c r="L10645" s="2"/>
    </row>
    <row r="10646" spans="1:12" x14ac:dyDescent="0.2">
      <c r="A10646"/>
      <c r="B10646"/>
      <c r="C10646"/>
      <c r="D10646"/>
      <c r="E10646"/>
      <c r="F10646"/>
      <c r="G10646"/>
      <c r="H10646"/>
      <c r="I10646"/>
      <c r="J10646"/>
      <c r="K10646" s="1"/>
      <c r="L10646" s="2"/>
    </row>
    <row r="10647" spans="1:12" x14ac:dyDescent="0.2">
      <c r="A10647"/>
      <c r="B10647"/>
      <c r="C10647"/>
      <c r="D10647"/>
      <c r="E10647"/>
      <c r="F10647"/>
      <c r="G10647"/>
      <c r="H10647"/>
      <c r="I10647"/>
      <c r="J10647"/>
      <c r="K10647" s="1"/>
      <c r="L10647" s="2"/>
    </row>
    <row r="10648" spans="1:12" x14ac:dyDescent="0.2">
      <c r="A10648"/>
      <c r="B10648"/>
      <c r="C10648"/>
      <c r="D10648"/>
      <c r="E10648"/>
      <c r="F10648"/>
      <c r="G10648"/>
      <c r="H10648"/>
      <c r="I10648"/>
      <c r="J10648"/>
      <c r="K10648" s="1"/>
      <c r="L10648" s="2"/>
    </row>
    <row r="10649" spans="1:12" x14ac:dyDescent="0.2">
      <c r="A10649"/>
      <c r="B10649"/>
      <c r="C10649"/>
      <c r="D10649"/>
      <c r="E10649"/>
      <c r="F10649"/>
      <c r="G10649"/>
      <c r="H10649"/>
      <c r="I10649"/>
      <c r="J10649"/>
      <c r="K10649" s="1"/>
      <c r="L10649" s="2"/>
    </row>
    <row r="10650" spans="1:12" x14ac:dyDescent="0.2">
      <c r="A10650"/>
      <c r="B10650"/>
      <c r="C10650"/>
      <c r="D10650"/>
      <c r="E10650"/>
      <c r="F10650"/>
      <c r="G10650"/>
      <c r="H10650"/>
      <c r="I10650"/>
      <c r="J10650"/>
      <c r="K10650" s="1"/>
      <c r="L10650" s="2"/>
    </row>
    <row r="10651" spans="1:12" x14ac:dyDescent="0.2">
      <c r="A10651"/>
      <c r="B10651"/>
      <c r="C10651"/>
      <c r="D10651"/>
      <c r="E10651"/>
      <c r="F10651"/>
      <c r="G10651"/>
      <c r="H10651"/>
      <c r="I10651"/>
      <c r="J10651"/>
      <c r="K10651" s="1"/>
      <c r="L10651" s="2"/>
    </row>
    <row r="10652" spans="1:12" x14ac:dyDescent="0.2">
      <c r="A10652"/>
      <c r="B10652"/>
      <c r="C10652"/>
      <c r="D10652"/>
      <c r="E10652"/>
      <c r="F10652"/>
      <c r="G10652"/>
      <c r="H10652"/>
      <c r="I10652"/>
      <c r="J10652"/>
      <c r="K10652" s="1"/>
      <c r="L10652" s="2"/>
    </row>
    <row r="10653" spans="1:12" x14ac:dyDescent="0.2">
      <c r="A10653"/>
      <c r="B10653"/>
      <c r="C10653"/>
      <c r="D10653"/>
      <c r="E10653"/>
      <c r="F10653"/>
      <c r="G10653"/>
      <c r="H10653"/>
      <c r="I10653"/>
      <c r="J10653"/>
      <c r="K10653" s="1"/>
      <c r="L10653" s="2"/>
    </row>
    <row r="10654" spans="1:12" x14ac:dyDescent="0.2">
      <c r="A10654"/>
      <c r="B10654"/>
      <c r="C10654"/>
      <c r="D10654"/>
      <c r="E10654"/>
      <c r="F10654"/>
      <c r="G10654"/>
      <c r="H10654"/>
      <c r="I10654"/>
      <c r="J10654"/>
      <c r="K10654" s="1"/>
      <c r="L10654" s="2"/>
    </row>
    <row r="10655" spans="1:12" x14ac:dyDescent="0.2">
      <c r="A10655"/>
      <c r="B10655"/>
      <c r="C10655"/>
      <c r="D10655"/>
      <c r="E10655"/>
      <c r="F10655"/>
      <c r="G10655"/>
      <c r="H10655"/>
      <c r="I10655"/>
      <c r="J10655"/>
      <c r="K10655" s="1"/>
      <c r="L10655" s="2"/>
    </row>
    <row r="10656" spans="1:12" x14ac:dyDescent="0.2">
      <c r="A10656"/>
      <c r="B10656"/>
      <c r="C10656"/>
      <c r="D10656"/>
      <c r="E10656"/>
      <c r="F10656"/>
      <c r="G10656"/>
      <c r="H10656"/>
      <c r="I10656"/>
      <c r="J10656"/>
      <c r="K10656" s="1"/>
      <c r="L10656" s="2"/>
    </row>
    <row r="10657" spans="1:12" x14ac:dyDescent="0.2">
      <c r="A10657"/>
      <c r="B10657"/>
      <c r="C10657"/>
      <c r="D10657"/>
      <c r="E10657"/>
      <c r="F10657"/>
      <c r="G10657"/>
      <c r="H10657"/>
      <c r="I10657"/>
      <c r="J10657"/>
      <c r="K10657" s="1"/>
      <c r="L10657" s="2"/>
    </row>
    <row r="10658" spans="1:12" x14ac:dyDescent="0.2">
      <c r="A10658"/>
      <c r="B10658"/>
      <c r="C10658"/>
      <c r="D10658"/>
      <c r="E10658"/>
      <c r="F10658"/>
      <c r="G10658"/>
      <c r="H10658"/>
      <c r="I10658"/>
      <c r="J10658"/>
      <c r="K10658" s="1"/>
      <c r="L10658" s="2"/>
    </row>
    <row r="10659" spans="1:12" x14ac:dyDescent="0.2">
      <c r="A10659"/>
      <c r="B10659"/>
      <c r="C10659"/>
      <c r="D10659"/>
      <c r="E10659"/>
      <c r="F10659"/>
      <c r="G10659"/>
      <c r="H10659"/>
      <c r="I10659"/>
      <c r="J10659"/>
      <c r="K10659" s="1"/>
      <c r="L10659" s="2"/>
    </row>
    <row r="10660" spans="1:12" x14ac:dyDescent="0.2">
      <c r="A10660"/>
      <c r="B10660"/>
      <c r="C10660"/>
      <c r="D10660"/>
      <c r="E10660"/>
      <c r="F10660"/>
      <c r="G10660"/>
      <c r="H10660"/>
      <c r="I10660"/>
      <c r="J10660"/>
      <c r="K10660" s="1"/>
      <c r="L10660" s="2"/>
    </row>
    <row r="10661" spans="1:12" x14ac:dyDescent="0.2">
      <c r="A10661"/>
      <c r="B10661"/>
      <c r="C10661"/>
      <c r="D10661"/>
      <c r="E10661"/>
      <c r="F10661"/>
      <c r="G10661"/>
      <c r="H10661"/>
      <c r="I10661"/>
      <c r="J10661"/>
      <c r="K10661" s="1"/>
      <c r="L10661" s="2"/>
    </row>
    <row r="10662" spans="1:12" x14ac:dyDescent="0.2">
      <c r="A10662"/>
      <c r="B10662"/>
      <c r="C10662"/>
      <c r="D10662"/>
      <c r="E10662"/>
      <c r="F10662"/>
      <c r="G10662"/>
      <c r="H10662"/>
      <c r="I10662"/>
      <c r="J10662"/>
      <c r="K10662" s="1"/>
      <c r="L10662" s="2"/>
    </row>
    <row r="10663" spans="1:12" x14ac:dyDescent="0.2">
      <c r="A10663"/>
      <c r="B10663"/>
      <c r="C10663"/>
      <c r="D10663"/>
      <c r="E10663"/>
      <c r="F10663"/>
      <c r="G10663"/>
      <c r="H10663"/>
      <c r="I10663"/>
      <c r="J10663"/>
      <c r="K10663" s="1"/>
      <c r="L10663" s="2"/>
    </row>
    <row r="10664" spans="1:12" x14ac:dyDescent="0.2">
      <c r="A10664"/>
      <c r="B10664"/>
      <c r="C10664"/>
      <c r="D10664"/>
      <c r="E10664"/>
      <c r="F10664"/>
      <c r="G10664"/>
      <c r="H10664"/>
      <c r="I10664"/>
      <c r="J10664"/>
      <c r="K10664" s="1"/>
      <c r="L10664" s="2"/>
    </row>
    <row r="10665" spans="1:12" x14ac:dyDescent="0.2">
      <c r="A10665"/>
      <c r="B10665"/>
      <c r="C10665"/>
      <c r="D10665"/>
      <c r="E10665"/>
      <c r="F10665"/>
      <c r="G10665"/>
      <c r="H10665"/>
      <c r="I10665"/>
      <c r="J10665"/>
      <c r="K10665" s="1"/>
      <c r="L10665" s="2"/>
    </row>
    <row r="10666" spans="1:12" x14ac:dyDescent="0.2">
      <c r="A10666"/>
      <c r="B10666"/>
      <c r="C10666"/>
      <c r="D10666"/>
      <c r="E10666"/>
      <c r="F10666"/>
      <c r="G10666"/>
      <c r="H10666"/>
      <c r="I10666"/>
      <c r="J10666"/>
      <c r="K10666" s="1"/>
      <c r="L10666" s="2"/>
    </row>
    <row r="10667" spans="1:12" x14ac:dyDescent="0.2">
      <c r="A10667"/>
      <c r="B10667"/>
      <c r="C10667"/>
      <c r="D10667"/>
      <c r="E10667"/>
      <c r="F10667"/>
      <c r="G10667"/>
      <c r="H10667"/>
      <c r="I10667"/>
      <c r="J10667"/>
      <c r="K10667" s="1"/>
      <c r="L10667" s="2"/>
    </row>
    <row r="10668" spans="1:12" x14ac:dyDescent="0.2">
      <c r="A10668"/>
      <c r="B10668"/>
      <c r="C10668"/>
      <c r="D10668"/>
      <c r="E10668"/>
      <c r="F10668"/>
      <c r="G10668"/>
      <c r="H10668"/>
      <c r="I10668"/>
      <c r="J10668"/>
      <c r="K10668" s="1"/>
      <c r="L10668" s="2"/>
    </row>
    <row r="10669" spans="1:12" x14ac:dyDescent="0.2">
      <c r="A10669"/>
      <c r="B10669"/>
      <c r="C10669"/>
      <c r="D10669"/>
      <c r="E10669"/>
      <c r="F10669"/>
      <c r="G10669"/>
      <c r="H10669"/>
      <c r="I10669"/>
      <c r="J10669"/>
      <c r="K10669" s="1"/>
      <c r="L10669" s="2"/>
    </row>
    <row r="10670" spans="1:12" x14ac:dyDescent="0.2">
      <c r="A10670"/>
      <c r="B10670"/>
      <c r="C10670"/>
      <c r="D10670"/>
      <c r="E10670"/>
      <c r="F10670"/>
      <c r="G10670"/>
      <c r="H10670"/>
      <c r="I10670"/>
      <c r="J10670"/>
      <c r="K10670" s="1"/>
      <c r="L10670" s="2"/>
    </row>
    <row r="10671" spans="1:12" x14ac:dyDescent="0.2">
      <c r="A10671"/>
      <c r="B10671"/>
      <c r="C10671"/>
      <c r="D10671"/>
      <c r="E10671"/>
      <c r="F10671"/>
      <c r="G10671"/>
      <c r="H10671"/>
      <c r="I10671"/>
      <c r="J10671"/>
      <c r="K10671" s="1"/>
      <c r="L10671" s="2"/>
    </row>
    <row r="10672" spans="1:12" x14ac:dyDescent="0.2">
      <c r="A10672"/>
      <c r="B10672"/>
      <c r="C10672"/>
      <c r="D10672"/>
      <c r="E10672"/>
      <c r="F10672"/>
      <c r="G10672"/>
      <c r="H10672"/>
      <c r="I10672"/>
      <c r="J10672"/>
      <c r="K10672" s="1"/>
      <c r="L10672" s="2"/>
    </row>
    <row r="10673" spans="1:12" x14ac:dyDescent="0.2">
      <c r="A10673"/>
      <c r="B10673"/>
      <c r="C10673"/>
      <c r="D10673"/>
      <c r="E10673"/>
      <c r="F10673"/>
      <c r="G10673"/>
      <c r="H10673"/>
      <c r="I10673"/>
      <c r="J10673"/>
      <c r="K10673" s="1"/>
      <c r="L10673" s="2"/>
    </row>
    <row r="10674" spans="1:12" x14ac:dyDescent="0.2">
      <c r="A10674"/>
      <c r="B10674"/>
      <c r="C10674"/>
      <c r="D10674"/>
      <c r="E10674"/>
      <c r="F10674"/>
      <c r="G10674"/>
      <c r="H10674"/>
      <c r="I10674"/>
      <c r="J10674"/>
      <c r="K10674" s="1"/>
      <c r="L10674" s="2"/>
    </row>
    <row r="10675" spans="1:12" x14ac:dyDescent="0.2">
      <c r="A10675"/>
      <c r="B10675"/>
      <c r="C10675"/>
      <c r="D10675"/>
      <c r="E10675"/>
      <c r="F10675"/>
      <c r="G10675"/>
      <c r="H10675"/>
      <c r="I10675"/>
      <c r="J10675"/>
      <c r="K10675" s="1"/>
      <c r="L10675" s="2"/>
    </row>
    <row r="10676" spans="1:12" x14ac:dyDescent="0.2">
      <c r="A10676"/>
      <c r="B10676"/>
      <c r="C10676"/>
      <c r="D10676"/>
      <c r="E10676"/>
      <c r="F10676"/>
      <c r="G10676"/>
      <c r="H10676"/>
      <c r="I10676"/>
      <c r="J10676"/>
      <c r="K10676" s="1"/>
      <c r="L10676" s="2"/>
    </row>
    <row r="10677" spans="1:12" x14ac:dyDescent="0.2">
      <c r="A10677"/>
      <c r="B10677"/>
      <c r="C10677"/>
      <c r="D10677"/>
      <c r="E10677"/>
      <c r="F10677"/>
      <c r="G10677"/>
      <c r="H10677"/>
      <c r="I10677"/>
      <c r="J10677"/>
      <c r="K10677" s="1"/>
      <c r="L10677" s="2"/>
    </row>
    <row r="10678" spans="1:12" x14ac:dyDescent="0.2">
      <c r="A10678"/>
      <c r="B10678"/>
      <c r="C10678"/>
      <c r="D10678"/>
      <c r="E10678"/>
      <c r="F10678"/>
      <c r="G10678"/>
      <c r="H10678"/>
      <c r="I10678"/>
      <c r="J10678"/>
      <c r="K10678" s="1"/>
      <c r="L10678" s="2"/>
    </row>
    <row r="10679" spans="1:12" x14ac:dyDescent="0.2">
      <c r="A10679"/>
      <c r="B10679"/>
      <c r="C10679"/>
      <c r="D10679"/>
      <c r="E10679"/>
      <c r="F10679"/>
      <c r="G10679"/>
      <c r="H10679"/>
      <c r="I10679"/>
      <c r="J10679"/>
      <c r="K10679" s="1"/>
      <c r="L10679" s="2"/>
    </row>
    <row r="10680" spans="1:12" x14ac:dyDescent="0.2">
      <c r="A10680"/>
      <c r="B10680"/>
      <c r="C10680"/>
      <c r="D10680"/>
      <c r="E10680"/>
      <c r="F10680"/>
      <c r="G10680"/>
      <c r="H10680"/>
      <c r="I10680"/>
      <c r="J10680"/>
      <c r="K10680" s="1"/>
      <c r="L10680" s="2"/>
    </row>
    <row r="10681" spans="1:12" x14ac:dyDescent="0.2">
      <c r="A10681"/>
      <c r="B10681"/>
      <c r="C10681"/>
      <c r="D10681"/>
      <c r="E10681"/>
      <c r="F10681"/>
      <c r="G10681"/>
      <c r="H10681"/>
      <c r="I10681"/>
      <c r="J10681"/>
      <c r="K10681" s="1"/>
      <c r="L10681" s="2"/>
    </row>
    <row r="10682" spans="1:12" x14ac:dyDescent="0.2">
      <c r="A10682"/>
      <c r="B10682"/>
      <c r="C10682"/>
      <c r="D10682"/>
      <c r="E10682"/>
      <c r="F10682"/>
      <c r="G10682"/>
      <c r="H10682"/>
      <c r="I10682"/>
      <c r="J10682"/>
      <c r="K10682" s="1"/>
      <c r="L10682" s="2"/>
    </row>
    <row r="10683" spans="1:12" x14ac:dyDescent="0.2">
      <c r="A10683"/>
      <c r="B10683"/>
      <c r="C10683"/>
      <c r="D10683"/>
      <c r="E10683"/>
      <c r="F10683"/>
      <c r="G10683"/>
      <c r="H10683"/>
      <c r="I10683"/>
      <c r="J10683"/>
      <c r="K10683" s="1"/>
      <c r="L10683" s="2"/>
    </row>
    <row r="10684" spans="1:12" x14ac:dyDescent="0.2">
      <c r="A10684"/>
      <c r="B10684"/>
      <c r="C10684"/>
      <c r="D10684"/>
      <c r="E10684"/>
      <c r="F10684"/>
      <c r="G10684"/>
      <c r="H10684"/>
      <c r="I10684"/>
      <c r="J10684"/>
      <c r="K10684" s="1"/>
      <c r="L10684" s="2"/>
    </row>
    <row r="10685" spans="1:12" x14ac:dyDescent="0.2">
      <c r="A10685"/>
      <c r="B10685"/>
      <c r="C10685"/>
      <c r="D10685"/>
      <c r="E10685"/>
      <c r="F10685"/>
      <c r="G10685"/>
      <c r="H10685"/>
      <c r="I10685"/>
      <c r="J10685"/>
      <c r="K10685" s="1"/>
      <c r="L10685" s="2"/>
    </row>
    <row r="10686" spans="1:12" x14ac:dyDescent="0.2">
      <c r="A10686"/>
      <c r="B10686"/>
      <c r="C10686"/>
      <c r="D10686"/>
      <c r="E10686"/>
      <c r="F10686"/>
      <c r="G10686"/>
      <c r="H10686"/>
      <c r="I10686"/>
      <c r="J10686"/>
      <c r="K10686" s="1"/>
      <c r="L10686" s="2"/>
    </row>
    <row r="10687" spans="1:12" x14ac:dyDescent="0.2">
      <c r="A10687"/>
      <c r="B10687"/>
      <c r="C10687"/>
      <c r="D10687"/>
      <c r="E10687"/>
      <c r="F10687"/>
      <c r="G10687"/>
      <c r="H10687"/>
      <c r="I10687"/>
      <c r="J10687"/>
      <c r="K10687" s="1"/>
      <c r="L10687" s="2"/>
    </row>
    <row r="10688" spans="1:12" x14ac:dyDescent="0.2">
      <c r="A10688"/>
      <c r="B10688"/>
      <c r="C10688"/>
      <c r="D10688"/>
      <c r="E10688"/>
      <c r="F10688"/>
      <c r="G10688"/>
      <c r="H10688"/>
      <c r="I10688"/>
      <c r="J10688"/>
      <c r="K10688" s="1"/>
      <c r="L10688" s="2"/>
    </row>
    <row r="10689" spans="1:12" x14ac:dyDescent="0.2">
      <c r="A10689"/>
      <c r="B10689"/>
      <c r="C10689"/>
      <c r="D10689"/>
      <c r="E10689"/>
      <c r="F10689"/>
      <c r="G10689"/>
      <c r="H10689"/>
      <c r="I10689"/>
      <c r="J10689"/>
      <c r="K10689" s="1"/>
      <c r="L10689" s="2"/>
    </row>
    <row r="10690" spans="1:12" x14ac:dyDescent="0.2">
      <c r="A10690"/>
      <c r="B10690"/>
      <c r="C10690"/>
      <c r="D10690"/>
      <c r="E10690"/>
      <c r="F10690"/>
      <c r="G10690"/>
      <c r="H10690"/>
      <c r="I10690"/>
      <c r="J10690"/>
      <c r="K10690" s="1"/>
      <c r="L10690" s="2"/>
    </row>
    <row r="10691" spans="1:12" x14ac:dyDescent="0.2">
      <c r="A10691"/>
      <c r="B10691"/>
      <c r="C10691"/>
      <c r="D10691"/>
      <c r="E10691"/>
      <c r="F10691"/>
      <c r="G10691"/>
      <c r="H10691"/>
      <c r="I10691"/>
      <c r="J10691"/>
      <c r="K10691" s="1"/>
      <c r="L10691" s="2"/>
    </row>
    <row r="10692" spans="1:12" x14ac:dyDescent="0.2">
      <c r="A10692"/>
      <c r="B10692"/>
      <c r="C10692"/>
      <c r="D10692"/>
      <c r="E10692"/>
      <c r="F10692"/>
      <c r="G10692"/>
      <c r="H10692"/>
      <c r="I10692"/>
      <c r="J10692"/>
      <c r="K10692" s="1"/>
      <c r="L10692" s="2"/>
    </row>
    <row r="10693" spans="1:12" x14ac:dyDescent="0.2">
      <c r="A10693"/>
      <c r="B10693"/>
      <c r="C10693"/>
      <c r="D10693"/>
      <c r="E10693"/>
      <c r="F10693"/>
      <c r="G10693"/>
      <c r="H10693"/>
      <c r="I10693"/>
      <c r="J10693"/>
      <c r="K10693" s="1"/>
      <c r="L10693" s="2"/>
    </row>
    <row r="10694" spans="1:12" x14ac:dyDescent="0.2">
      <c r="A10694"/>
      <c r="B10694"/>
      <c r="C10694"/>
      <c r="D10694"/>
      <c r="E10694"/>
      <c r="F10694"/>
      <c r="G10694"/>
      <c r="H10694"/>
      <c r="I10694"/>
      <c r="J10694"/>
      <c r="K10694" s="1"/>
      <c r="L10694" s="2"/>
    </row>
    <row r="10695" spans="1:12" x14ac:dyDescent="0.2">
      <c r="A10695"/>
      <c r="B10695"/>
      <c r="C10695"/>
      <c r="D10695"/>
      <c r="E10695"/>
      <c r="F10695"/>
      <c r="G10695"/>
      <c r="H10695"/>
      <c r="I10695"/>
      <c r="J10695"/>
      <c r="K10695" s="1"/>
      <c r="L10695" s="2"/>
    </row>
    <row r="10696" spans="1:12" x14ac:dyDescent="0.2">
      <c r="A10696"/>
      <c r="B10696"/>
      <c r="C10696"/>
      <c r="D10696"/>
      <c r="E10696"/>
      <c r="F10696"/>
      <c r="G10696"/>
      <c r="H10696"/>
      <c r="I10696"/>
      <c r="J10696"/>
      <c r="K10696" s="1"/>
      <c r="L10696" s="2"/>
    </row>
    <row r="10697" spans="1:12" x14ac:dyDescent="0.2">
      <c r="A10697"/>
      <c r="B10697"/>
      <c r="C10697"/>
      <c r="D10697"/>
      <c r="E10697"/>
      <c r="F10697"/>
      <c r="G10697"/>
      <c r="H10697"/>
      <c r="I10697"/>
      <c r="J10697"/>
      <c r="K10697" s="1"/>
      <c r="L10697" s="2"/>
    </row>
    <row r="10698" spans="1:12" x14ac:dyDescent="0.2">
      <c r="A10698"/>
      <c r="B10698"/>
      <c r="C10698"/>
      <c r="D10698"/>
      <c r="E10698"/>
      <c r="F10698"/>
      <c r="G10698"/>
      <c r="H10698"/>
      <c r="I10698"/>
      <c r="J10698"/>
      <c r="K10698" s="1"/>
      <c r="L10698" s="2"/>
    </row>
    <row r="10699" spans="1:12" x14ac:dyDescent="0.2">
      <c r="A10699"/>
      <c r="B10699"/>
      <c r="C10699"/>
      <c r="D10699"/>
      <c r="E10699"/>
      <c r="F10699"/>
      <c r="G10699"/>
      <c r="H10699"/>
      <c r="I10699"/>
      <c r="J10699"/>
      <c r="K10699" s="1"/>
      <c r="L10699" s="2"/>
    </row>
    <row r="10700" spans="1:12" x14ac:dyDescent="0.2">
      <c r="A10700"/>
      <c r="B10700"/>
      <c r="C10700"/>
      <c r="D10700"/>
      <c r="E10700"/>
      <c r="F10700"/>
      <c r="G10700"/>
      <c r="H10700"/>
      <c r="I10700"/>
      <c r="J10700"/>
      <c r="K10700" s="1"/>
      <c r="L10700" s="2"/>
    </row>
    <row r="10701" spans="1:12" x14ac:dyDescent="0.2">
      <c r="A10701"/>
      <c r="B10701"/>
      <c r="C10701"/>
      <c r="D10701"/>
      <c r="E10701"/>
      <c r="F10701"/>
      <c r="G10701"/>
      <c r="H10701"/>
      <c r="I10701"/>
      <c r="J10701"/>
      <c r="K10701" s="1"/>
      <c r="L10701" s="2"/>
    </row>
    <row r="10702" spans="1:12" x14ac:dyDescent="0.2">
      <c r="A10702"/>
      <c r="B10702"/>
      <c r="C10702"/>
      <c r="D10702"/>
      <c r="E10702"/>
      <c r="F10702"/>
      <c r="G10702"/>
      <c r="H10702"/>
      <c r="I10702"/>
      <c r="J10702"/>
      <c r="K10702" s="1"/>
      <c r="L10702" s="2"/>
    </row>
    <row r="10703" spans="1:12" x14ac:dyDescent="0.2">
      <c r="A10703"/>
      <c r="B10703"/>
      <c r="C10703"/>
      <c r="D10703"/>
      <c r="E10703"/>
      <c r="F10703"/>
      <c r="G10703"/>
      <c r="H10703"/>
      <c r="I10703"/>
      <c r="J10703"/>
      <c r="K10703" s="1"/>
      <c r="L10703" s="2"/>
    </row>
    <row r="10704" spans="1:12" x14ac:dyDescent="0.2">
      <c r="A10704"/>
      <c r="B10704"/>
      <c r="C10704"/>
      <c r="D10704"/>
      <c r="E10704"/>
      <c r="F10704"/>
      <c r="G10704"/>
      <c r="H10704"/>
      <c r="I10704"/>
      <c r="J10704"/>
      <c r="K10704" s="1"/>
      <c r="L10704" s="2"/>
    </row>
    <row r="10705" spans="1:12" x14ac:dyDescent="0.2">
      <c r="A10705"/>
      <c r="B10705"/>
      <c r="C10705"/>
      <c r="D10705"/>
      <c r="E10705"/>
      <c r="F10705"/>
      <c r="G10705"/>
      <c r="H10705"/>
      <c r="I10705"/>
      <c r="J10705"/>
      <c r="K10705" s="1"/>
      <c r="L10705" s="2"/>
    </row>
    <row r="10706" spans="1:12" x14ac:dyDescent="0.2">
      <c r="A10706"/>
      <c r="B10706"/>
      <c r="C10706"/>
      <c r="D10706"/>
      <c r="E10706"/>
      <c r="F10706"/>
      <c r="G10706"/>
      <c r="H10706"/>
      <c r="I10706"/>
      <c r="J10706"/>
      <c r="K10706" s="1"/>
      <c r="L10706" s="2"/>
    </row>
    <row r="10707" spans="1:12" x14ac:dyDescent="0.2">
      <c r="A10707"/>
      <c r="B10707"/>
      <c r="C10707"/>
      <c r="D10707"/>
      <c r="E10707"/>
      <c r="F10707"/>
      <c r="G10707"/>
      <c r="H10707"/>
      <c r="I10707"/>
      <c r="J10707"/>
      <c r="K10707" s="1"/>
      <c r="L10707" s="2"/>
    </row>
    <row r="10708" spans="1:12" x14ac:dyDescent="0.2">
      <c r="A10708"/>
      <c r="B10708"/>
      <c r="C10708"/>
      <c r="D10708"/>
      <c r="E10708"/>
      <c r="F10708"/>
      <c r="G10708"/>
      <c r="H10708"/>
      <c r="I10708"/>
      <c r="J10708"/>
      <c r="K10708" s="1"/>
      <c r="L10708" s="2"/>
    </row>
    <row r="10709" spans="1:12" x14ac:dyDescent="0.2">
      <c r="A10709"/>
      <c r="B10709"/>
      <c r="C10709"/>
      <c r="D10709"/>
      <c r="E10709"/>
      <c r="F10709"/>
      <c r="G10709"/>
      <c r="H10709"/>
      <c r="I10709"/>
      <c r="J10709"/>
      <c r="K10709" s="1"/>
      <c r="L10709" s="2"/>
    </row>
    <row r="10710" spans="1:12" x14ac:dyDescent="0.2">
      <c r="A10710"/>
      <c r="B10710"/>
      <c r="C10710"/>
      <c r="D10710"/>
      <c r="E10710"/>
      <c r="F10710"/>
      <c r="G10710"/>
      <c r="H10710"/>
      <c r="I10710"/>
      <c r="J10710"/>
      <c r="K10710" s="1"/>
      <c r="L10710" s="2"/>
    </row>
    <row r="10711" spans="1:12" x14ac:dyDescent="0.2">
      <c r="A10711"/>
      <c r="B10711"/>
      <c r="C10711"/>
      <c r="D10711"/>
      <c r="E10711"/>
      <c r="F10711"/>
      <c r="G10711"/>
      <c r="H10711"/>
      <c r="I10711"/>
      <c r="J10711"/>
      <c r="K10711" s="1"/>
      <c r="L10711" s="2"/>
    </row>
    <row r="10712" spans="1:12" x14ac:dyDescent="0.2">
      <c r="A10712"/>
      <c r="B10712"/>
      <c r="C10712"/>
      <c r="D10712"/>
      <c r="E10712"/>
      <c r="F10712"/>
      <c r="G10712"/>
      <c r="H10712"/>
      <c r="I10712"/>
      <c r="J10712"/>
      <c r="K10712" s="1"/>
      <c r="L10712" s="2"/>
    </row>
    <row r="10713" spans="1:12" x14ac:dyDescent="0.2">
      <c r="A10713"/>
      <c r="B10713"/>
      <c r="C10713"/>
      <c r="D10713"/>
      <c r="E10713"/>
      <c r="F10713"/>
      <c r="G10713"/>
      <c r="H10713"/>
      <c r="I10713"/>
      <c r="J10713"/>
      <c r="K10713" s="1"/>
      <c r="L10713" s="2"/>
    </row>
    <row r="10714" spans="1:12" x14ac:dyDescent="0.2">
      <c r="A10714"/>
      <c r="B10714"/>
      <c r="C10714"/>
      <c r="D10714"/>
      <c r="E10714"/>
      <c r="F10714"/>
      <c r="G10714"/>
      <c r="H10714"/>
      <c r="I10714"/>
      <c r="J10714"/>
      <c r="K10714" s="1"/>
      <c r="L10714" s="2"/>
    </row>
    <row r="10715" spans="1:12" x14ac:dyDescent="0.2">
      <c r="A10715"/>
      <c r="B10715"/>
      <c r="C10715"/>
      <c r="D10715"/>
      <c r="E10715"/>
      <c r="F10715"/>
      <c r="G10715"/>
      <c r="H10715"/>
      <c r="I10715"/>
      <c r="J10715"/>
      <c r="K10715" s="1"/>
      <c r="L10715" s="2"/>
    </row>
    <row r="10716" spans="1:12" x14ac:dyDescent="0.2">
      <c r="A10716"/>
      <c r="B10716"/>
      <c r="C10716"/>
      <c r="D10716"/>
      <c r="E10716"/>
      <c r="F10716"/>
      <c r="G10716"/>
      <c r="H10716"/>
      <c r="I10716"/>
      <c r="J10716"/>
      <c r="K10716" s="1"/>
      <c r="L10716" s="2"/>
    </row>
    <row r="10717" spans="1:12" x14ac:dyDescent="0.2">
      <c r="A10717"/>
      <c r="B10717"/>
      <c r="C10717"/>
      <c r="D10717"/>
      <c r="E10717"/>
      <c r="F10717"/>
      <c r="G10717"/>
      <c r="H10717"/>
      <c r="I10717"/>
      <c r="J10717"/>
      <c r="K10717" s="1"/>
      <c r="L10717" s="2"/>
    </row>
    <row r="10718" spans="1:12" x14ac:dyDescent="0.2">
      <c r="A10718"/>
      <c r="B10718"/>
      <c r="C10718"/>
      <c r="D10718"/>
      <c r="E10718"/>
      <c r="F10718"/>
      <c r="G10718"/>
      <c r="H10718"/>
      <c r="I10718"/>
      <c r="J10718"/>
      <c r="K10718" s="1"/>
      <c r="L10718" s="2"/>
    </row>
    <row r="10719" spans="1:12" x14ac:dyDescent="0.2">
      <c r="A10719"/>
      <c r="B10719"/>
      <c r="C10719"/>
      <c r="D10719"/>
      <c r="E10719"/>
      <c r="F10719"/>
      <c r="G10719"/>
      <c r="H10719"/>
      <c r="I10719"/>
      <c r="J10719"/>
      <c r="K10719" s="1"/>
      <c r="L10719" s="2"/>
    </row>
    <row r="10720" spans="1:12" x14ac:dyDescent="0.2">
      <c r="A10720"/>
      <c r="B10720"/>
      <c r="C10720"/>
      <c r="D10720"/>
      <c r="E10720"/>
      <c r="F10720"/>
      <c r="G10720"/>
      <c r="H10720"/>
      <c r="I10720"/>
      <c r="J10720"/>
      <c r="K10720" s="1"/>
      <c r="L10720" s="2"/>
    </row>
    <row r="10721" spans="1:12" x14ac:dyDescent="0.2">
      <c r="A10721"/>
      <c r="B10721"/>
      <c r="C10721"/>
      <c r="D10721"/>
      <c r="E10721"/>
      <c r="F10721"/>
      <c r="G10721"/>
      <c r="H10721"/>
      <c r="I10721"/>
      <c r="J10721"/>
      <c r="K10721" s="1"/>
      <c r="L10721" s="2"/>
    </row>
    <row r="10722" spans="1:12" x14ac:dyDescent="0.2">
      <c r="A10722"/>
      <c r="B10722"/>
      <c r="C10722"/>
      <c r="D10722"/>
      <c r="E10722"/>
      <c r="F10722"/>
      <c r="G10722"/>
      <c r="H10722"/>
      <c r="I10722"/>
      <c r="J10722"/>
      <c r="K10722" s="1"/>
      <c r="L10722" s="2"/>
    </row>
    <row r="10723" spans="1:12" x14ac:dyDescent="0.2">
      <c r="A10723"/>
      <c r="B10723"/>
      <c r="C10723"/>
      <c r="D10723"/>
      <c r="E10723"/>
      <c r="F10723"/>
      <c r="G10723"/>
      <c r="H10723"/>
      <c r="I10723"/>
      <c r="J10723"/>
      <c r="K10723" s="1"/>
      <c r="L10723" s="2"/>
    </row>
    <row r="10724" spans="1:12" x14ac:dyDescent="0.2">
      <c r="A10724"/>
      <c r="B10724"/>
      <c r="C10724"/>
      <c r="D10724"/>
      <c r="E10724"/>
      <c r="F10724"/>
      <c r="G10724"/>
      <c r="H10724"/>
      <c r="I10724"/>
      <c r="J10724"/>
      <c r="K10724" s="1"/>
      <c r="L10724" s="2"/>
    </row>
    <row r="10725" spans="1:12" x14ac:dyDescent="0.2">
      <c r="A10725"/>
      <c r="B10725"/>
      <c r="C10725"/>
      <c r="D10725"/>
      <c r="E10725"/>
      <c r="F10725"/>
      <c r="G10725"/>
      <c r="H10725"/>
      <c r="I10725"/>
      <c r="J10725"/>
      <c r="K10725" s="1"/>
      <c r="L10725" s="2"/>
    </row>
    <row r="10726" spans="1:12" x14ac:dyDescent="0.2">
      <c r="A10726"/>
      <c r="B10726"/>
      <c r="C10726"/>
      <c r="D10726"/>
      <c r="E10726"/>
      <c r="F10726"/>
      <c r="G10726"/>
      <c r="H10726"/>
      <c r="I10726"/>
      <c r="J10726"/>
      <c r="K10726" s="1"/>
      <c r="L10726" s="2"/>
    </row>
    <row r="10727" spans="1:12" x14ac:dyDescent="0.2">
      <c r="A10727"/>
      <c r="B10727"/>
      <c r="C10727"/>
      <c r="D10727"/>
      <c r="E10727"/>
      <c r="F10727"/>
      <c r="G10727"/>
      <c r="H10727"/>
      <c r="I10727"/>
      <c r="J10727"/>
      <c r="K10727" s="1"/>
      <c r="L10727" s="2"/>
    </row>
    <row r="10728" spans="1:12" x14ac:dyDescent="0.2">
      <c r="A10728"/>
      <c r="B10728"/>
      <c r="C10728"/>
      <c r="D10728"/>
      <c r="E10728"/>
      <c r="F10728"/>
      <c r="G10728"/>
      <c r="H10728"/>
      <c r="I10728"/>
      <c r="J10728"/>
      <c r="K10728" s="1"/>
      <c r="L10728" s="2"/>
    </row>
    <row r="10729" spans="1:12" x14ac:dyDescent="0.2">
      <c r="A10729"/>
      <c r="B10729"/>
      <c r="C10729"/>
      <c r="D10729"/>
      <c r="E10729"/>
      <c r="F10729"/>
      <c r="G10729"/>
      <c r="H10729"/>
      <c r="I10729"/>
      <c r="J10729"/>
      <c r="K10729" s="1"/>
      <c r="L10729" s="2"/>
    </row>
    <row r="10730" spans="1:12" x14ac:dyDescent="0.2">
      <c r="A10730"/>
      <c r="B10730"/>
      <c r="C10730"/>
      <c r="D10730"/>
      <c r="E10730"/>
      <c r="F10730"/>
      <c r="G10730"/>
      <c r="H10730"/>
      <c r="I10730"/>
      <c r="J10730"/>
      <c r="K10730" s="1"/>
      <c r="L10730" s="2"/>
    </row>
    <row r="10731" spans="1:12" x14ac:dyDescent="0.2">
      <c r="A10731"/>
      <c r="B10731"/>
      <c r="C10731"/>
      <c r="D10731"/>
      <c r="E10731"/>
      <c r="F10731"/>
      <c r="G10731"/>
      <c r="H10731"/>
      <c r="I10731"/>
      <c r="J10731"/>
      <c r="K10731" s="1"/>
      <c r="L10731" s="2"/>
    </row>
    <row r="10732" spans="1:12" x14ac:dyDescent="0.2">
      <c r="A10732"/>
      <c r="B10732"/>
      <c r="C10732"/>
      <c r="D10732"/>
      <c r="E10732"/>
      <c r="F10732"/>
      <c r="G10732"/>
      <c r="H10732"/>
      <c r="I10732"/>
      <c r="J10732"/>
      <c r="K10732" s="1"/>
      <c r="L10732" s="2"/>
    </row>
    <row r="10733" spans="1:12" x14ac:dyDescent="0.2">
      <c r="A10733"/>
      <c r="B10733"/>
      <c r="C10733"/>
      <c r="D10733"/>
      <c r="E10733"/>
      <c r="F10733"/>
      <c r="G10733"/>
      <c r="H10733"/>
      <c r="I10733"/>
      <c r="J10733"/>
      <c r="K10733" s="1"/>
      <c r="L10733" s="2"/>
    </row>
    <row r="10734" spans="1:12" x14ac:dyDescent="0.2">
      <c r="A10734"/>
      <c r="B10734"/>
      <c r="C10734"/>
      <c r="D10734"/>
      <c r="E10734"/>
      <c r="F10734"/>
      <c r="G10734"/>
      <c r="H10734"/>
      <c r="I10734"/>
      <c r="J10734"/>
      <c r="K10734" s="1"/>
      <c r="L10734" s="2"/>
    </row>
    <row r="10735" spans="1:12" x14ac:dyDescent="0.2">
      <c r="A10735"/>
      <c r="B10735"/>
      <c r="C10735"/>
      <c r="D10735"/>
      <c r="E10735"/>
      <c r="F10735"/>
      <c r="G10735"/>
      <c r="H10735"/>
      <c r="I10735"/>
      <c r="J10735"/>
      <c r="K10735" s="1"/>
      <c r="L10735" s="2"/>
    </row>
    <row r="10736" spans="1:12" x14ac:dyDescent="0.2">
      <c r="A10736"/>
      <c r="B10736"/>
      <c r="C10736"/>
      <c r="D10736"/>
      <c r="E10736"/>
      <c r="F10736"/>
      <c r="G10736"/>
      <c r="H10736"/>
      <c r="I10736"/>
      <c r="J10736"/>
      <c r="K10736" s="1"/>
      <c r="L10736" s="2"/>
    </row>
    <row r="10737" spans="1:12" x14ac:dyDescent="0.2">
      <c r="A10737"/>
      <c r="B10737"/>
      <c r="C10737"/>
      <c r="D10737"/>
      <c r="E10737"/>
      <c r="F10737"/>
      <c r="G10737"/>
      <c r="H10737"/>
      <c r="I10737"/>
      <c r="J10737"/>
      <c r="K10737" s="1"/>
      <c r="L10737" s="2"/>
    </row>
    <row r="10738" spans="1:12" x14ac:dyDescent="0.2">
      <c r="A10738"/>
      <c r="B10738"/>
      <c r="C10738"/>
      <c r="D10738"/>
      <c r="E10738"/>
      <c r="F10738"/>
      <c r="G10738"/>
      <c r="H10738"/>
      <c r="I10738"/>
      <c r="J10738"/>
      <c r="K10738" s="1"/>
      <c r="L10738" s="2"/>
    </row>
    <row r="10739" spans="1:12" x14ac:dyDescent="0.2">
      <c r="A10739"/>
      <c r="B10739"/>
      <c r="C10739"/>
      <c r="D10739"/>
      <c r="E10739"/>
      <c r="F10739"/>
      <c r="G10739"/>
      <c r="H10739"/>
      <c r="I10739"/>
      <c r="J10739"/>
      <c r="K10739" s="1"/>
      <c r="L10739" s="2"/>
    </row>
    <row r="10740" spans="1:12" x14ac:dyDescent="0.2">
      <c r="A10740"/>
      <c r="B10740"/>
      <c r="C10740"/>
      <c r="D10740"/>
      <c r="E10740"/>
      <c r="F10740"/>
      <c r="G10740"/>
      <c r="H10740"/>
      <c r="I10740"/>
      <c r="J10740"/>
      <c r="K10740" s="1"/>
      <c r="L10740" s="2"/>
    </row>
    <row r="10741" spans="1:12" x14ac:dyDescent="0.2">
      <c r="A10741"/>
      <c r="B10741"/>
      <c r="C10741"/>
      <c r="D10741"/>
      <c r="E10741"/>
      <c r="F10741"/>
      <c r="G10741"/>
      <c r="H10741"/>
      <c r="I10741"/>
      <c r="J10741"/>
      <c r="K10741" s="1"/>
      <c r="L10741" s="2"/>
    </row>
    <row r="10742" spans="1:12" x14ac:dyDescent="0.2">
      <c r="A10742"/>
      <c r="B10742"/>
      <c r="C10742"/>
      <c r="D10742"/>
      <c r="E10742"/>
      <c r="F10742"/>
      <c r="G10742"/>
      <c r="H10742"/>
      <c r="I10742"/>
      <c r="J10742"/>
      <c r="K10742" s="1"/>
      <c r="L10742" s="2"/>
    </row>
    <row r="10743" spans="1:12" x14ac:dyDescent="0.2">
      <c r="A10743"/>
      <c r="B10743"/>
      <c r="C10743"/>
      <c r="D10743"/>
      <c r="E10743"/>
      <c r="F10743"/>
      <c r="G10743"/>
      <c r="H10743"/>
      <c r="I10743"/>
      <c r="J10743"/>
      <c r="K10743" s="1"/>
      <c r="L10743" s="2"/>
    </row>
    <row r="10744" spans="1:12" x14ac:dyDescent="0.2">
      <c r="A10744"/>
      <c r="B10744"/>
      <c r="C10744"/>
      <c r="D10744"/>
      <c r="E10744"/>
      <c r="F10744"/>
      <c r="G10744"/>
      <c r="H10744"/>
      <c r="I10744"/>
      <c r="J10744"/>
      <c r="K10744" s="1"/>
      <c r="L10744" s="2"/>
    </row>
    <row r="10745" spans="1:12" x14ac:dyDescent="0.2">
      <c r="A10745"/>
      <c r="B10745"/>
      <c r="C10745"/>
      <c r="D10745"/>
      <c r="E10745"/>
      <c r="F10745"/>
      <c r="G10745"/>
      <c r="H10745"/>
      <c r="I10745"/>
      <c r="J10745"/>
      <c r="K10745" s="1"/>
      <c r="L10745" s="2"/>
    </row>
    <row r="10746" spans="1:12" x14ac:dyDescent="0.2">
      <c r="A10746"/>
      <c r="B10746"/>
      <c r="C10746"/>
      <c r="D10746"/>
      <c r="E10746"/>
      <c r="F10746"/>
      <c r="G10746"/>
      <c r="H10746"/>
      <c r="I10746"/>
      <c r="J10746"/>
      <c r="K10746" s="1"/>
      <c r="L10746" s="2"/>
    </row>
    <row r="10747" spans="1:12" x14ac:dyDescent="0.2">
      <c r="A10747"/>
      <c r="B10747"/>
      <c r="C10747"/>
      <c r="D10747"/>
      <c r="E10747"/>
      <c r="F10747"/>
      <c r="G10747"/>
      <c r="H10747"/>
      <c r="I10747"/>
      <c r="J10747"/>
      <c r="K10747" s="1"/>
      <c r="L10747" s="2"/>
    </row>
    <row r="10748" spans="1:12" x14ac:dyDescent="0.2">
      <c r="A10748"/>
      <c r="B10748"/>
      <c r="C10748"/>
      <c r="D10748"/>
      <c r="E10748"/>
      <c r="F10748"/>
      <c r="G10748"/>
      <c r="H10748"/>
      <c r="I10748"/>
      <c r="J10748"/>
      <c r="K10748" s="1"/>
      <c r="L10748" s="2"/>
    </row>
    <row r="10749" spans="1:12" x14ac:dyDescent="0.2">
      <c r="A10749"/>
      <c r="B10749"/>
      <c r="C10749"/>
      <c r="D10749"/>
      <c r="E10749"/>
      <c r="F10749"/>
      <c r="G10749"/>
      <c r="H10749"/>
      <c r="I10749"/>
      <c r="J10749"/>
      <c r="K10749" s="1"/>
      <c r="L10749" s="2"/>
    </row>
    <row r="10750" spans="1:12" x14ac:dyDescent="0.2">
      <c r="A10750"/>
      <c r="B10750"/>
      <c r="C10750"/>
      <c r="D10750"/>
      <c r="E10750"/>
      <c r="F10750"/>
      <c r="G10750"/>
      <c r="H10750"/>
      <c r="I10750"/>
      <c r="J10750"/>
      <c r="K10750" s="1"/>
      <c r="L10750" s="2"/>
    </row>
    <row r="10751" spans="1:12" x14ac:dyDescent="0.2">
      <c r="A10751"/>
      <c r="B10751"/>
      <c r="C10751"/>
      <c r="D10751"/>
      <c r="E10751"/>
      <c r="F10751"/>
      <c r="G10751"/>
      <c r="H10751"/>
      <c r="I10751"/>
      <c r="J10751"/>
      <c r="K10751" s="1"/>
      <c r="L10751" s="2"/>
    </row>
    <row r="10752" spans="1:12" x14ac:dyDescent="0.2">
      <c r="A10752"/>
      <c r="B10752"/>
      <c r="C10752"/>
      <c r="D10752"/>
      <c r="E10752"/>
      <c r="F10752"/>
      <c r="G10752"/>
      <c r="H10752"/>
      <c r="I10752"/>
      <c r="J10752"/>
      <c r="K10752" s="1"/>
      <c r="L10752" s="2"/>
    </row>
    <row r="10753" spans="1:12" x14ac:dyDescent="0.2">
      <c r="A10753"/>
      <c r="B10753"/>
      <c r="C10753"/>
      <c r="D10753"/>
      <c r="E10753"/>
      <c r="F10753"/>
      <c r="G10753"/>
      <c r="H10753"/>
      <c r="I10753"/>
      <c r="J10753"/>
      <c r="K10753" s="1"/>
      <c r="L10753" s="2"/>
    </row>
    <row r="10754" spans="1:12" x14ac:dyDescent="0.2">
      <c r="A10754"/>
      <c r="B10754"/>
      <c r="C10754"/>
      <c r="D10754"/>
      <c r="E10754"/>
      <c r="F10754"/>
      <c r="G10754"/>
      <c r="H10754"/>
      <c r="I10754"/>
      <c r="J10754"/>
      <c r="K10754" s="1"/>
      <c r="L10754" s="2"/>
    </row>
    <row r="10755" spans="1:12" x14ac:dyDescent="0.2">
      <c r="A10755"/>
      <c r="B10755"/>
      <c r="C10755"/>
      <c r="D10755"/>
      <c r="E10755"/>
      <c r="F10755"/>
      <c r="G10755"/>
      <c r="H10755"/>
      <c r="I10755"/>
      <c r="J10755"/>
      <c r="K10755" s="1"/>
      <c r="L10755" s="2"/>
    </row>
    <row r="10756" spans="1:12" x14ac:dyDescent="0.2">
      <c r="A10756"/>
      <c r="B10756"/>
      <c r="C10756"/>
      <c r="D10756"/>
      <c r="E10756"/>
      <c r="F10756"/>
      <c r="G10756"/>
      <c r="H10756"/>
      <c r="I10756"/>
      <c r="J10756"/>
      <c r="K10756" s="1"/>
      <c r="L10756" s="2"/>
    </row>
    <row r="10757" spans="1:12" x14ac:dyDescent="0.2">
      <c r="A10757"/>
      <c r="B10757"/>
      <c r="C10757"/>
      <c r="D10757"/>
      <c r="E10757"/>
      <c r="F10757"/>
      <c r="G10757"/>
      <c r="H10757"/>
      <c r="I10757"/>
      <c r="J10757"/>
      <c r="K10757" s="1"/>
      <c r="L10757" s="2"/>
    </row>
    <row r="10758" spans="1:12" x14ac:dyDescent="0.2">
      <c r="A10758"/>
      <c r="B10758"/>
      <c r="C10758"/>
      <c r="D10758"/>
      <c r="E10758"/>
      <c r="F10758"/>
      <c r="G10758"/>
      <c r="H10758"/>
      <c r="I10758"/>
      <c r="J10758"/>
      <c r="K10758" s="1"/>
      <c r="L10758" s="2"/>
    </row>
    <row r="10759" spans="1:12" x14ac:dyDescent="0.2">
      <c r="A10759"/>
      <c r="B10759"/>
      <c r="C10759"/>
      <c r="D10759"/>
      <c r="E10759"/>
      <c r="F10759"/>
      <c r="G10759"/>
      <c r="H10759"/>
      <c r="I10759"/>
      <c r="J10759"/>
      <c r="K10759" s="1"/>
      <c r="L10759" s="2"/>
    </row>
    <row r="10760" spans="1:12" x14ac:dyDescent="0.2">
      <c r="A10760"/>
      <c r="B10760"/>
      <c r="C10760"/>
      <c r="D10760"/>
      <c r="E10760"/>
      <c r="F10760"/>
      <c r="G10760"/>
      <c r="H10760"/>
      <c r="I10760"/>
      <c r="J10760"/>
      <c r="K10760" s="1"/>
      <c r="L10760" s="2"/>
    </row>
    <row r="10761" spans="1:12" x14ac:dyDescent="0.2">
      <c r="A10761"/>
      <c r="B10761"/>
      <c r="C10761"/>
      <c r="D10761"/>
      <c r="E10761"/>
      <c r="F10761"/>
      <c r="G10761"/>
      <c r="H10761"/>
      <c r="I10761"/>
      <c r="J10761"/>
      <c r="K10761" s="1"/>
      <c r="L10761" s="2"/>
    </row>
    <row r="10762" spans="1:12" x14ac:dyDescent="0.2">
      <c r="A10762"/>
      <c r="B10762"/>
      <c r="C10762"/>
      <c r="D10762"/>
      <c r="E10762"/>
      <c r="F10762"/>
      <c r="G10762"/>
      <c r="H10762"/>
      <c r="I10762"/>
      <c r="J10762"/>
      <c r="K10762" s="1"/>
      <c r="L10762" s="2"/>
    </row>
    <row r="10763" spans="1:12" x14ac:dyDescent="0.2">
      <c r="A10763"/>
      <c r="B10763"/>
      <c r="C10763"/>
      <c r="D10763"/>
      <c r="E10763"/>
      <c r="F10763"/>
      <c r="G10763"/>
      <c r="H10763"/>
      <c r="I10763"/>
      <c r="J10763"/>
      <c r="K10763" s="1"/>
      <c r="L10763" s="2"/>
    </row>
    <row r="10764" spans="1:12" x14ac:dyDescent="0.2">
      <c r="A10764"/>
      <c r="B10764"/>
      <c r="C10764"/>
      <c r="D10764"/>
      <c r="E10764"/>
      <c r="F10764"/>
      <c r="G10764"/>
      <c r="H10764"/>
      <c r="I10764"/>
      <c r="J10764"/>
      <c r="K10764" s="1"/>
      <c r="L10764" s="2"/>
    </row>
    <row r="10765" spans="1:12" x14ac:dyDescent="0.2">
      <c r="A10765"/>
      <c r="B10765"/>
      <c r="C10765"/>
      <c r="D10765"/>
      <c r="E10765"/>
      <c r="F10765"/>
      <c r="G10765"/>
      <c r="H10765"/>
      <c r="I10765"/>
      <c r="J10765"/>
      <c r="K10765" s="1"/>
      <c r="L10765" s="2"/>
    </row>
    <row r="10766" spans="1:12" x14ac:dyDescent="0.2">
      <c r="A10766"/>
      <c r="B10766"/>
      <c r="C10766"/>
      <c r="D10766"/>
      <c r="E10766"/>
      <c r="F10766"/>
      <c r="G10766"/>
      <c r="H10766"/>
      <c r="I10766"/>
      <c r="J10766"/>
      <c r="K10766" s="1"/>
      <c r="L10766" s="2"/>
    </row>
    <row r="10767" spans="1:12" x14ac:dyDescent="0.2">
      <c r="A10767"/>
      <c r="B10767"/>
      <c r="C10767"/>
      <c r="D10767"/>
      <c r="E10767"/>
      <c r="F10767"/>
      <c r="G10767"/>
      <c r="H10767"/>
      <c r="I10767"/>
      <c r="J10767"/>
      <c r="K10767" s="1"/>
      <c r="L10767" s="2"/>
    </row>
    <row r="10768" spans="1:12" x14ac:dyDescent="0.2">
      <c r="A10768"/>
      <c r="B10768"/>
      <c r="C10768"/>
      <c r="D10768"/>
      <c r="E10768"/>
      <c r="F10768"/>
      <c r="G10768"/>
      <c r="H10768"/>
      <c r="I10768"/>
      <c r="J10768"/>
      <c r="K10768" s="1"/>
      <c r="L10768" s="2"/>
    </row>
    <row r="10769" spans="1:12" x14ac:dyDescent="0.2">
      <c r="A10769"/>
      <c r="B10769"/>
      <c r="C10769"/>
      <c r="D10769"/>
      <c r="E10769"/>
      <c r="F10769"/>
      <c r="G10769"/>
      <c r="H10769"/>
      <c r="I10769"/>
      <c r="J10769"/>
      <c r="K10769" s="1"/>
      <c r="L10769" s="2"/>
    </row>
    <row r="10770" spans="1:12" x14ac:dyDescent="0.2">
      <c r="A10770"/>
      <c r="B10770"/>
      <c r="C10770"/>
      <c r="D10770"/>
      <c r="E10770"/>
      <c r="F10770"/>
      <c r="G10770"/>
      <c r="H10770"/>
      <c r="I10770"/>
      <c r="J10770"/>
      <c r="K10770" s="1"/>
      <c r="L10770" s="2"/>
    </row>
    <row r="10771" spans="1:12" x14ac:dyDescent="0.2">
      <c r="A10771"/>
      <c r="B10771"/>
      <c r="C10771"/>
      <c r="D10771"/>
      <c r="E10771"/>
      <c r="F10771"/>
      <c r="G10771"/>
      <c r="H10771"/>
      <c r="I10771"/>
      <c r="J10771"/>
      <c r="K10771" s="1"/>
      <c r="L10771" s="2"/>
    </row>
    <row r="10772" spans="1:12" x14ac:dyDescent="0.2">
      <c r="A10772"/>
      <c r="B10772"/>
      <c r="C10772"/>
      <c r="D10772"/>
      <c r="E10772"/>
      <c r="F10772"/>
      <c r="G10772"/>
      <c r="H10772"/>
      <c r="I10772"/>
      <c r="J10772"/>
      <c r="K10772" s="1"/>
      <c r="L10772" s="2"/>
    </row>
    <row r="10773" spans="1:12" x14ac:dyDescent="0.2">
      <c r="A10773"/>
      <c r="B10773"/>
      <c r="C10773"/>
      <c r="D10773"/>
      <c r="E10773"/>
      <c r="F10773"/>
      <c r="G10773"/>
      <c r="H10773"/>
      <c r="I10773"/>
      <c r="J10773"/>
      <c r="K10773" s="1"/>
      <c r="L10773" s="2"/>
    </row>
    <row r="10774" spans="1:12" x14ac:dyDescent="0.2">
      <c r="A10774"/>
      <c r="B10774"/>
      <c r="C10774"/>
      <c r="D10774"/>
      <c r="E10774"/>
      <c r="F10774"/>
      <c r="G10774"/>
      <c r="H10774"/>
      <c r="I10774"/>
      <c r="J10774"/>
      <c r="K10774" s="1"/>
      <c r="L10774" s="2"/>
    </row>
    <row r="10775" spans="1:12" x14ac:dyDescent="0.2">
      <c r="A10775"/>
      <c r="B10775"/>
      <c r="C10775"/>
      <c r="D10775"/>
      <c r="E10775"/>
      <c r="F10775"/>
      <c r="G10775"/>
      <c r="H10775"/>
      <c r="I10775"/>
      <c r="J10775"/>
      <c r="K10775" s="1"/>
      <c r="L10775" s="2"/>
    </row>
    <row r="10776" spans="1:12" x14ac:dyDescent="0.2">
      <c r="A10776"/>
      <c r="B10776"/>
      <c r="C10776"/>
      <c r="D10776"/>
      <c r="E10776"/>
      <c r="F10776"/>
      <c r="G10776"/>
      <c r="H10776"/>
      <c r="I10776"/>
      <c r="J10776"/>
      <c r="K10776" s="1"/>
      <c r="L10776" s="2"/>
    </row>
    <row r="10777" spans="1:12" x14ac:dyDescent="0.2">
      <c r="A10777"/>
      <c r="B10777"/>
      <c r="C10777"/>
      <c r="D10777"/>
      <c r="E10777"/>
      <c r="F10777"/>
      <c r="G10777"/>
      <c r="H10777"/>
      <c r="I10777"/>
      <c r="J10777"/>
      <c r="K10777" s="1"/>
      <c r="L10777" s="2"/>
    </row>
    <row r="10778" spans="1:12" x14ac:dyDescent="0.2">
      <c r="A10778"/>
      <c r="B10778"/>
      <c r="C10778"/>
      <c r="D10778"/>
      <c r="E10778"/>
      <c r="F10778"/>
      <c r="G10778"/>
      <c r="H10778"/>
      <c r="I10778"/>
      <c r="J10778"/>
      <c r="K10778" s="1"/>
      <c r="L10778" s="2"/>
    </row>
    <row r="10779" spans="1:12" x14ac:dyDescent="0.2">
      <c r="A10779"/>
      <c r="B10779"/>
      <c r="C10779"/>
      <c r="D10779"/>
      <c r="E10779"/>
      <c r="F10779"/>
      <c r="G10779"/>
      <c r="H10779"/>
      <c r="I10779"/>
      <c r="J10779"/>
      <c r="K10779" s="1"/>
      <c r="L10779" s="2"/>
    </row>
    <row r="10780" spans="1:12" x14ac:dyDescent="0.2">
      <c r="A10780"/>
      <c r="B10780"/>
      <c r="C10780"/>
      <c r="D10780"/>
      <c r="E10780"/>
      <c r="F10780"/>
      <c r="G10780"/>
      <c r="H10780"/>
      <c r="I10780"/>
      <c r="J10780"/>
      <c r="K10780" s="1"/>
      <c r="L10780" s="2"/>
    </row>
    <row r="10781" spans="1:12" x14ac:dyDescent="0.2">
      <c r="A10781"/>
      <c r="B10781"/>
      <c r="C10781"/>
      <c r="D10781"/>
      <c r="E10781"/>
      <c r="F10781"/>
      <c r="G10781"/>
      <c r="H10781"/>
      <c r="I10781"/>
      <c r="J10781"/>
      <c r="K10781" s="1"/>
      <c r="L10781" s="2"/>
    </row>
    <row r="10782" spans="1:12" x14ac:dyDescent="0.2">
      <c r="A10782"/>
      <c r="B10782"/>
      <c r="C10782"/>
      <c r="D10782"/>
      <c r="E10782"/>
      <c r="F10782"/>
      <c r="G10782"/>
      <c r="H10782"/>
      <c r="I10782"/>
      <c r="J10782"/>
      <c r="K10782" s="1"/>
      <c r="L10782" s="2"/>
    </row>
    <row r="10783" spans="1:12" x14ac:dyDescent="0.2">
      <c r="A10783"/>
      <c r="B10783"/>
      <c r="C10783"/>
      <c r="D10783"/>
      <c r="E10783"/>
      <c r="F10783"/>
      <c r="G10783"/>
      <c r="H10783"/>
      <c r="I10783"/>
      <c r="J10783"/>
      <c r="K10783" s="1"/>
      <c r="L10783" s="2"/>
    </row>
    <row r="10784" spans="1:12" x14ac:dyDescent="0.2">
      <c r="A10784"/>
      <c r="B10784"/>
      <c r="C10784"/>
      <c r="D10784"/>
      <c r="E10784"/>
      <c r="F10784"/>
      <c r="G10784"/>
      <c r="H10784"/>
      <c r="I10784"/>
      <c r="J10784"/>
      <c r="K10784" s="1"/>
      <c r="L10784" s="2"/>
    </row>
    <row r="10785" spans="1:12" x14ac:dyDescent="0.2">
      <c r="A10785"/>
      <c r="B10785"/>
      <c r="C10785"/>
      <c r="D10785"/>
      <c r="E10785"/>
      <c r="F10785"/>
      <c r="G10785"/>
      <c r="H10785"/>
      <c r="I10785"/>
      <c r="J10785"/>
      <c r="K10785" s="1"/>
      <c r="L10785" s="2"/>
    </row>
    <row r="10786" spans="1:12" x14ac:dyDescent="0.2">
      <c r="A10786"/>
      <c r="B10786"/>
      <c r="C10786"/>
      <c r="D10786"/>
      <c r="E10786"/>
      <c r="F10786"/>
      <c r="G10786"/>
      <c r="H10786"/>
      <c r="I10786"/>
      <c r="J10786"/>
      <c r="K10786" s="1"/>
      <c r="L10786" s="2"/>
    </row>
    <row r="10787" spans="1:12" x14ac:dyDescent="0.2">
      <c r="A10787"/>
      <c r="B10787"/>
      <c r="C10787"/>
      <c r="D10787"/>
      <c r="E10787"/>
      <c r="F10787"/>
      <c r="G10787"/>
      <c r="H10787"/>
      <c r="I10787"/>
      <c r="J10787"/>
      <c r="K10787" s="1"/>
      <c r="L10787" s="2"/>
    </row>
    <row r="10788" spans="1:12" x14ac:dyDescent="0.2">
      <c r="A10788"/>
      <c r="B10788"/>
      <c r="C10788"/>
      <c r="D10788"/>
      <c r="E10788"/>
      <c r="F10788"/>
      <c r="G10788"/>
      <c r="H10788"/>
      <c r="I10788"/>
      <c r="J10788"/>
      <c r="K10788" s="1"/>
      <c r="L10788" s="2"/>
    </row>
    <row r="10789" spans="1:12" x14ac:dyDescent="0.2">
      <c r="A10789"/>
      <c r="B10789"/>
      <c r="C10789"/>
      <c r="D10789"/>
      <c r="E10789"/>
      <c r="F10789"/>
      <c r="G10789"/>
      <c r="H10789"/>
      <c r="I10789"/>
      <c r="J10789"/>
      <c r="K10789" s="1"/>
      <c r="L10789" s="2"/>
    </row>
    <row r="10790" spans="1:12" x14ac:dyDescent="0.2">
      <c r="A10790"/>
      <c r="B10790"/>
      <c r="C10790"/>
      <c r="D10790"/>
      <c r="E10790"/>
      <c r="F10790"/>
      <c r="G10790"/>
      <c r="H10790"/>
      <c r="I10790"/>
      <c r="J10790"/>
      <c r="K10790" s="1"/>
      <c r="L10790" s="2"/>
    </row>
    <row r="10791" spans="1:12" x14ac:dyDescent="0.2">
      <c r="A10791"/>
      <c r="B10791"/>
      <c r="C10791"/>
      <c r="D10791"/>
      <c r="E10791"/>
      <c r="F10791"/>
      <c r="G10791"/>
      <c r="H10791"/>
      <c r="I10791"/>
      <c r="J10791"/>
      <c r="K10791" s="1"/>
      <c r="L10791" s="2"/>
    </row>
    <row r="10792" spans="1:12" x14ac:dyDescent="0.2">
      <c r="A10792"/>
      <c r="B10792"/>
      <c r="C10792"/>
      <c r="D10792"/>
      <c r="E10792"/>
      <c r="F10792"/>
      <c r="G10792"/>
      <c r="H10792"/>
      <c r="I10792"/>
      <c r="J10792"/>
      <c r="K10792" s="1"/>
      <c r="L10792" s="2"/>
    </row>
    <row r="10793" spans="1:12" x14ac:dyDescent="0.2">
      <c r="A10793"/>
      <c r="B10793"/>
      <c r="C10793"/>
      <c r="D10793"/>
      <c r="E10793"/>
      <c r="F10793"/>
      <c r="G10793"/>
      <c r="H10793"/>
      <c r="I10793"/>
      <c r="J10793"/>
      <c r="K10793" s="1"/>
      <c r="L10793" s="2"/>
    </row>
    <row r="10794" spans="1:12" x14ac:dyDescent="0.2">
      <c r="A10794"/>
      <c r="B10794"/>
      <c r="C10794"/>
      <c r="D10794"/>
      <c r="E10794"/>
      <c r="F10794"/>
      <c r="G10794"/>
      <c r="H10794"/>
      <c r="I10794"/>
      <c r="J10794"/>
      <c r="K10794" s="1"/>
      <c r="L10794" s="2"/>
    </row>
    <row r="10795" spans="1:12" x14ac:dyDescent="0.2">
      <c r="A10795"/>
      <c r="B10795"/>
      <c r="C10795"/>
      <c r="D10795"/>
      <c r="E10795"/>
      <c r="F10795"/>
      <c r="G10795"/>
      <c r="H10795"/>
      <c r="I10795"/>
      <c r="J10795"/>
      <c r="K10795" s="1"/>
      <c r="L10795" s="2"/>
    </row>
    <row r="10796" spans="1:12" x14ac:dyDescent="0.2">
      <c r="A10796"/>
      <c r="B10796"/>
      <c r="C10796"/>
      <c r="D10796"/>
      <c r="E10796"/>
      <c r="F10796"/>
      <c r="G10796"/>
      <c r="H10796"/>
      <c r="I10796"/>
      <c r="J10796"/>
      <c r="K10796" s="1"/>
      <c r="L10796" s="2"/>
    </row>
    <row r="10797" spans="1:12" x14ac:dyDescent="0.2">
      <c r="A10797"/>
      <c r="B10797"/>
      <c r="C10797"/>
      <c r="D10797"/>
      <c r="E10797"/>
      <c r="F10797"/>
      <c r="G10797"/>
      <c r="H10797"/>
      <c r="I10797"/>
      <c r="J10797"/>
      <c r="K10797" s="1"/>
      <c r="L10797" s="2"/>
    </row>
    <row r="10798" spans="1:12" x14ac:dyDescent="0.2">
      <c r="A10798"/>
      <c r="B10798"/>
      <c r="C10798"/>
      <c r="D10798"/>
      <c r="E10798"/>
      <c r="F10798"/>
      <c r="G10798"/>
      <c r="H10798"/>
      <c r="I10798"/>
      <c r="J10798"/>
      <c r="K10798" s="1"/>
      <c r="L10798" s="2"/>
    </row>
    <row r="10799" spans="1:12" x14ac:dyDescent="0.2">
      <c r="A10799"/>
      <c r="B10799"/>
      <c r="C10799"/>
      <c r="D10799"/>
      <c r="E10799"/>
      <c r="F10799"/>
      <c r="G10799"/>
      <c r="H10799"/>
      <c r="I10799"/>
      <c r="J10799"/>
      <c r="K10799" s="1"/>
      <c r="L10799" s="2"/>
    </row>
    <row r="10800" spans="1:12" x14ac:dyDescent="0.2">
      <c r="A10800"/>
      <c r="B10800"/>
      <c r="C10800"/>
      <c r="D10800"/>
      <c r="E10800"/>
      <c r="F10800"/>
      <c r="G10800"/>
      <c r="H10800"/>
      <c r="I10800"/>
      <c r="J10800"/>
      <c r="K10800" s="1"/>
      <c r="L10800" s="2"/>
    </row>
    <row r="10801" spans="1:12" x14ac:dyDescent="0.2">
      <c r="A10801"/>
      <c r="B10801"/>
      <c r="C10801"/>
      <c r="D10801"/>
      <c r="E10801"/>
      <c r="F10801"/>
      <c r="G10801"/>
      <c r="H10801"/>
      <c r="I10801"/>
      <c r="J10801"/>
      <c r="K10801" s="1"/>
      <c r="L10801" s="2"/>
    </row>
    <row r="10802" spans="1:12" x14ac:dyDescent="0.2">
      <c r="A10802"/>
      <c r="B10802"/>
      <c r="C10802"/>
      <c r="D10802"/>
      <c r="E10802"/>
      <c r="F10802"/>
      <c r="G10802"/>
      <c r="H10802"/>
      <c r="I10802"/>
      <c r="J10802"/>
      <c r="K10802" s="1"/>
      <c r="L10802" s="2"/>
    </row>
    <row r="10803" spans="1:12" x14ac:dyDescent="0.2">
      <c r="A10803"/>
      <c r="B10803"/>
      <c r="C10803"/>
      <c r="D10803"/>
      <c r="E10803"/>
      <c r="F10803"/>
      <c r="G10803"/>
      <c r="H10803"/>
      <c r="I10803"/>
      <c r="J10803"/>
      <c r="K10803" s="1"/>
      <c r="L10803" s="2"/>
    </row>
    <row r="10804" spans="1:12" x14ac:dyDescent="0.2">
      <c r="A10804"/>
      <c r="B10804"/>
      <c r="C10804"/>
      <c r="D10804"/>
      <c r="E10804"/>
      <c r="F10804"/>
      <c r="G10804"/>
      <c r="H10804"/>
      <c r="I10804"/>
      <c r="J10804"/>
      <c r="K10804" s="1"/>
      <c r="L10804" s="2"/>
    </row>
    <row r="10805" spans="1:12" x14ac:dyDescent="0.2">
      <c r="A10805"/>
      <c r="B10805"/>
      <c r="C10805"/>
      <c r="D10805"/>
      <c r="E10805"/>
      <c r="F10805"/>
      <c r="G10805"/>
      <c r="H10805"/>
      <c r="I10805"/>
      <c r="J10805"/>
      <c r="K10805" s="1"/>
      <c r="L10805" s="2"/>
    </row>
    <row r="10806" spans="1:12" x14ac:dyDescent="0.2">
      <c r="A10806"/>
      <c r="B10806"/>
      <c r="C10806"/>
      <c r="D10806"/>
      <c r="E10806"/>
      <c r="F10806"/>
      <c r="G10806"/>
      <c r="H10806"/>
      <c r="I10806"/>
      <c r="J10806"/>
      <c r="K10806" s="1"/>
      <c r="L10806" s="2"/>
    </row>
    <row r="10807" spans="1:12" x14ac:dyDescent="0.2">
      <c r="A10807"/>
      <c r="B10807"/>
      <c r="C10807"/>
      <c r="D10807"/>
      <c r="E10807"/>
      <c r="F10807"/>
      <c r="G10807"/>
      <c r="H10807"/>
      <c r="I10807"/>
      <c r="J10807"/>
      <c r="K10807" s="1"/>
      <c r="L10807" s="2"/>
    </row>
    <row r="10808" spans="1:12" x14ac:dyDescent="0.2">
      <c r="A10808"/>
      <c r="B10808"/>
      <c r="C10808"/>
      <c r="D10808"/>
      <c r="E10808"/>
      <c r="F10808"/>
      <c r="G10808"/>
      <c r="H10808"/>
      <c r="I10808"/>
      <c r="J10808"/>
      <c r="K10808" s="1"/>
      <c r="L10808" s="2"/>
    </row>
    <row r="10809" spans="1:12" x14ac:dyDescent="0.2">
      <c r="A10809"/>
      <c r="B10809"/>
      <c r="C10809"/>
      <c r="D10809"/>
      <c r="E10809"/>
      <c r="F10809"/>
      <c r="G10809"/>
      <c r="H10809"/>
      <c r="I10809"/>
      <c r="J10809"/>
      <c r="K10809" s="1"/>
      <c r="L10809" s="2"/>
    </row>
    <row r="10810" spans="1:12" x14ac:dyDescent="0.2">
      <c r="A10810"/>
      <c r="B10810"/>
      <c r="C10810"/>
      <c r="D10810"/>
      <c r="E10810"/>
      <c r="F10810"/>
      <c r="G10810"/>
      <c r="H10810"/>
      <c r="I10810"/>
      <c r="J10810"/>
      <c r="K10810" s="1"/>
      <c r="L10810" s="2"/>
    </row>
    <row r="10811" spans="1:12" x14ac:dyDescent="0.2">
      <c r="A10811"/>
      <c r="B10811"/>
      <c r="C10811"/>
      <c r="D10811"/>
      <c r="E10811"/>
      <c r="F10811"/>
      <c r="G10811"/>
      <c r="H10811"/>
      <c r="I10811"/>
      <c r="J10811"/>
      <c r="K10811" s="1"/>
      <c r="L10811" s="2"/>
    </row>
    <row r="10812" spans="1:12" x14ac:dyDescent="0.2">
      <c r="A10812"/>
      <c r="B10812"/>
      <c r="C10812"/>
      <c r="D10812"/>
      <c r="E10812"/>
      <c r="F10812"/>
      <c r="G10812"/>
      <c r="H10812"/>
      <c r="I10812"/>
      <c r="J10812"/>
      <c r="K10812" s="1"/>
      <c r="L10812" s="2"/>
    </row>
    <row r="10813" spans="1:12" x14ac:dyDescent="0.2">
      <c r="A10813"/>
      <c r="B10813"/>
      <c r="C10813"/>
      <c r="D10813"/>
      <c r="E10813"/>
      <c r="F10813"/>
      <c r="G10813"/>
      <c r="H10813"/>
      <c r="I10813"/>
      <c r="J10813"/>
      <c r="K10813" s="1"/>
      <c r="L10813" s="2"/>
    </row>
    <row r="10814" spans="1:12" x14ac:dyDescent="0.2">
      <c r="A10814"/>
      <c r="B10814"/>
      <c r="C10814"/>
      <c r="D10814"/>
      <c r="E10814"/>
      <c r="F10814"/>
      <c r="G10814"/>
      <c r="H10814"/>
      <c r="I10814"/>
      <c r="J10814"/>
      <c r="K10814" s="1"/>
      <c r="L10814" s="2"/>
    </row>
    <row r="10815" spans="1:12" x14ac:dyDescent="0.2">
      <c r="A10815"/>
      <c r="B10815"/>
      <c r="C10815"/>
      <c r="D10815"/>
      <c r="E10815"/>
      <c r="F10815"/>
      <c r="G10815"/>
      <c r="H10815"/>
      <c r="I10815"/>
      <c r="J10815"/>
      <c r="K10815" s="1"/>
      <c r="L10815" s="2"/>
    </row>
    <row r="10816" spans="1:12" x14ac:dyDescent="0.2">
      <c r="A10816"/>
      <c r="B10816"/>
      <c r="C10816"/>
      <c r="D10816"/>
      <c r="E10816"/>
      <c r="F10816"/>
      <c r="G10816"/>
      <c r="H10816"/>
      <c r="I10816"/>
      <c r="J10816"/>
      <c r="K10816" s="1"/>
      <c r="L10816" s="2"/>
    </row>
    <row r="10817" spans="1:12" x14ac:dyDescent="0.2">
      <c r="A10817"/>
      <c r="B10817"/>
      <c r="C10817"/>
      <c r="D10817"/>
      <c r="E10817"/>
      <c r="F10817"/>
      <c r="G10817"/>
      <c r="H10817"/>
      <c r="I10817"/>
      <c r="J10817"/>
      <c r="K10817" s="1"/>
      <c r="L10817" s="2"/>
    </row>
    <row r="10818" spans="1:12" x14ac:dyDescent="0.2">
      <c r="A10818"/>
      <c r="B10818"/>
      <c r="C10818"/>
      <c r="D10818"/>
      <c r="E10818"/>
      <c r="F10818"/>
      <c r="G10818"/>
      <c r="H10818"/>
      <c r="I10818"/>
      <c r="J10818"/>
      <c r="K10818" s="1"/>
      <c r="L10818" s="2"/>
    </row>
    <row r="10819" spans="1:12" x14ac:dyDescent="0.2">
      <c r="A10819"/>
      <c r="B10819"/>
      <c r="C10819"/>
      <c r="D10819"/>
      <c r="E10819"/>
      <c r="F10819"/>
      <c r="G10819"/>
      <c r="H10819"/>
      <c r="I10819"/>
      <c r="J10819"/>
      <c r="K10819" s="1"/>
      <c r="L10819" s="2"/>
    </row>
    <row r="10820" spans="1:12" x14ac:dyDescent="0.2">
      <c r="A10820"/>
      <c r="B10820"/>
      <c r="C10820"/>
      <c r="D10820"/>
      <c r="E10820"/>
      <c r="F10820"/>
      <c r="G10820"/>
      <c r="H10820"/>
      <c r="I10820"/>
      <c r="J10820"/>
      <c r="K10820" s="1"/>
      <c r="L10820" s="2"/>
    </row>
    <row r="10821" spans="1:12" x14ac:dyDescent="0.2">
      <c r="A10821"/>
      <c r="B10821"/>
      <c r="C10821"/>
      <c r="D10821"/>
      <c r="E10821"/>
      <c r="F10821"/>
      <c r="G10821"/>
      <c r="H10821"/>
      <c r="I10821"/>
      <c r="J10821"/>
      <c r="K10821" s="1"/>
      <c r="L10821" s="2"/>
    </row>
    <row r="10822" spans="1:12" x14ac:dyDescent="0.2">
      <c r="A10822"/>
      <c r="B10822"/>
      <c r="C10822"/>
      <c r="D10822"/>
      <c r="E10822"/>
      <c r="F10822"/>
      <c r="G10822"/>
      <c r="H10822"/>
      <c r="I10822"/>
      <c r="J10822"/>
      <c r="K10822" s="1"/>
      <c r="L10822" s="2"/>
    </row>
    <row r="10823" spans="1:12" x14ac:dyDescent="0.2">
      <c r="A10823"/>
      <c r="B10823"/>
      <c r="C10823"/>
      <c r="D10823"/>
      <c r="E10823"/>
      <c r="F10823"/>
      <c r="G10823"/>
      <c r="H10823"/>
      <c r="I10823"/>
      <c r="J10823"/>
      <c r="K10823" s="1"/>
      <c r="L10823" s="2"/>
    </row>
    <row r="10824" spans="1:12" x14ac:dyDescent="0.2">
      <c r="A10824"/>
      <c r="B10824"/>
      <c r="C10824"/>
      <c r="D10824"/>
      <c r="E10824"/>
      <c r="F10824"/>
      <c r="G10824"/>
      <c r="H10824"/>
      <c r="I10824"/>
      <c r="J10824"/>
      <c r="K10824" s="1"/>
      <c r="L10824" s="2"/>
    </row>
    <row r="10825" spans="1:12" x14ac:dyDescent="0.2">
      <c r="A10825"/>
      <c r="B10825"/>
      <c r="C10825"/>
      <c r="D10825"/>
      <c r="E10825"/>
      <c r="F10825"/>
      <c r="G10825"/>
      <c r="H10825"/>
      <c r="I10825"/>
      <c r="J10825"/>
      <c r="K10825" s="1"/>
      <c r="L10825" s="2"/>
    </row>
    <row r="10826" spans="1:12" x14ac:dyDescent="0.2">
      <c r="A10826"/>
      <c r="B10826"/>
      <c r="C10826"/>
      <c r="D10826"/>
      <c r="E10826"/>
      <c r="F10826"/>
      <c r="G10826"/>
      <c r="H10826"/>
      <c r="I10826"/>
      <c r="J10826"/>
      <c r="K10826" s="1"/>
      <c r="L10826" s="2"/>
    </row>
    <row r="10827" spans="1:12" x14ac:dyDescent="0.2">
      <c r="A10827"/>
      <c r="B10827"/>
      <c r="C10827"/>
      <c r="D10827"/>
      <c r="E10827"/>
      <c r="F10827"/>
      <c r="G10827"/>
      <c r="H10827"/>
      <c r="I10827"/>
      <c r="J10827"/>
      <c r="K10827" s="1"/>
      <c r="L10827" s="2"/>
    </row>
    <row r="10828" spans="1:12" x14ac:dyDescent="0.2">
      <c r="A10828"/>
      <c r="B10828"/>
      <c r="C10828"/>
      <c r="D10828"/>
      <c r="E10828"/>
      <c r="F10828"/>
      <c r="G10828"/>
      <c r="H10828"/>
      <c r="I10828"/>
      <c r="J10828"/>
      <c r="K10828" s="1"/>
      <c r="L10828" s="2"/>
    </row>
    <row r="10829" spans="1:12" x14ac:dyDescent="0.2">
      <c r="A10829"/>
      <c r="B10829"/>
      <c r="C10829"/>
      <c r="D10829"/>
      <c r="E10829"/>
      <c r="F10829"/>
      <c r="G10829"/>
      <c r="H10829"/>
      <c r="I10829"/>
      <c r="J10829"/>
      <c r="K10829" s="1"/>
      <c r="L10829" s="2"/>
    </row>
    <row r="10830" spans="1:12" x14ac:dyDescent="0.2">
      <c r="A10830"/>
      <c r="B10830"/>
      <c r="C10830"/>
      <c r="D10830"/>
      <c r="E10830"/>
      <c r="F10830"/>
      <c r="G10830"/>
      <c r="H10830"/>
      <c r="I10830"/>
      <c r="J10830"/>
      <c r="K10830" s="1"/>
      <c r="L10830" s="2"/>
    </row>
    <row r="10831" spans="1:12" x14ac:dyDescent="0.2">
      <c r="A10831"/>
      <c r="B10831"/>
      <c r="C10831"/>
      <c r="D10831"/>
      <c r="E10831"/>
      <c r="F10831"/>
      <c r="G10831"/>
      <c r="H10831"/>
      <c r="I10831"/>
      <c r="J10831"/>
      <c r="K10831" s="1"/>
      <c r="L10831" s="2"/>
    </row>
    <row r="10832" spans="1:12" x14ac:dyDescent="0.2">
      <c r="A10832"/>
      <c r="B10832"/>
      <c r="C10832"/>
      <c r="D10832"/>
      <c r="E10832"/>
      <c r="F10832"/>
      <c r="G10832"/>
      <c r="H10832"/>
      <c r="I10832"/>
      <c r="J10832"/>
      <c r="K10832" s="1"/>
      <c r="L10832" s="2"/>
    </row>
    <row r="10833" spans="1:12" x14ac:dyDescent="0.2">
      <c r="A10833"/>
      <c r="B10833"/>
      <c r="C10833"/>
      <c r="D10833"/>
      <c r="E10833"/>
      <c r="F10833"/>
      <c r="G10833"/>
      <c r="H10833"/>
      <c r="I10833"/>
      <c r="J10833"/>
      <c r="K10833" s="1"/>
      <c r="L10833" s="2"/>
    </row>
    <row r="10834" spans="1:12" x14ac:dyDescent="0.2">
      <c r="A10834"/>
      <c r="B10834"/>
      <c r="C10834"/>
      <c r="D10834"/>
      <c r="E10834"/>
      <c r="F10834"/>
      <c r="G10834"/>
      <c r="H10834"/>
      <c r="I10834"/>
      <c r="J10834"/>
      <c r="K10834" s="1"/>
      <c r="L10834" s="2"/>
    </row>
    <row r="10835" spans="1:12" x14ac:dyDescent="0.2">
      <c r="A10835"/>
      <c r="B10835"/>
      <c r="C10835"/>
      <c r="D10835"/>
      <c r="E10835"/>
      <c r="F10835"/>
      <c r="G10835"/>
      <c r="H10835"/>
      <c r="I10835"/>
      <c r="J10835"/>
      <c r="K10835" s="1"/>
      <c r="L10835" s="2"/>
    </row>
    <row r="10836" spans="1:12" x14ac:dyDescent="0.2">
      <c r="A10836"/>
      <c r="B10836"/>
      <c r="C10836"/>
      <c r="D10836"/>
      <c r="E10836"/>
      <c r="F10836"/>
      <c r="G10836"/>
      <c r="H10836"/>
      <c r="I10836"/>
      <c r="J10836"/>
      <c r="K10836" s="1"/>
      <c r="L10836" s="2"/>
    </row>
    <row r="10837" spans="1:12" x14ac:dyDescent="0.2">
      <c r="A10837"/>
      <c r="B10837"/>
      <c r="C10837"/>
      <c r="D10837"/>
      <c r="E10837"/>
      <c r="F10837"/>
      <c r="G10837"/>
      <c r="H10837"/>
      <c r="I10837"/>
      <c r="J10837"/>
      <c r="K10837" s="1"/>
      <c r="L10837" s="2"/>
    </row>
    <row r="10838" spans="1:12" x14ac:dyDescent="0.2">
      <c r="A10838"/>
      <c r="B10838"/>
      <c r="C10838"/>
      <c r="D10838"/>
      <c r="E10838"/>
      <c r="F10838"/>
      <c r="G10838"/>
      <c r="H10838"/>
      <c r="I10838"/>
      <c r="J10838"/>
      <c r="K10838" s="1"/>
      <c r="L10838" s="2"/>
    </row>
    <row r="10839" spans="1:12" x14ac:dyDescent="0.2">
      <c r="A10839"/>
      <c r="B10839"/>
      <c r="C10839"/>
      <c r="D10839"/>
      <c r="E10839"/>
      <c r="F10839"/>
      <c r="G10839"/>
      <c r="H10839"/>
      <c r="I10839"/>
      <c r="J10839"/>
      <c r="K10839" s="1"/>
      <c r="L10839" s="2"/>
    </row>
    <row r="10840" spans="1:12" x14ac:dyDescent="0.2">
      <c r="A10840"/>
      <c r="B10840"/>
      <c r="C10840"/>
      <c r="D10840"/>
      <c r="E10840"/>
      <c r="F10840"/>
      <c r="G10840"/>
      <c r="H10840"/>
      <c r="I10840"/>
      <c r="J10840"/>
      <c r="K10840" s="1"/>
      <c r="L10840" s="2"/>
    </row>
    <row r="10841" spans="1:12" x14ac:dyDescent="0.2">
      <c r="A10841"/>
      <c r="B10841"/>
      <c r="C10841"/>
      <c r="D10841"/>
      <c r="E10841"/>
      <c r="F10841"/>
      <c r="G10841"/>
      <c r="H10841"/>
      <c r="I10841"/>
      <c r="J10841"/>
      <c r="K10841" s="1"/>
      <c r="L10841" s="2"/>
    </row>
    <row r="10842" spans="1:12" x14ac:dyDescent="0.2">
      <c r="A10842"/>
      <c r="B10842"/>
      <c r="C10842"/>
      <c r="D10842"/>
      <c r="E10842"/>
      <c r="F10842"/>
      <c r="G10842"/>
      <c r="H10842"/>
      <c r="I10842"/>
      <c r="J10842"/>
      <c r="K10842" s="1"/>
      <c r="L10842" s="2"/>
    </row>
    <row r="10843" spans="1:12" x14ac:dyDescent="0.2">
      <c r="A10843"/>
      <c r="B10843"/>
      <c r="C10843"/>
      <c r="D10843"/>
      <c r="E10843"/>
      <c r="F10843"/>
      <c r="G10843"/>
      <c r="H10843"/>
      <c r="I10843"/>
      <c r="J10843"/>
      <c r="K10843" s="1"/>
      <c r="L10843" s="2"/>
    </row>
    <row r="10844" spans="1:12" x14ac:dyDescent="0.2">
      <c r="A10844"/>
      <c r="B10844"/>
      <c r="C10844"/>
      <c r="D10844"/>
      <c r="E10844"/>
      <c r="F10844"/>
      <c r="G10844"/>
      <c r="H10844"/>
      <c r="I10844"/>
      <c r="J10844"/>
      <c r="K10844" s="1"/>
      <c r="L10844" s="2"/>
    </row>
    <row r="10845" spans="1:12" x14ac:dyDescent="0.2">
      <c r="A10845"/>
      <c r="B10845"/>
      <c r="C10845"/>
      <c r="D10845"/>
      <c r="E10845"/>
      <c r="F10845"/>
      <c r="G10845"/>
      <c r="H10845"/>
      <c r="I10845"/>
      <c r="J10845"/>
      <c r="K10845" s="1"/>
      <c r="L10845" s="2"/>
    </row>
    <row r="10846" spans="1:12" x14ac:dyDescent="0.2">
      <c r="A10846"/>
      <c r="B10846"/>
      <c r="C10846"/>
      <c r="D10846"/>
      <c r="E10846"/>
      <c r="F10846"/>
      <c r="G10846"/>
      <c r="H10846"/>
      <c r="I10846"/>
      <c r="J10846"/>
      <c r="K10846" s="1"/>
      <c r="L10846" s="2"/>
    </row>
    <row r="10847" spans="1:12" x14ac:dyDescent="0.2">
      <c r="A10847"/>
      <c r="B10847"/>
      <c r="C10847"/>
      <c r="D10847"/>
      <c r="E10847"/>
      <c r="F10847"/>
      <c r="G10847"/>
      <c r="H10847"/>
      <c r="I10847"/>
      <c r="J10847"/>
      <c r="K10847" s="1"/>
      <c r="L10847" s="2"/>
    </row>
    <row r="10848" spans="1:12" x14ac:dyDescent="0.2">
      <c r="A10848"/>
      <c r="B10848"/>
      <c r="C10848"/>
      <c r="D10848"/>
      <c r="E10848"/>
      <c r="F10848"/>
      <c r="G10848"/>
      <c r="H10848"/>
      <c r="I10848"/>
      <c r="J10848"/>
      <c r="K10848" s="1"/>
      <c r="L10848" s="2"/>
    </row>
    <row r="10849" spans="1:12" x14ac:dyDescent="0.2">
      <c r="A10849"/>
      <c r="B10849"/>
      <c r="C10849"/>
      <c r="D10849"/>
      <c r="E10849"/>
      <c r="F10849"/>
      <c r="G10849"/>
      <c r="H10849"/>
      <c r="I10849"/>
      <c r="J10849"/>
      <c r="K10849" s="1"/>
      <c r="L10849" s="2"/>
    </row>
    <row r="10850" spans="1:12" x14ac:dyDescent="0.2">
      <c r="A10850"/>
      <c r="B10850"/>
      <c r="C10850"/>
      <c r="D10850"/>
      <c r="E10850"/>
      <c r="F10850"/>
      <c r="G10850"/>
      <c r="H10850"/>
      <c r="I10850"/>
      <c r="J10850"/>
      <c r="K10850" s="1"/>
      <c r="L10850" s="2"/>
    </row>
    <row r="10851" spans="1:12" x14ac:dyDescent="0.2">
      <c r="A10851"/>
      <c r="B10851"/>
      <c r="C10851"/>
      <c r="D10851"/>
      <c r="E10851"/>
      <c r="F10851"/>
      <c r="G10851"/>
      <c r="H10851"/>
      <c r="I10851"/>
      <c r="J10851"/>
      <c r="K10851" s="1"/>
      <c r="L10851" s="2"/>
    </row>
    <row r="10852" spans="1:12" x14ac:dyDescent="0.2">
      <c r="A10852"/>
      <c r="B10852"/>
      <c r="C10852"/>
      <c r="D10852"/>
      <c r="E10852"/>
      <c r="F10852"/>
      <c r="G10852"/>
      <c r="H10852"/>
      <c r="I10852"/>
      <c r="J10852"/>
      <c r="K10852" s="1"/>
      <c r="L10852" s="2"/>
    </row>
    <row r="10853" spans="1:12" x14ac:dyDescent="0.2">
      <c r="A10853"/>
      <c r="B10853"/>
      <c r="C10853"/>
      <c r="D10853"/>
      <c r="E10853"/>
      <c r="F10853"/>
      <c r="G10853"/>
      <c r="H10853"/>
      <c r="I10853"/>
      <c r="J10853"/>
      <c r="K10853" s="1"/>
      <c r="L10853" s="2"/>
    </row>
    <row r="10854" spans="1:12" x14ac:dyDescent="0.2">
      <c r="A10854"/>
      <c r="B10854"/>
      <c r="C10854"/>
      <c r="D10854"/>
      <c r="E10854"/>
      <c r="F10854"/>
      <c r="G10854"/>
      <c r="H10854"/>
      <c r="I10854"/>
      <c r="J10854"/>
      <c r="K10854" s="1"/>
      <c r="L10854" s="2"/>
    </row>
    <row r="10855" spans="1:12" x14ac:dyDescent="0.2">
      <c r="A10855"/>
      <c r="B10855"/>
      <c r="C10855"/>
      <c r="D10855"/>
      <c r="E10855"/>
      <c r="F10855"/>
      <c r="G10855"/>
      <c r="H10855"/>
      <c r="I10855"/>
      <c r="J10855"/>
      <c r="K10855" s="1"/>
      <c r="L10855" s="2"/>
    </row>
    <row r="10856" spans="1:12" x14ac:dyDescent="0.2">
      <c r="A10856"/>
      <c r="B10856"/>
      <c r="C10856"/>
      <c r="D10856"/>
      <c r="E10856"/>
      <c r="F10856"/>
      <c r="G10856"/>
      <c r="H10856"/>
      <c r="I10856"/>
      <c r="J10856"/>
      <c r="K10856" s="1"/>
      <c r="L10856" s="2"/>
    </row>
    <row r="10857" spans="1:12" x14ac:dyDescent="0.2">
      <c r="A10857"/>
      <c r="B10857"/>
      <c r="C10857"/>
      <c r="D10857"/>
      <c r="E10857"/>
      <c r="F10857"/>
      <c r="G10857"/>
      <c r="H10857"/>
      <c r="I10857"/>
      <c r="J10857"/>
      <c r="K10857" s="1"/>
      <c r="L10857" s="2"/>
    </row>
    <row r="10858" spans="1:12" x14ac:dyDescent="0.2">
      <c r="A10858"/>
      <c r="B10858"/>
      <c r="C10858"/>
      <c r="D10858"/>
      <c r="E10858"/>
      <c r="F10858"/>
      <c r="G10858"/>
      <c r="H10858"/>
      <c r="I10858"/>
      <c r="J10858"/>
      <c r="K10858" s="1"/>
      <c r="L10858" s="2"/>
    </row>
    <row r="10859" spans="1:12" x14ac:dyDescent="0.2">
      <c r="A10859"/>
      <c r="B10859"/>
      <c r="C10859"/>
      <c r="D10859"/>
      <c r="E10859"/>
      <c r="F10859"/>
      <c r="G10859"/>
      <c r="H10859"/>
      <c r="I10859"/>
      <c r="J10859"/>
      <c r="K10859" s="1"/>
      <c r="L10859" s="2"/>
    </row>
    <row r="10860" spans="1:12" x14ac:dyDescent="0.2">
      <c r="A10860"/>
      <c r="B10860"/>
      <c r="C10860"/>
      <c r="D10860"/>
      <c r="E10860"/>
      <c r="F10860"/>
      <c r="G10860"/>
      <c r="H10860"/>
      <c r="I10860"/>
      <c r="J10860"/>
      <c r="K10860" s="1"/>
      <c r="L10860" s="2"/>
    </row>
    <row r="10861" spans="1:12" x14ac:dyDescent="0.2">
      <c r="A10861"/>
      <c r="B10861"/>
      <c r="C10861"/>
      <c r="D10861"/>
      <c r="E10861"/>
      <c r="F10861"/>
      <c r="G10861"/>
      <c r="H10861"/>
      <c r="I10861"/>
      <c r="J10861"/>
      <c r="K10861" s="1"/>
      <c r="L10861" s="2"/>
    </row>
    <row r="10862" spans="1:12" x14ac:dyDescent="0.2">
      <c r="A10862"/>
      <c r="B10862"/>
      <c r="C10862"/>
      <c r="D10862"/>
      <c r="E10862"/>
      <c r="F10862"/>
      <c r="G10862"/>
      <c r="H10862"/>
      <c r="I10862"/>
      <c r="J10862"/>
      <c r="K10862" s="1"/>
      <c r="L10862" s="2"/>
    </row>
    <row r="10863" spans="1:12" x14ac:dyDescent="0.2">
      <c r="A10863"/>
      <c r="B10863"/>
      <c r="C10863"/>
      <c r="D10863"/>
      <c r="E10863"/>
      <c r="F10863"/>
      <c r="G10863"/>
      <c r="H10863"/>
      <c r="I10863"/>
      <c r="J10863"/>
      <c r="K10863" s="1"/>
      <c r="L10863" s="2"/>
    </row>
    <row r="10864" spans="1:12" x14ac:dyDescent="0.2">
      <c r="A10864"/>
      <c r="B10864"/>
      <c r="C10864"/>
      <c r="D10864"/>
      <c r="E10864"/>
      <c r="F10864"/>
      <c r="G10864"/>
      <c r="H10864"/>
      <c r="I10864"/>
      <c r="J10864"/>
      <c r="K10864" s="1"/>
      <c r="L10864" s="2"/>
    </row>
    <row r="10865" spans="1:12" x14ac:dyDescent="0.2">
      <c r="A10865"/>
      <c r="B10865"/>
      <c r="C10865"/>
      <c r="D10865"/>
      <c r="E10865"/>
      <c r="F10865"/>
      <c r="G10865"/>
      <c r="H10865"/>
      <c r="I10865"/>
      <c r="J10865"/>
      <c r="K10865" s="1"/>
      <c r="L10865" s="2"/>
    </row>
    <row r="10866" spans="1:12" x14ac:dyDescent="0.2">
      <c r="A10866"/>
      <c r="B10866"/>
      <c r="C10866"/>
      <c r="D10866"/>
      <c r="E10866"/>
      <c r="F10866"/>
      <c r="G10866"/>
      <c r="H10866"/>
      <c r="I10866"/>
      <c r="J10866"/>
      <c r="K10866" s="1"/>
      <c r="L10866" s="2"/>
    </row>
    <row r="10867" spans="1:12" x14ac:dyDescent="0.2">
      <c r="A10867"/>
      <c r="B10867"/>
      <c r="C10867"/>
      <c r="D10867"/>
      <c r="E10867"/>
      <c r="F10867"/>
      <c r="G10867"/>
      <c r="H10867"/>
      <c r="I10867"/>
      <c r="J10867"/>
      <c r="K10867" s="1"/>
      <c r="L10867" s="2"/>
    </row>
    <row r="10868" spans="1:12" x14ac:dyDescent="0.2">
      <c r="A10868"/>
      <c r="B10868"/>
      <c r="C10868"/>
      <c r="D10868"/>
      <c r="E10868"/>
      <c r="F10868"/>
      <c r="G10868"/>
      <c r="H10868"/>
      <c r="I10868"/>
      <c r="J10868"/>
      <c r="K10868" s="1"/>
      <c r="L10868" s="2"/>
    </row>
    <row r="10869" spans="1:12" x14ac:dyDescent="0.2">
      <c r="A10869"/>
      <c r="B10869"/>
      <c r="C10869"/>
      <c r="D10869"/>
      <c r="E10869"/>
      <c r="F10869"/>
      <c r="G10869"/>
      <c r="H10869"/>
      <c r="I10869"/>
      <c r="J10869"/>
      <c r="K10869" s="1"/>
      <c r="L10869" s="2"/>
    </row>
    <row r="10870" spans="1:12" x14ac:dyDescent="0.2">
      <c r="A10870"/>
      <c r="B10870"/>
      <c r="C10870"/>
      <c r="D10870"/>
      <c r="E10870"/>
      <c r="F10870"/>
      <c r="G10870"/>
      <c r="H10870"/>
      <c r="I10870"/>
      <c r="J10870"/>
      <c r="K10870" s="1"/>
      <c r="L10870" s="2"/>
    </row>
    <row r="10871" spans="1:12" x14ac:dyDescent="0.2">
      <c r="A10871"/>
      <c r="B10871"/>
      <c r="C10871"/>
      <c r="D10871"/>
      <c r="E10871"/>
      <c r="F10871"/>
      <c r="G10871"/>
      <c r="H10871"/>
      <c r="I10871"/>
      <c r="J10871"/>
      <c r="K10871" s="1"/>
      <c r="L10871" s="2"/>
    </row>
    <row r="10872" spans="1:12" x14ac:dyDescent="0.2">
      <c r="A10872"/>
      <c r="B10872"/>
      <c r="C10872"/>
      <c r="D10872"/>
      <c r="E10872"/>
      <c r="F10872"/>
      <c r="G10872"/>
      <c r="H10872"/>
      <c r="I10872"/>
      <c r="J10872"/>
      <c r="K10872" s="1"/>
      <c r="L10872" s="2"/>
    </row>
    <row r="10873" spans="1:12" x14ac:dyDescent="0.2">
      <c r="A10873"/>
      <c r="B10873"/>
      <c r="C10873"/>
      <c r="D10873"/>
      <c r="E10873"/>
      <c r="F10873"/>
      <c r="G10873"/>
      <c r="H10873"/>
      <c r="I10873"/>
      <c r="J10873"/>
      <c r="K10873" s="1"/>
      <c r="L10873" s="2"/>
    </row>
    <row r="10874" spans="1:12" x14ac:dyDescent="0.2">
      <c r="A10874"/>
      <c r="B10874"/>
      <c r="C10874"/>
      <c r="D10874"/>
      <c r="E10874"/>
      <c r="F10874"/>
      <c r="G10874"/>
      <c r="H10874"/>
      <c r="I10874"/>
      <c r="J10874"/>
      <c r="K10874" s="1"/>
      <c r="L10874" s="2"/>
    </row>
    <row r="10875" spans="1:12" x14ac:dyDescent="0.2">
      <c r="A10875"/>
      <c r="B10875"/>
      <c r="C10875"/>
      <c r="D10875"/>
      <c r="E10875"/>
      <c r="F10875"/>
      <c r="G10875"/>
      <c r="H10875"/>
      <c r="I10875"/>
      <c r="J10875"/>
      <c r="K10875" s="1"/>
      <c r="L10875" s="2"/>
    </row>
    <row r="10876" spans="1:12" x14ac:dyDescent="0.2">
      <c r="A10876"/>
      <c r="B10876"/>
      <c r="C10876"/>
      <c r="D10876"/>
      <c r="E10876"/>
      <c r="F10876"/>
      <c r="G10876"/>
      <c r="H10876"/>
      <c r="I10876"/>
      <c r="J10876"/>
      <c r="K10876" s="1"/>
      <c r="L10876" s="2"/>
    </row>
    <row r="10877" spans="1:12" x14ac:dyDescent="0.2">
      <c r="A10877"/>
      <c r="B10877"/>
      <c r="C10877"/>
      <c r="D10877"/>
      <c r="E10877"/>
      <c r="F10877"/>
      <c r="G10877"/>
      <c r="H10877"/>
      <c r="I10877"/>
      <c r="J10877"/>
      <c r="K10877" s="1"/>
      <c r="L10877" s="2"/>
    </row>
    <row r="10878" spans="1:12" x14ac:dyDescent="0.2">
      <c r="A10878"/>
      <c r="B10878"/>
      <c r="C10878"/>
      <c r="D10878"/>
      <c r="E10878"/>
      <c r="F10878"/>
      <c r="G10878"/>
      <c r="H10878"/>
      <c r="I10878"/>
      <c r="J10878"/>
      <c r="K10878" s="1"/>
      <c r="L10878" s="2"/>
    </row>
    <row r="10879" spans="1:12" x14ac:dyDescent="0.2">
      <c r="A10879"/>
      <c r="B10879"/>
      <c r="C10879"/>
      <c r="D10879"/>
      <c r="E10879"/>
      <c r="F10879"/>
      <c r="G10879"/>
      <c r="H10879"/>
      <c r="I10879"/>
      <c r="J10879"/>
      <c r="K10879" s="1"/>
      <c r="L10879" s="2"/>
    </row>
    <row r="10880" spans="1:12" x14ac:dyDescent="0.2">
      <c r="A10880"/>
      <c r="B10880"/>
      <c r="C10880"/>
      <c r="D10880"/>
      <c r="E10880"/>
      <c r="F10880"/>
      <c r="G10880"/>
      <c r="H10880"/>
      <c r="I10880"/>
      <c r="J10880"/>
      <c r="K10880" s="1"/>
      <c r="L10880" s="2"/>
    </row>
    <row r="10881" spans="1:12" x14ac:dyDescent="0.2">
      <c r="A10881"/>
      <c r="B10881"/>
      <c r="C10881"/>
      <c r="D10881"/>
      <c r="E10881"/>
      <c r="F10881"/>
      <c r="G10881"/>
      <c r="H10881"/>
      <c r="I10881"/>
      <c r="J10881"/>
      <c r="K10881" s="1"/>
      <c r="L10881" s="2"/>
    </row>
    <row r="10882" spans="1:12" x14ac:dyDescent="0.2">
      <c r="A10882"/>
      <c r="B10882"/>
      <c r="C10882"/>
      <c r="D10882"/>
      <c r="E10882"/>
      <c r="F10882"/>
      <c r="G10882"/>
      <c r="H10882"/>
      <c r="I10882"/>
      <c r="J10882"/>
      <c r="K10882" s="1"/>
      <c r="L10882" s="2"/>
    </row>
    <row r="10883" spans="1:12" x14ac:dyDescent="0.2">
      <c r="A10883"/>
      <c r="B10883"/>
      <c r="C10883"/>
      <c r="D10883"/>
      <c r="E10883"/>
      <c r="F10883"/>
      <c r="G10883"/>
      <c r="H10883"/>
      <c r="I10883"/>
      <c r="J10883"/>
      <c r="K10883" s="1"/>
      <c r="L10883" s="2"/>
    </row>
    <row r="10884" spans="1:12" x14ac:dyDescent="0.2">
      <c r="A10884"/>
      <c r="B10884"/>
      <c r="C10884"/>
      <c r="D10884"/>
      <c r="E10884"/>
      <c r="F10884"/>
      <c r="G10884"/>
      <c r="H10884"/>
      <c r="I10884"/>
      <c r="J10884"/>
      <c r="K10884" s="1"/>
      <c r="L10884" s="2"/>
    </row>
    <row r="10885" spans="1:12" x14ac:dyDescent="0.2">
      <c r="A10885"/>
      <c r="B10885"/>
      <c r="C10885"/>
      <c r="D10885"/>
      <c r="E10885"/>
      <c r="F10885"/>
      <c r="G10885"/>
      <c r="H10885"/>
      <c r="I10885"/>
      <c r="J10885"/>
      <c r="K10885" s="1"/>
      <c r="L10885" s="2"/>
    </row>
    <row r="10886" spans="1:12" x14ac:dyDescent="0.2">
      <c r="A10886"/>
      <c r="B10886"/>
      <c r="C10886"/>
      <c r="D10886"/>
      <c r="E10886"/>
      <c r="F10886"/>
      <c r="G10886"/>
      <c r="H10886"/>
      <c r="I10886"/>
      <c r="J10886"/>
      <c r="K10886" s="1"/>
      <c r="L10886" s="2"/>
    </row>
    <row r="10887" spans="1:12" x14ac:dyDescent="0.2">
      <c r="A10887"/>
      <c r="B10887"/>
      <c r="C10887"/>
      <c r="D10887"/>
      <c r="E10887"/>
      <c r="F10887"/>
      <c r="G10887"/>
      <c r="H10887"/>
      <c r="I10887"/>
      <c r="J10887"/>
      <c r="K10887" s="1"/>
      <c r="L10887" s="2"/>
    </row>
    <row r="10888" spans="1:12" x14ac:dyDescent="0.2">
      <c r="A10888"/>
      <c r="B10888"/>
      <c r="C10888"/>
      <c r="D10888"/>
      <c r="E10888"/>
      <c r="F10888"/>
      <c r="G10888"/>
      <c r="H10888"/>
      <c r="I10888"/>
      <c r="J10888"/>
      <c r="K10888" s="1"/>
      <c r="L10888" s="2"/>
    </row>
    <row r="10889" spans="1:12" x14ac:dyDescent="0.2">
      <c r="A10889"/>
      <c r="B10889"/>
      <c r="C10889"/>
      <c r="D10889"/>
      <c r="E10889"/>
      <c r="F10889"/>
      <c r="G10889"/>
      <c r="H10889"/>
      <c r="I10889"/>
      <c r="J10889"/>
      <c r="K10889" s="1"/>
      <c r="L10889" s="2"/>
    </row>
    <row r="10890" spans="1:12" x14ac:dyDescent="0.2">
      <c r="A10890"/>
      <c r="B10890"/>
      <c r="C10890"/>
      <c r="D10890"/>
      <c r="E10890"/>
      <c r="F10890"/>
      <c r="G10890"/>
      <c r="H10890"/>
      <c r="I10890"/>
      <c r="J10890"/>
      <c r="K10890" s="1"/>
      <c r="L10890" s="2"/>
    </row>
    <row r="10891" spans="1:12" x14ac:dyDescent="0.2">
      <c r="A10891"/>
      <c r="B10891"/>
      <c r="C10891"/>
      <c r="D10891"/>
      <c r="E10891"/>
      <c r="F10891"/>
      <c r="G10891"/>
      <c r="H10891"/>
      <c r="I10891"/>
      <c r="J10891"/>
      <c r="K10891" s="1"/>
      <c r="L10891" s="2"/>
    </row>
    <row r="10892" spans="1:12" x14ac:dyDescent="0.2">
      <c r="A10892"/>
      <c r="B10892"/>
      <c r="C10892"/>
      <c r="D10892"/>
      <c r="E10892"/>
      <c r="F10892"/>
      <c r="G10892"/>
      <c r="H10892"/>
      <c r="I10892"/>
      <c r="J10892"/>
      <c r="K10892" s="1"/>
      <c r="L10892" s="2"/>
    </row>
    <row r="10893" spans="1:12" x14ac:dyDescent="0.2">
      <c r="A10893"/>
      <c r="B10893"/>
      <c r="C10893"/>
      <c r="D10893"/>
      <c r="E10893"/>
      <c r="F10893"/>
      <c r="G10893"/>
      <c r="H10893"/>
      <c r="I10893"/>
      <c r="J10893"/>
      <c r="K10893" s="1"/>
      <c r="L10893" s="2"/>
    </row>
    <row r="10894" spans="1:12" x14ac:dyDescent="0.2">
      <c r="A10894"/>
      <c r="B10894"/>
      <c r="C10894"/>
      <c r="D10894"/>
      <c r="E10894"/>
      <c r="F10894"/>
      <c r="G10894"/>
      <c r="H10894"/>
      <c r="I10894"/>
      <c r="J10894"/>
      <c r="K10894" s="1"/>
      <c r="L10894" s="2"/>
    </row>
    <row r="10895" spans="1:12" x14ac:dyDescent="0.2">
      <c r="A10895"/>
      <c r="B10895"/>
      <c r="C10895"/>
      <c r="D10895"/>
      <c r="E10895"/>
      <c r="F10895"/>
      <c r="G10895"/>
      <c r="H10895"/>
      <c r="I10895"/>
      <c r="J10895"/>
      <c r="K10895" s="1"/>
      <c r="L10895" s="2"/>
    </row>
    <row r="10896" spans="1:12" x14ac:dyDescent="0.2">
      <c r="A10896"/>
      <c r="B10896"/>
      <c r="C10896"/>
      <c r="D10896"/>
      <c r="E10896"/>
      <c r="F10896"/>
      <c r="G10896"/>
      <c r="H10896"/>
      <c r="I10896"/>
      <c r="J10896"/>
      <c r="K10896" s="1"/>
      <c r="L10896" s="2"/>
    </row>
    <row r="10897" spans="1:12" x14ac:dyDescent="0.2">
      <c r="A10897"/>
      <c r="B10897"/>
      <c r="C10897"/>
      <c r="D10897"/>
      <c r="E10897"/>
      <c r="F10897"/>
      <c r="G10897"/>
      <c r="H10897"/>
      <c r="I10897"/>
      <c r="J10897"/>
      <c r="K10897" s="1"/>
      <c r="L10897" s="2"/>
    </row>
    <row r="10898" spans="1:12" x14ac:dyDescent="0.2">
      <c r="A10898"/>
      <c r="B10898"/>
      <c r="C10898"/>
      <c r="D10898"/>
      <c r="E10898"/>
      <c r="F10898"/>
      <c r="G10898"/>
      <c r="H10898"/>
      <c r="I10898"/>
      <c r="J10898"/>
      <c r="K10898" s="1"/>
      <c r="L10898" s="2"/>
    </row>
    <row r="10899" spans="1:12" x14ac:dyDescent="0.2">
      <c r="A10899"/>
      <c r="B10899"/>
      <c r="C10899"/>
      <c r="D10899"/>
      <c r="E10899"/>
      <c r="F10899"/>
      <c r="G10899"/>
      <c r="H10899"/>
      <c r="I10899"/>
      <c r="J10899"/>
      <c r="K10899" s="1"/>
      <c r="L10899" s="2"/>
    </row>
    <row r="10900" spans="1:12" x14ac:dyDescent="0.2">
      <c r="A10900"/>
      <c r="B10900"/>
      <c r="C10900"/>
      <c r="D10900"/>
      <c r="E10900"/>
      <c r="F10900"/>
      <c r="G10900"/>
      <c r="H10900"/>
      <c r="I10900"/>
      <c r="J10900"/>
      <c r="K10900" s="1"/>
      <c r="L10900" s="2"/>
    </row>
    <row r="10901" spans="1:12" x14ac:dyDescent="0.2">
      <c r="A10901"/>
      <c r="B10901"/>
      <c r="C10901"/>
      <c r="D10901"/>
      <c r="E10901"/>
      <c r="F10901"/>
      <c r="G10901"/>
      <c r="H10901"/>
      <c r="I10901"/>
      <c r="J10901"/>
      <c r="K10901" s="1"/>
      <c r="L10901" s="2"/>
    </row>
    <row r="10902" spans="1:12" x14ac:dyDescent="0.2">
      <c r="A10902"/>
      <c r="B10902"/>
      <c r="C10902"/>
      <c r="D10902"/>
      <c r="E10902"/>
      <c r="F10902"/>
      <c r="G10902"/>
      <c r="H10902"/>
      <c r="I10902"/>
      <c r="J10902"/>
      <c r="K10902" s="1"/>
      <c r="L10902" s="2"/>
    </row>
    <row r="10903" spans="1:12" x14ac:dyDescent="0.2">
      <c r="A10903"/>
      <c r="B10903"/>
      <c r="C10903"/>
      <c r="D10903"/>
      <c r="E10903"/>
      <c r="F10903"/>
      <c r="G10903"/>
      <c r="H10903"/>
      <c r="I10903"/>
      <c r="J10903"/>
      <c r="K10903" s="1"/>
      <c r="L10903" s="2"/>
    </row>
    <row r="10904" spans="1:12" x14ac:dyDescent="0.2">
      <c r="A10904"/>
      <c r="B10904"/>
      <c r="C10904"/>
      <c r="D10904"/>
      <c r="E10904"/>
      <c r="F10904"/>
      <c r="G10904"/>
      <c r="H10904"/>
      <c r="I10904"/>
      <c r="J10904"/>
      <c r="K10904" s="1"/>
      <c r="L10904" s="2"/>
    </row>
    <row r="10905" spans="1:12" x14ac:dyDescent="0.2">
      <c r="A10905"/>
      <c r="B10905"/>
      <c r="C10905"/>
      <c r="D10905"/>
      <c r="E10905"/>
      <c r="F10905"/>
      <c r="G10905"/>
      <c r="H10905"/>
      <c r="I10905"/>
      <c r="J10905"/>
      <c r="K10905" s="1"/>
      <c r="L10905" s="2"/>
    </row>
    <row r="10906" spans="1:12" x14ac:dyDescent="0.2">
      <c r="A10906"/>
      <c r="B10906"/>
      <c r="C10906"/>
      <c r="D10906"/>
      <c r="E10906"/>
      <c r="F10906"/>
      <c r="G10906"/>
      <c r="H10906"/>
      <c r="I10906"/>
      <c r="J10906"/>
      <c r="K10906" s="1"/>
      <c r="L10906" s="2"/>
    </row>
    <row r="10907" spans="1:12" x14ac:dyDescent="0.2">
      <c r="A10907"/>
      <c r="B10907"/>
      <c r="C10907"/>
      <c r="D10907"/>
      <c r="E10907"/>
      <c r="F10907"/>
      <c r="G10907"/>
      <c r="H10907"/>
      <c r="I10907"/>
      <c r="J10907"/>
      <c r="K10907" s="1"/>
      <c r="L10907" s="2"/>
    </row>
    <row r="10908" spans="1:12" x14ac:dyDescent="0.2">
      <c r="A10908"/>
      <c r="B10908"/>
      <c r="C10908"/>
      <c r="D10908"/>
      <c r="E10908"/>
      <c r="F10908"/>
      <c r="G10908"/>
      <c r="H10908"/>
      <c r="I10908"/>
      <c r="J10908"/>
      <c r="K10908" s="1"/>
      <c r="L10908" s="2"/>
    </row>
    <row r="10909" spans="1:12" x14ac:dyDescent="0.2">
      <c r="A10909"/>
      <c r="B10909"/>
      <c r="C10909"/>
      <c r="D10909"/>
      <c r="E10909"/>
      <c r="F10909"/>
      <c r="G10909"/>
      <c r="H10909"/>
      <c r="I10909"/>
      <c r="J10909"/>
      <c r="K10909" s="1"/>
      <c r="L10909" s="2"/>
    </row>
    <row r="10910" spans="1:12" x14ac:dyDescent="0.2">
      <c r="A10910"/>
      <c r="B10910"/>
      <c r="C10910"/>
      <c r="D10910"/>
      <c r="E10910"/>
      <c r="F10910"/>
      <c r="G10910"/>
      <c r="H10910"/>
      <c r="I10910"/>
      <c r="J10910"/>
      <c r="K10910" s="1"/>
      <c r="L10910" s="2"/>
    </row>
    <row r="10911" spans="1:12" x14ac:dyDescent="0.2">
      <c r="A10911"/>
      <c r="B10911"/>
      <c r="C10911"/>
      <c r="D10911"/>
      <c r="E10911"/>
      <c r="F10911"/>
      <c r="G10911"/>
      <c r="H10911"/>
      <c r="I10911"/>
      <c r="J10911"/>
      <c r="K10911" s="1"/>
      <c r="L10911" s="2"/>
    </row>
    <row r="10912" spans="1:12" x14ac:dyDescent="0.2">
      <c r="A10912"/>
      <c r="B10912"/>
      <c r="C10912"/>
      <c r="D10912"/>
      <c r="E10912"/>
      <c r="F10912"/>
      <c r="G10912"/>
      <c r="H10912"/>
      <c r="I10912"/>
      <c r="J10912"/>
      <c r="K10912" s="1"/>
      <c r="L10912" s="2"/>
    </row>
    <row r="10913" spans="1:12" x14ac:dyDescent="0.2">
      <c r="A10913"/>
      <c r="B10913"/>
      <c r="C10913"/>
      <c r="D10913"/>
      <c r="E10913"/>
      <c r="F10913"/>
      <c r="G10913"/>
      <c r="H10913"/>
      <c r="I10913"/>
      <c r="J10913"/>
      <c r="K10913" s="1"/>
      <c r="L10913" s="2"/>
    </row>
    <row r="10914" spans="1:12" x14ac:dyDescent="0.2">
      <c r="A10914"/>
      <c r="B10914"/>
      <c r="C10914"/>
      <c r="D10914"/>
      <c r="E10914"/>
      <c r="F10914"/>
      <c r="G10914"/>
      <c r="H10914"/>
      <c r="I10914"/>
      <c r="J10914"/>
      <c r="K10914" s="1"/>
      <c r="L10914" s="2"/>
    </row>
    <row r="10915" spans="1:12" x14ac:dyDescent="0.2">
      <c r="A10915"/>
      <c r="B10915"/>
      <c r="C10915"/>
      <c r="D10915"/>
      <c r="E10915"/>
      <c r="F10915"/>
      <c r="G10915"/>
      <c r="H10915"/>
      <c r="I10915"/>
      <c r="J10915"/>
      <c r="K10915" s="1"/>
      <c r="L10915" s="2"/>
    </row>
    <row r="10916" spans="1:12" x14ac:dyDescent="0.2">
      <c r="A10916"/>
      <c r="B10916"/>
      <c r="C10916"/>
      <c r="D10916"/>
      <c r="E10916"/>
      <c r="F10916"/>
      <c r="G10916"/>
      <c r="H10916"/>
      <c r="I10916"/>
      <c r="J10916"/>
      <c r="K10916" s="1"/>
      <c r="L10916" s="2"/>
    </row>
    <row r="10917" spans="1:12" x14ac:dyDescent="0.2">
      <c r="A10917"/>
      <c r="B10917"/>
      <c r="C10917"/>
      <c r="D10917"/>
      <c r="E10917"/>
      <c r="F10917"/>
      <c r="G10917"/>
      <c r="H10917"/>
      <c r="I10917"/>
      <c r="J10917"/>
      <c r="K10917" s="1"/>
      <c r="L10917" s="2"/>
    </row>
    <row r="10918" spans="1:12" x14ac:dyDescent="0.2">
      <c r="A10918"/>
      <c r="B10918"/>
      <c r="C10918"/>
      <c r="D10918"/>
      <c r="E10918"/>
      <c r="F10918"/>
      <c r="G10918"/>
      <c r="H10918"/>
      <c r="I10918"/>
      <c r="J10918"/>
      <c r="K10918" s="1"/>
      <c r="L10918" s="2"/>
    </row>
    <row r="10919" spans="1:12" x14ac:dyDescent="0.2">
      <c r="A10919"/>
      <c r="B10919"/>
      <c r="C10919"/>
      <c r="D10919"/>
      <c r="E10919"/>
      <c r="F10919"/>
      <c r="G10919"/>
      <c r="H10919"/>
      <c r="I10919"/>
      <c r="J10919"/>
      <c r="K10919" s="1"/>
      <c r="L10919" s="2"/>
    </row>
    <row r="10920" spans="1:12" x14ac:dyDescent="0.2">
      <c r="A10920"/>
      <c r="B10920"/>
      <c r="C10920"/>
      <c r="D10920"/>
      <c r="E10920"/>
      <c r="F10920"/>
      <c r="G10920"/>
      <c r="H10920"/>
      <c r="I10920"/>
      <c r="J10920"/>
      <c r="K10920" s="1"/>
      <c r="L10920" s="2"/>
    </row>
    <row r="10921" spans="1:12" x14ac:dyDescent="0.2">
      <c r="A10921"/>
      <c r="B10921"/>
      <c r="C10921"/>
      <c r="D10921"/>
      <c r="E10921"/>
      <c r="F10921"/>
      <c r="G10921"/>
      <c r="H10921"/>
      <c r="I10921"/>
      <c r="J10921"/>
      <c r="K10921" s="1"/>
      <c r="L10921" s="2"/>
    </row>
    <row r="10922" spans="1:12" x14ac:dyDescent="0.2">
      <c r="A10922"/>
      <c r="B10922"/>
      <c r="C10922"/>
      <c r="D10922"/>
      <c r="E10922"/>
      <c r="F10922"/>
      <c r="G10922"/>
      <c r="H10922"/>
      <c r="I10922"/>
      <c r="J10922"/>
      <c r="K10922" s="1"/>
      <c r="L10922" s="2"/>
    </row>
    <row r="10923" spans="1:12" x14ac:dyDescent="0.2">
      <c r="A10923"/>
      <c r="B10923"/>
      <c r="C10923"/>
      <c r="D10923"/>
      <c r="E10923"/>
      <c r="F10923"/>
      <c r="G10923"/>
      <c r="H10923"/>
      <c r="I10923"/>
      <c r="J10923"/>
      <c r="K10923" s="1"/>
      <c r="L10923" s="2"/>
    </row>
    <row r="10924" spans="1:12" x14ac:dyDescent="0.2">
      <c r="A10924"/>
      <c r="B10924"/>
      <c r="C10924"/>
      <c r="D10924"/>
      <c r="E10924"/>
      <c r="F10924"/>
      <c r="G10924"/>
      <c r="H10924"/>
      <c r="I10924"/>
      <c r="J10924"/>
      <c r="K10924" s="1"/>
      <c r="L10924" s="2"/>
    </row>
    <row r="10925" spans="1:12" x14ac:dyDescent="0.2">
      <c r="A10925"/>
      <c r="B10925"/>
      <c r="C10925"/>
      <c r="D10925"/>
      <c r="E10925"/>
      <c r="F10925"/>
      <c r="G10925"/>
      <c r="H10925"/>
      <c r="I10925"/>
      <c r="J10925"/>
      <c r="K10925" s="1"/>
      <c r="L10925" s="2"/>
    </row>
    <row r="10926" spans="1:12" x14ac:dyDescent="0.2">
      <c r="A10926"/>
      <c r="B10926"/>
      <c r="C10926"/>
      <c r="D10926"/>
      <c r="E10926"/>
      <c r="F10926"/>
      <c r="G10926"/>
      <c r="H10926"/>
      <c r="I10926"/>
      <c r="J10926"/>
      <c r="K10926" s="1"/>
      <c r="L10926" s="2"/>
    </row>
    <row r="10927" spans="1:12" x14ac:dyDescent="0.2">
      <c r="A10927"/>
      <c r="B10927"/>
      <c r="C10927"/>
      <c r="D10927"/>
      <c r="E10927"/>
      <c r="F10927"/>
      <c r="G10927"/>
      <c r="H10927"/>
      <c r="I10927"/>
      <c r="J10927"/>
      <c r="K10927" s="1"/>
      <c r="L10927" s="2"/>
    </row>
    <row r="10928" spans="1:12" x14ac:dyDescent="0.2">
      <c r="A10928"/>
      <c r="B10928"/>
      <c r="C10928"/>
      <c r="D10928"/>
      <c r="E10928"/>
      <c r="F10928"/>
      <c r="G10928"/>
      <c r="H10928"/>
      <c r="I10928"/>
      <c r="J10928"/>
      <c r="K10928" s="1"/>
      <c r="L10928" s="2"/>
    </row>
    <row r="10929" spans="1:12" x14ac:dyDescent="0.2">
      <c r="A10929"/>
      <c r="B10929"/>
      <c r="C10929"/>
      <c r="D10929"/>
      <c r="E10929"/>
      <c r="F10929"/>
      <c r="G10929"/>
      <c r="H10929"/>
      <c r="I10929"/>
      <c r="J10929"/>
      <c r="K10929" s="1"/>
      <c r="L10929" s="2"/>
    </row>
    <row r="10930" spans="1:12" x14ac:dyDescent="0.2">
      <c r="A10930"/>
      <c r="B10930"/>
      <c r="C10930"/>
      <c r="D10930"/>
      <c r="E10930"/>
      <c r="F10930"/>
      <c r="G10930"/>
      <c r="H10930"/>
      <c r="I10930"/>
      <c r="J10930"/>
      <c r="K10930" s="1"/>
      <c r="L10930" s="2"/>
    </row>
    <row r="10931" spans="1:12" x14ac:dyDescent="0.2">
      <c r="A10931"/>
      <c r="B10931"/>
      <c r="C10931"/>
      <c r="D10931"/>
      <c r="E10931"/>
      <c r="F10931"/>
      <c r="G10931"/>
      <c r="H10931"/>
      <c r="I10931"/>
      <c r="J10931"/>
      <c r="K10931" s="1"/>
      <c r="L10931" s="2"/>
    </row>
    <row r="10932" spans="1:12" x14ac:dyDescent="0.2">
      <c r="A10932"/>
      <c r="B10932"/>
      <c r="C10932"/>
      <c r="D10932"/>
      <c r="E10932"/>
      <c r="F10932"/>
      <c r="G10932"/>
      <c r="H10932"/>
      <c r="I10932"/>
      <c r="J10932"/>
      <c r="K10932" s="1"/>
      <c r="L10932" s="2"/>
    </row>
    <row r="10933" spans="1:12" x14ac:dyDescent="0.2">
      <c r="A10933"/>
      <c r="B10933"/>
      <c r="C10933"/>
      <c r="D10933"/>
      <c r="E10933"/>
      <c r="F10933"/>
      <c r="G10933"/>
      <c r="H10933"/>
      <c r="I10933"/>
      <c r="J10933"/>
      <c r="K10933" s="1"/>
      <c r="L10933" s="2"/>
    </row>
    <row r="10934" spans="1:12" x14ac:dyDescent="0.2">
      <c r="A10934"/>
      <c r="B10934"/>
      <c r="C10934"/>
      <c r="D10934"/>
      <c r="E10934"/>
      <c r="F10934"/>
      <c r="G10934"/>
      <c r="H10934"/>
      <c r="I10934"/>
      <c r="J10934"/>
      <c r="K10934" s="1"/>
      <c r="L10934" s="2"/>
    </row>
    <row r="10935" spans="1:12" x14ac:dyDescent="0.2">
      <c r="A10935"/>
      <c r="B10935"/>
      <c r="C10935"/>
      <c r="D10935"/>
      <c r="E10935"/>
      <c r="F10935"/>
      <c r="G10935"/>
      <c r="H10935"/>
      <c r="I10935"/>
      <c r="J10935"/>
      <c r="K10935" s="1"/>
      <c r="L10935" s="2"/>
    </row>
    <row r="10936" spans="1:12" x14ac:dyDescent="0.2">
      <c r="A10936"/>
      <c r="B10936"/>
      <c r="C10936"/>
      <c r="D10936"/>
      <c r="E10936"/>
      <c r="F10936"/>
      <c r="G10936"/>
      <c r="H10936"/>
      <c r="I10936"/>
      <c r="J10936"/>
      <c r="K10936" s="1"/>
      <c r="L10936" s="2"/>
    </row>
    <row r="10937" spans="1:12" x14ac:dyDescent="0.2">
      <c r="A10937"/>
      <c r="B10937"/>
      <c r="C10937"/>
      <c r="D10937"/>
      <c r="E10937"/>
      <c r="F10937"/>
      <c r="G10937"/>
      <c r="H10937"/>
      <c r="I10937"/>
      <c r="J10937"/>
      <c r="K10937" s="1"/>
      <c r="L10937" s="2"/>
    </row>
    <row r="10938" spans="1:12" x14ac:dyDescent="0.2">
      <c r="A10938"/>
      <c r="B10938"/>
      <c r="C10938"/>
      <c r="D10938"/>
      <c r="E10938"/>
      <c r="F10938"/>
      <c r="G10938"/>
      <c r="H10938"/>
      <c r="I10938"/>
      <c r="J10938"/>
      <c r="K10938" s="1"/>
      <c r="L10938" s="2"/>
    </row>
    <row r="10939" spans="1:12" x14ac:dyDescent="0.2">
      <c r="A10939"/>
      <c r="B10939"/>
      <c r="C10939"/>
      <c r="D10939"/>
      <c r="E10939"/>
      <c r="F10939"/>
      <c r="G10939"/>
      <c r="H10939"/>
      <c r="I10939"/>
      <c r="J10939"/>
      <c r="K10939" s="1"/>
      <c r="L10939" s="2"/>
    </row>
    <row r="10940" spans="1:12" x14ac:dyDescent="0.2">
      <c r="A10940"/>
      <c r="B10940"/>
      <c r="C10940"/>
      <c r="D10940"/>
      <c r="E10940"/>
      <c r="F10940"/>
      <c r="G10940"/>
      <c r="H10940"/>
      <c r="I10940"/>
      <c r="J10940"/>
      <c r="K10940" s="1"/>
      <c r="L10940" s="2"/>
    </row>
    <row r="10941" spans="1:12" x14ac:dyDescent="0.2">
      <c r="A10941"/>
      <c r="B10941"/>
      <c r="C10941"/>
      <c r="D10941"/>
      <c r="E10941"/>
      <c r="F10941"/>
      <c r="G10941"/>
      <c r="H10941"/>
      <c r="I10941"/>
      <c r="J10941"/>
      <c r="K10941" s="1"/>
      <c r="L10941" s="2"/>
    </row>
    <row r="10942" spans="1:12" x14ac:dyDescent="0.2">
      <c r="A10942"/>
      <c r="B10942"/>
      <c r="C10942"/>
      <c r="D10942"/>
      <c r="E10942"/>
      <c r="F10942"/>
      <c r="G10942"/>
      <c r="H10942"/>
      <c r="I10942"/>
      <c r="J10942"/>
      <c r="K10942" s="1"/>
      <c r="L10942" s="2"/>
    </row>
    <row r="10943" spans="1:12" x14ac:dyDescent="0.2">
      <c r="A10943"/>
      <c r="B10943"/>
      <c r="C10943"/>
      <c r="D10943"/>
      <c r="E10943"/>
      <c r="F10943"/>
      <c r="G10943"/>
      <c r="H10943"/>
      <c r="I10943"/>
      <c r="J10943"/>
      <c r="K10943" s="1"/>
      <c r="L10943" s="2"/>
    </row>
    <row r="10944" spans="1:12" x14ac:dyDescent="0.2">
      <c r="A10944"/>
      <c r="B10944"/>
      <c r="C10944"/>
      <c r="D10944"/>
      <c r="E10944"/>
      <c r="F10944"/>
      <c r="G10944"/>
      <c r="H10944"/>
      <c r="I10944"/>
      <c r="J10944"/>
      <c r="K10944" s="1"/>
      <c r="L10944" s="2"/>
    </row>
    <row r="10945" spans="1:12" x14ac:dyDescent="0.2">
      <c r="A10945"/>
      <c r="B10945"/>
      <c r="C10945"/>
      <c r="D10945"/>
      <c r="E10945"/>
      <c r="F10945"/>
      <c r="G10945"/>
      <c r="H10945"/>
      <c r="I10945"/>
      <c r="J10945"/>
      <c r="K10945" s="1"/>
      <c r="L10945" s="2"/>
    </row>
    <row r="10946" spans="1:12" x14ac:dyDescent="0.2">
      <c r="A10946"/>
      <c r="B10946"/>
      <c r="C10946"/>
      <c r="D10946"/>
      <c r="E10946"/>
      <c r="F10946"/>
      <c r="G10946"/>
      <c r="H10946"/>
      <c r="I10946"/>
      <c r="J10946"/>
      <c r="K10946" s="1"/>
      <c r="L10946" s="2"/>
    </row>
    <row r="10947" spans="1:12" x14ac:dyDescent="0.2">
      <c r="A10947"/>
      <c r="B10947"/>
      <c r="C10947"/>
      <c r="D10947"/>
      <c r="E10947"/>
      <c r="F10947"/>
      <c r="G10947"/>
      <c r="H10947"/>
      <c r="I10947"/>
      <c r="J10947"/>
      <c r="K10947" s="1"/>
      <c r="L10947" s="2"/>
    </row>
    <row r="10948" spans="1:12" x14ac:dyDescent="0.2">
      <c r="A10948"/>
      <c r="B10948"/>
      <c r="C10948"/>
      <c r="D10948"/>
      <c r="E10948"/>
      <c r="F10948"/>
      <c r="G10948"/>
      <c r="H10948"/>
      <c r="I10948"/>
      <c r="J10948"/>
      <c r="K10948" s="1"/>
      <c r="L10948" s="2"/>
    </row>
    <row r="10949" spans="1:12" x14ac:dyDescent="0.2">
      <c r="A10949"/>
      <c r="B10949"/>
      <c r="C10949"/>
      <c r="D10949"/>
      <c r="E10949"/>
      <c r="F10949"/>
      <c r="G10949"/>
      <c r="H10949"/>
      <c r="I10949"/>
      <c r="J10949"/>
      <c r="K10949" s="1"/>
      <c r="L10949" s="2"/>
    </row>
    <row r="10950" spans="1:12" x14ac:dyDescent="0.2">
      <c r="A10950"/>
      <c r="B10950"/>
      <c r="C10950"/>
      <c r="D10950"/>
      <c r="E10950"/>
      <c r="F10950"/>
      <c r="G10950"/>
      <c r="H10950"/>
      <c r="I10950"/>
      <c r="J10950"/>
      <c r="K10950" s="1"/>
      <c r="L10950" s="2"/>
    </row>
    <row r="10951" spans="1:12" x14ac:dyDescent="0.2">
      <c r="A10951"/>
      <c r="B10951"/>
      <c r="C10951"/>
      <c r="D10951"/>
      <c r="E10951"/>
      <c r="F10951"/>
      <c r="G10951"/>
      <c r="H10951"/>
      <c r="I10951"/>
      <c r="J10951"/>
      <c r="K10951" s="1"/>
      <c r="L10951" s="2"/>
    </row>
    <row r="10952" spans="1:12" x14ac:dyDescent="0.2">
      <c r="A10952"/>
      <c r="B10952"/>
      <c r="C10952"/>
      <c r="D10952"/>
      <c r="E10952"/>
      <c r="F10952"/>
      <c r="G10952"/>
      <c r="H10952"/>
      <c r="I10952"/>
      <c r="J10952"/>
      <c r="K10952" s="1"/>
      <c r="L10952" s="2"/>
    </row>
    <row r="10953" spans="1:12" x14ac:dyDescent="0.2">
      <c r="A10953"/>
      <c r="B10953"/>
      <c r="C10953"/>
      <c r="D10953"/>
      <c r="E10953"/>
      <c r="F10953"/>
      <c r="G10953"/>
      <c r="H10953"/>
      <c r="I10953"/>
      <c r="J10953"/>
      <c r="K10953" s="1"/>
      <c r="L10953" s="2"/>
    </row>
    <row r="10954" spans="1:12" x14ac:dyDescent="0.2">
      <c r="A10954"/>
      <c r="B10954"/>
      <c r="C10954"/>
      <c r="D10954"/>
      <c r="E10954"/>
      <c r="F10954"/>
      <c r="G10954"/>
      <c r="H10954"/>
      <c r="I10954"/>
      <c r="J10954"/>
      <c r="K10954" s="1"/>
      <c r="L10954" s="2"/>
    </row>
    <row r="10955" spans="1:12" x14ac:dyDescent="0.2">
      <c r="A10955"/>
      <c r="B10955"/>
      <c r="C10955"/>
      <c r="D10955"/>
      <c r="E10955"/>
      <c r="F10955"/>
      <c r="G10955"/>
      <c r="H10955"/>
      <c r="I10955"/>
      <c r="J10955"/>
      <c r="K10955" s="1"/>
      <c r="L10955" s="2"/>
    </row>
    <row r="10956" spans="1:12" x14ac:dyDescent="0.2">
      <c r="A10956"/>
      <c r="B10956"/>
      <c r="C10956"/>
      <c r="D10956"/>
      <c r="E10956"/>
      <c r="F10956"/>
      <c r="G10956"/>
      <c r="H10956"/>
      <c r="I10956"/>
      <c r="J10956"/>
      <c r="K10956" s="1"/>
      <c r="L10956" s="2"/>
    </row>
    <row r="10957" spans="1:12" x14ac:dyDescent="0.2">
      <c r="A10957"/>
      <c r="B10957"/>
      <c r="C10957"/>
      <c r="D10957"/>
      <c r="E10957"/>
      <c r="F10957"/>
      <c r="G10957"/>
      <c r="H10957"/>
      <c r="I10957"/>
      <c r="J10957"/>
      <c r="K10957" s="1"/>
      <c r="L10957" s="2"/>
    </row>
    <row r="10958" spans="1:12" x14ac:dyDescent="0.2">
      <c r="A10958"/>
      <c r="B10958"/>
      <c r="C10958"/>
      <c r="D10958"/>
      <c r="E10958"/>
      <c r="F10958"/>
      <c r="G10958"/>
      <c r="H10958"/>
      <c r="I10958"/>
      <c r="J10958"/>
      <c r="K10958" s="1"/>
      <c r="L10958" s="2"/>
    </row>
    <row r="10959" spans="1:12" x14ac:dyDescent="0.2">
      <c r="A10959"/>
      <c r="B10959"/>
      <c r="C10959"/>
      <c r="D10959"/>
      <c r="E10959"/>
      <c r="F10959"/>
      <c r="G10959"/>
      <c r="H10959"/>
      <c r="I10959"/>
      <c r="J10959"/>
      <c r="K10959" s="1"/>
      <c r="L10959" s="2"/>
    </row>
    <row r="10960" spans="1:12" x14ac:dyDescent="0.2">
      <c r="A10960"/>
      <c r="B10960"/>
      <c r="C10960"/>
      <c r="D10960"/>
      <c r="E10960"/>
      <c r="F10960"/>
      <c r="G10960"/>
      <c r="H10960"/>
      <c r="I10960"/>
      <c r="J10960"/>
      <c r="K10960" s="1"/>
      <c r="L10960" s="2"/>
    </row>
    <row r="10961" spans="1:12" x14ac:dyDescent="0.2">
      <c r="A10961"/>
      <c r="B10961"/>
      <c r="C10961"/>
      <c r="D10961"/>
      <c r="E10961"/>
      <c r="F10961"/>
      <c r="G10961"/>
      <c r="H10961"/>
      <c r="I10961"/>
      <c r="J10961"/>
      <c r="K10961" s="1"/>
      <c r="L10961" s="2"/>
    </row>
    <row r="10962" spans="1:12" x14ac:dyDescent="0.2">
      <c r="A10962"/>
      <c r="B10962"/>
      <c r="C10962"/>
      <c r="D10962"/>
      <c r="E10962"/>
      <c r="F10962"/>
      <c r="G10962"/>
      <c r="H10962"/>
      <c r="I10962"/>
      <c r="J10962"/>
      <c r="K10962" s="1"/>
      <c r="L10962" s="2"/>
    </row>
    <row r="10963" spans="1:12" x14ac:dyDescent="0.2">
      <c r="A10963"/>
      <c r="B10963"/>
      <c r="C10963"/>
      <c r="D10963"/>
      <c r="E10963"/>
      <c r="F10963"/>
      <c r="G10963"/>
      <c r="H10963"/>
      <c r="I10963"/>
      <c r="J10963"/>
      <c r="K10963" s="1"/>
      <c r="L10963" s="2"/>
    </row>
    <row r="10964" spans="1:12" x14ac:dyDescent="0.2">
      <c r="A10964"/>
      <c r="B10964"/>
      <c r="C10964"/>
      <c r="D10964"/>
      <c r="E10964"/>
      <c r="F10964"/>
      <c r="G10964"/>
      <c r="H10964"/>
      <c r="I10964"/>
      <c r="J10964"/>
      <c r="K10964" s="1"/>
      <c r="L10964" s="2"/>
    </row>
    <row r="10965" spans="1:12" x14ac:dyDescent="0.2">
      <c r="A10965"/>
      <c r="B10965"/>
      <c r="C10965"/>
      <c r="D10965"/>
      <c r="E10965"/>
      <c r="F10965"/>
      <c r="G10965"/>
      <c r="H10965"/>
      <c r="I10965"/>
      <c r="J10965"/>
      <c r="K10965" s="1"/>
      <c r="L10965" s="2"/>
    </row>
    <row r="10966" spans="1:12" x14ac:dyDescent="0.2">
      <c r="A10966"/>
      <c r="B10966"/>
      <c r="C10966"/>
      <c r="D10966"/>
      <c r="E10966"/>
      <c r="F10966"/>
      <c r="G10966"/>
      <c r="H10966"/>
      <c r="I10966"/>
      <c r="J10966"/>
      <c r="K10966" s="1"/>
      <c r="L10966" s="2"/>
    </row>
    <row r="10967" spans="1:12" x14ac:dyDescent="0.2">
      <c r="A10967"/>
      <c r="B10967"/>
      <c r="C10967"/>
      <c r="D10967"/>
      <c r="E10967"/>
      <c r="F10967"/>
      <c r="G10967"/>
      <c r="H10967"/>
      <c r="I10967"/>
      <c r="J10967"/>
      <c r="K10967" s="1"/>
      <c r="L10967" s="2"/>
    </row>
    <row r="10968" spans="1:12" x14ac:dyDescent="0.2">
      <c r="A10968"/>
      <c r="B10968"/>
      <c r="C10968"/>
      <c r="D10968"/>
      <c r="E10968"/>
      <c r="F10968"/>
      <c r="G10968"/>
      <c r="H10968"/>
      <c r="I10968"/>
      <c r="J10968"/>
      <c r="K10968" s="1"/>
      <c r="L10968" s="2"/>
    </row>
    <row r="10969" spans="1:12" x14ac:dyDescent="0.2">
      <c r="A10969"/>
      <c r="B10969"/>
      <c r="C10969"/>
      <c r="D10969"/>
      <c r="E10969"/>
      <c r="F10969"/>
      <c r="G10969"/>
      <c r="H10969"/>
      <c r="I10969"/>
      <c r="J10969"/>
      <c r="K10969" s="1"/>
      <c r="L10969" s="2"/>
    </row>
    <row r="10970" spans="1:12" x14ac:dyDescent="0.2">
      <c r="A10970"/>
      <c r="B10970"/>
      <c r="C10970"/>
      <c r="D10970"/>
      <c r="E10970"/>
      <c r="F10970"/>
      <c r="G10970"/>
      <c r="H10970"/>
      <c r="I10970"/>
      <c r="J10970"/>
      <c r="K10970" s="1"/>
      <c r="L10970" s="2"/>
    </row>
    <row r="10971" spans="1:12" x14ac:dyDescent="0.2">
      <c r="A10971"/>
      <c r="B10971"/>
      <c r="C10971"/>
      <c r="D10971"/>
      <c r="E10971"/>
      <c r="F10971"/>
      <c r="G10971"/>
      <c r="H10971"/>
      <c r="I10971"/>
      <c r="J10971"/>
      <c r="K10971" s="1"/>
      <c r="L10971" s="2"/>
    </row>
    <row r="10972" spans="1:12" x14ac:dyDescent="0.2">
      <c r="A10972"/>
      <c r="B10972"/>
      <c r="C10972"/>
      <c r="D10972"/>
      <c r="E10972"/>
      <c r="F10972"/>
      <c r="G10972"/>
      <c r="H10972"/>
      <c r="I10972"/>
      <c r="J10972"/>
      <c r="K10972" s="1"/>
      <c r="L10972" s="2"/>
    </row>
    <row r="10973" spans="1:12" x14ac:dyDescent="0.2">
      <c r="A10973"/>
      <c r="B10973"/>
      <c r="C10973"/>
      <c r="D10973"/>
      <c r="E10973"/>
      <c r="F10973"/>
      <c r="G10973"/>
      <c r="H10973"/>
      <c r="I10973"/>
      <c r="J10973"/>
      <c r="K10973" s="1"/>
      <c r="L10973" s="2"/>
    </row>
    <row r="10974" spans="1:12" x14ac:dyDescent="0.2">
      <c r="A10974"/>
      <c r="B10974"/>
      <c r="C10974"/>
      <c r="D10974"/>
      <c r="E10974"/>
      <c r="F10974"/>
      <c r="G10974"/>
      <c r="H10974"/>
      <c r="I10974"/>
      <c r="J10974"/>
      <c r="K10974" s="1"/>
      <c r="L10974" s="2"/>
    </row>
    <row r="10975" spans="1:12" x14ac:dyDescent="0.2">
      <c r="A10975"/>
      <c r="B10975"/>
      <c r="C10975"/>
      <c r="D10975"/>
      <c r="E10975"/>
      <c r="F10975"/>
      <c r="G10975"/>
      <c r="H10975"/>
      <c r="I10975"/>
      <c r="J10975"/>
      <c r="K10975" s="1"/>
      <c r="L10975" s="2"/>
    </row>
    <row r="10976" spans="1:12" x14ac:dyDescent="0.2">
      <c r="A10976"/>
      <c r="B10976"/>
      <c r="C10976"/>
      <c r="D10976"/>
      <c r="E10976"/>
      <c r="F10976"/>
      <c r="G10976"/>
      <c r="H10976"/>
      <c r="I10976"/>
      <c r="J10976"/>
      <c r="K10976" s="1"/>
      <c r="L10976" s="2"/>
    </row>
    <row r="10977" spans="1:12" x14ac:dyDescent="0.2">
      <c r="A10977"/>
      <c r="B10977"/>
      <c r="C10977"/>
      <c r="D10977"/>
      <c r="E10977"/>
      <c r="F10977"/>
      <c r="G10977"/>
      <c r="H10977"/>
      <c r="I10977"/>
      <c r="J10977"/>
      <c r="K10977" s="1"/>
      <c r="L10977" s="2"/>
    </row>
    <row r="10978" spans="1:12" x14ac:dyDescent="0.2">
      <c r="A10978"/>
      <c r="B10978"/>
      <c r="C10978"/>
      <c r="D10978"/>
      <c r="E10978"/>
      <c r="F10978"/>
      <c r="G10978"/>
      <c r="H10978"/>
      <c r="I10978"/>
      <c r="J10978"/>
      <c r="K10978" s="1"/>
      <c r="L10978" s="2"/>
    </row>
    <row r="10979" spans="1:12" x14ac:dyDescent="0.2">
      <c r="A10979"/>
      <c r="B10979"/>
      <c r="C10979"/>
      <c r="D10979"/>
      <c r="E10979"/>
      <c r="F10979"/>
      <c r="G10979"/>
      <c r="H10979"/>
      <c r="I10979"/>
      <c r="J10979"/>
      <c r="K10979" s="1"/>
      <c r="L10979" s="2"/>
    </row>
    <row r="10980" spans="1:12" x14ac:dyDescent="0.2">
      <c r="A10980"/>
      <c r="B10980"/>
      <c r="C10980"/>
      <c r="D10980"/>
      <c r="E10980"/>
      <c r="F10980"/>
      <c r="G10980"/>
      <c r="H10980"/>
      <c r="I10980"/>
      <c r="J10980"/>
      <c r="K10980" s="1"/>
      <c r="L10980" s="2"/>
    </row>
    <row r="10981" spans="1:12" x14ac:dyDescent="0.2">
      <c r="A10981"/>
      <c r="B10981"/>
      <c r="C10981"/>
      <c r="D10981"/>
      <c r="E10981"/>
      <c r="F10981"/>
      <c r="G10981"/>
      <c r="H10981"/>
      <c r="I10981"/>
      <c r="J10981"/>
      <c r="K10981" s="1"/>
      <c r="L10981" s="2"/>
    </row>
    <row r="10982" spans="1:12" x14ac:dyDescent="0.2">
      <c r="A10982"/>
      <c r="B10982"/>
      <c r="C10982"/>
      <c r="D10982"/>
      <c r="E10982"/>
      <c r="F10982"/>
      <c r="G10982"/>
      <c r="H10982"/>
      <c r="I10982"/>
      <c r="J10982"/>
      <c r="K10982" s="1"/>
      <c r="L10982" s="2"/>
    </row>
    <row r="10983" spans="1:12" x14ac:dyDescent="0.2">
      <c r="A10983"/>
      <c r="B10983"/>
      <c r="C10983"/>
      <c r="D10983"/>
      <c r="E10983"/>
      <c r="F10983"/>
      <c r="G10983"/>
      <c r="H10983"/>
      <c r="I10983"/>
      <c r="J10983"/>
      <c r="K10983" s="1"/>
      <c r="L10983" s="2"/>
    </row>
    <row r="10984" spans="1:12" x14ac:dyDescent="0.2">
      <c r="A10984"/>
      <c r="B10984"/>
      <c r="C10984"/>
      <c r="D10984"/>
      <c r="E10984"/>
      <c r="F10984"/>
      <c r="G10984"/>
      <c r="H10984"/>
      <c r="I10984"/>
      <c r="J10984"/>
      <c r="K10984" s="1"/>
      <c r="L10984" s="2"/>
    </row>
    <row r="10985" spans="1:12" x14ac:dyDescent="0.2">
      <c r="A10985"/>
      <c r="B10985"/>
      <c r="C10985"/>
      <c r="D10985"/>
      <c r="E10985"/>
      <c r="F10985"/>
      <c r="G10985"/>
      <c r="H10985"/>
      <c r="I10985"/>
      <c r="J10985"/>
      <c r="K10985" s="1"/>
      <c r="L10985" s="2"/>
    </row>
    <row r="10986" spans="1:12" x14ac:dyDescent="0.2">
      <c r="A10986"/>
      <c r="B10986"/>
      <c r="C10986"/>
      <c r="D10986"/>
      <c r="E10986"/>
      <c r="F10986"/>
      <c r="G10986"/>
      <c r="H10986"/>
      <c r="I10986"/>
      <c r="J10986"/>
      <c r="K10986" s="1"/>
      <c r="L10986" s="2"/>
    </row>
    <row r="10987" spans="1:12" x14ac:dyDescent="0.2">
      <c r="A10987"/>
      <c r="B10987"/>
      <c r="C10987"/>
      <c r="D10987"/>
      <c r="E10987"/>
      <c r="F10987"/>
      <c r="G10987"/>
      <c r="H10987"/>
      <c r="I10987"/>
      <c r="J10987"/>
      <c r="K10987" s="1"/>
      <c r="L10987" s="2"/>
    </row>
    <row r="10988" spans="1:12" x14ac:dyDescent="0.2">
      <c r="A10988"/>
      <c r="B10988"/>
      <c r="C10988"/>
      <c r="D10988"/>
      <c r="E10988"/>
      <c r="F10988"/>
      <c r="G10988"/>
      <c r="H10988"/>
      <c r="I10988"/>
      <c r="J10988"/>
      <c r="K10988" s="1"/>
      <c r="L10988" s="2"/>
    </row>
    <row r="10989" spans="1:12" x14ac:dyDescent="0.2">
      <c r="A10989"/>
      <c r="B10989"/>
      <c r="C10989"/>
      <c r="D10989"/>
      <c r="E10989"/>
      <c r="F10989"/>
      <c r="G10989"/>
      <c r="H10989"/>
      <c r="I10989"/>
      <c r="J10989"/>
      <c r="K10989" s="1"/>
      <c r="L10989" s="2"/>
    </row>
    <row r="10990" spans="1:12" x14ac:dyDescent="0.2">
      <c r="A10990"/>
      <c r="B10990"/>
      <c r="C10990"/>
      <c r="D10990"/>
      <c r="E10990"/>
      <c r="F10990"/>
      <c r="G10990"/>
      <c r="H10990"/>
      <c r="I10990"/>
      <c r="J10990"/>
      <c r="K10990" s="1"/>
      <c r="L10990" s="2"/>
    </row>
    <row r="10991" spans="1:12" x14ac:dyDescent="0.2">
      <c r="A10991"/>
      <c r="B10991"/>
      <c r="C10991"/>
      <c r="D10991"/>
      <c r="E10991"/>
      <c r="F10991"/>
      <c r="G10991"/>
      <c r="H10991"/>
      <c r="I10991"/>
      <c r="J10991"/>
      <c r="K10991" s="1"/>
      <c r="L10991" s="2"/>
    </row>
    <row r="10992" spans="1:12" x14ac:dyDescent="0.2">
      <c r="A10992"/>
      <c r="B10992"/>
      <c r="C10992"/>
      <c r="D10992"/>
      <c r="E10992"/>
      <c r="F10992"/>
      <c r="G10992"/>
      <c r="H10992"/>
      <c r="I10992"/>
      <c r="J10992"/>
      <c r="K10992" s="1"/>
      <c r="L10992" s="2"/>
    </row>
    <row r="10993" spans="1:12" x14ac:dyDescent="0.2">
      <c r="A10993"/>
      <c r="B10993"/>
      <c r="C10993"/>
      <c r="D10993"/>
      <c r="E10993"/>
      <c r="F10993"/>
      <c r="G10993"/>
      <c r="H10993"/>
      <c r="I10993"/>
      <c r="J10993"/>
      <c r="K10993" s="1"/>
      <c r="L10993" s="2"/>
    </row>
    <row r="10994" spans="1:12" x14ac:dyDescent="0.2">
      <c r="A10994"/>
      <c r="B10994"/>
      <c r="C10994"/>
      <c r="D10994"/>
      <c r="E10994"/>
      <c r="F10994"/>
      <c r="G10994"/>
      <c r="H10994"/>
      <c r="I10994"/>
      <c r="J10994"/>
      <c r="K10994" s="1"/>
      <c r="L10994" s="2"/>
    </row>
    <row r="10995" spans="1:12" x14ac:dyDescent="0.2">
      <c r="A10995"/>
      <c r="B10995"/>
      <c r="C10995"/>
      <c r="D10995"/>
      <c r="E10995"/>
      <c r="F10995"/>
      <c r="G10995"/>
      <c r="H10995"/>
      <c r="I10995"/>
      <c r="J10995"/>
      <c r="K10995" s="1"/>
      <c r="L10995" s="2"/>
    </row>
    <row r="10996" spans="1:12" x14ac:dyDescent="0.2">
      <c r="A10996"/>
      <c r="B10996"/>
      <c r="C10996"/>
      <c r="D10996"/>
      <c r="E10996"/>
      <c r="F10996"/>
      <c r="G10996"/>
      <c r="H10996"/>
      <c r="I10996"/>
      <c r="J10996"/>
      <c r="K10996" s="1"/>
      <c r="L10996" s="2"/>
    </row>
    <row r="10997" spans="1:12" x14ac:dyDescent="0.2">
      <c r="A10997"/>
      <c r="B10997"/>
      <c r="C10997"/>
      <c r="D10997"/>
      <c r="E10997"/>
      <c r="F10997"/>
      <c r="G10997"/>
      <c r="H10997"/>
      <c r="I10997"/>
      <c r="J10997"/>
      <c r="K10997" s="1"/>
      <c r="L10997" s="2"/>
    </row>
    <row r="10998" spans="1:12" x14ac:dyDescent="0.2">
      <c r="A10998"/>
      <c r="B10998"/>
      <c r="C10998"/>
      <c r="D10998"/>
      <c r="E10998"/>
      <c r="F10998"/>
      <c r="G10998"/>
      <c r="H10998"/>
      <c r="I10998"/>
      <c r="J10998"/>
      <c r="K10998" s="1"/>
      <c r="L10998" s="2"/>
    </row>
    <row r="10999" spans="1:12" x14ac:dyDescent="0.2">
      <c r="A10999"/>
      <c r="B10999"/>
      <c r="C10999"/>
      <c r="D10999"/>
      <c r="E10999"/>
      <c r="F10999"/>
      <c r="G10999"/>
      <c r="H10999"/>
      <c r="I10999"/>
      <c r="J10999"/>
      <c r="K10999" s="1"/>
      <c r="L10999" s="2"/>
    </row>
    <row r="11000" spans="1:12" x14ac:dyDescent="0.2">
      <c r="A11000"/>
      <c r="B11000"/>
      <c r="C11000"/>
      <c r="D11000"/>
      <c r="E11000"/>
      <c r="F11000"/>
      <c r="G11000"/>
      <c r="H11000"/>
      <c r="I11000"/>
      <c r="J11000"/>
      <c r="K11000" s="1"/>
      <c r="L11000" s="2"/>
    </row>
    <row r="11001" spans="1:12" x14ac:dyDescent="0.2">
      <c r="A11001"/>
      <c r="B11001"/>
      <c r="C11001"/>
      <c r="D11001"/>
      <c r="E11001"/>
      <c r="F11001"/>
      <c r="G11001"/>
      <c r="H11001"/>
      <c r="I11001"/>
      <c r="J11001"/>
      <c r="K11001" s="1"/>
      <c r="L11001" s="2"/>
    </row>
    <row r="11002" spans="1:12" x14ac:dyDescent="0.2">
      <c r="A11002"/>
      <c r="B11002"/>
      <c r="C11002"/>
      <c r="D11002"/>
      <c r="E11002"/>
      <c r="F11002"/>
      <c r="G11002"/>
      <c r="H11002"/>
      <c r="I11002"/>
      <c r="J11002"/>
      <c r="K11002" s="1"/>
      <c r="L11002" s="2"/>
    </row>
    <row r="11003" spans="1:12" x14ac:dyDescent="0.2">
      <c r="A11003"/>
      <c r="B11003"/>
      <c r="C11003"/>
      <c r="D11003"/>
      <c r="E11003"/>
      <c r="F11003"/>
      <c r="G11003"/>
      <c r="H11003"/>
      <c r="I11003"/>
      <c r="J11003"/>
      <c r="K11003" s="1"/>
      <c r="L11003" s="2"/>
    </row>
    <row r="11004" spans="1:12" x14ac:dyDescent="0.2">
      <c r="A11004"/>
      <c r="B11004"/>
      <c r="C11004"/>
      <c r="D11004"/>
      <c r="E11004"/>
      <c r="F11004"/>
      <c r="G11004"/>
      <c r="H11004"/>
      <c r="I11004"/>
      <c r="J11004"/>
      <c r="K11004" s="1"/>
      <c r="L11004" s="2"/>
    </row>
    <row r="11005" spans="1:12" x14ac:dyDescent="0.2">
      <c r="A11005"/>
      <c r="B11005"/>
      <c r="C11005"/>
      <c r="D11005"/>
      <c r="E11005"/>
      <c r="F11005"/>
      <c r="G11005"/>
      <c r="H11005"/>
      <c r="I11005"/>
      <c r="J11005"/>
      <c r="K11005" s="1"/>
      <c r="L11005" s="2"/>
    </row>
    <row r="11006" spans="1:12" x14ac:dyDescent="0.2">
      <c r="A11006"/>
      <c r="B11006"/>
      <c r="C11006"/>
      <c r="D11006"/>
      <c r="E11006"/>
      <c r="F11006"/>
      <c r="G11006"/>
      <c r="H11006"/>
      <c r="I11006"/>
      <c r="J11006"/>
      <c r="K11006" s="1"/>
      <c r="L11006" s="2"/>
    </row>
    <row r="11007" spans="1:12" x14ac:dyDescent="0.2">
      <c r="A11007"/>
      <c r="B11007"/>
      <c r="C11007"/>
      <c r="D11007"/>
      <c r="E11007"/>
      <c r="F11007"/>
      <c r="G11007"/>
      <c r="H11007"/>
      <c r="I11007"/>
      <c r="J11007"/>
      <c r="K11007" s="1"/>
      <c r="L11007" s="2"/>
    </row>
    <row r="11008" spans="1:12" x14ac:dyDescent="0.2">
      <c r="A11008"/>
      <c r="B11008"/>
      <c r="C11008"/>
      <c r="D11008"/>
      <c r="E11008"/>
      <c r="F11008"/>
      <c r="G11008"/>
      <c r="H11008"/>
      <c r="I11008"/>
      <c r="J11008"/>
      <c r="K11008" s="1"/>
      <c r="L11008" s="2"/>
    </row>
    <row r="11009" spans="1:12" x14ac:dyDescent="0.2">
      <c r="A11009"/>
      <c r="B11009"/>
      <c r="C11009"/>
      <c r="D11009"/>
      <c r="E11009"/>
      <c r="F11009"/>
      <c r="G11009"/>
      <c r="H11009"/>
      <c r="I11009"/>
      <c r="J11009"/>
      <c r="K11009" s="1"/>
      <c r="L11009" s="2"/>
    </row>
    <row r="11010" spans="1:12" x14ac:dyDescent="0.2">
      <c r="A11010"/>
      <c r="B11010"/>
      <c r="C11010"/>
      <c r="D11010"/>
      <c r="E11010"/>
      <c r="F11010"/>
      <c r="G11010"/>
      <c r="H11010"/>
      <c r="I11010"/>
      <c r="J11010"/>
      <c r="K11010" s="1"/>
      <c r="L11010" s="2"/>
    </row>
    <row r="11011" spans="1:12" x14ac:dyDescent="0.2">
      <c r="A11011"/>
      <c r="B11011"/>
      <c r="C11011"/>
      <c r="D11011"/>
      <c r="E11011"/>
      <c r="F11011"/>
      <c r="G11011"/>
      <c r="H11011"/>
      <c r="I11011"/>
      <c r="J11011"/>
      <c r="K11011" s="1"/>
      <c r="L11011" s="2"/>
    </row>
    <row r="11012" spans="1:12" x14ac:dyDescent="0.2">
      <c r="A11012"/>
      <c r="B11012"/>
      <c r="C11012"/>
      <c r="D11012"/>
      <c r="E11012"/>
      <c r="F11012"/>
      <c r="G11012"/>
      <c r="H11012"/>
      <c r="I11012"/>
      <c r="J11012"/>
      <c r="K11012" s="1"/>
      <c r="L11012" s="2"/>
    </row>
    <row r="11013" spans="1:12" x14ac:dyDescent="0.2">
      <c r="A11013"/>
      <c r="B11013"/>
      <c r="C11013"/>
      <c r="D11013"/>
      <c r="E11013"/>
      <c r="F11013"/>
      <c r="G11013"/>
      <c r="H11013"/>
      <c r="I11013"/>
      <c r="J11013"/>
      <c r="K11013" s="1"/>
      <c r="L11013" s="2"/>
    </row>
    <row r="11014" spans="1:12" x14ac:dyDescent="0.2">
      <c r="A11014"/>
      <c r="B11014"/>
      <c r="C11014"/>
      <c r="D11014"/>
      <c r="E11014"/>
      <c r="F11014"/>
      <c r="G11014"/>
      <c r="H11014"/>
      <c r="I11014"/>
      <c r="J11014"/>
      <c r="K11014" s="1"/>
      <c r="L11014" s="2"/>
    </row>
    <row r="11015" spans="1:12" x14ac:dyDescent="0.2">
      <c r="A11015"/>
      <c r="B11015"/>
      <c r="C11015"/>
      <c r="D11015"/>
      <c r="E11015"/>
      <c r="F11015"/>
      <c r="G11015"/>
      <c r="H11015"/>
      <c r="I11015"/>
      <c r="J11015"/>
      <c r="K11015" s="1"/>
      <c r="L11015" s="2"/>
    </row>
    <row r="11016" spans="1:12" x14ac:dyDescent="0.2">
      <c r="A11016"/>
      <c r="B11016"/>
      <c r="C11016"/>
      <c r="D11016"/>
      <c r="E11016"/>
      <c r="F11016"/>
      <c r="G11016"/>
      <c r="H11016"/>
      <c r="I11016"/>
      <c r="J11016"/>
      <c r="K11016" s="1"/>
      <c r="L11016" s="2"/>
    </row>
    <row r="11017" spans="1:12" x14ac:dyDescent="0.2">
      <c r="A11017"/>
      <c r="B11017"/>
      <c r="C11017"/>
      <c r="D11017"/>
      <c r="E11017"/>
      <c r="F11017"/>
      <c r="G11017"/>
      <c r="H11017"/>
      <c r="I11017"/>
      <c r="J11017"/>
      <c r="K11017" s="1"/>
      <c r="L11017" s="2"/>
    </row>
    <row r="11018" spans="1:12" x14ac:dyDescent="0.2">
      <c r="A11018"/>
      <c r="B11018"/>
      <c r="C11018"/>
      <c r="D11018"/>
      <c r="E11018"/>
      <c r="F11018"/>
      <c r="G11018"/>
      <c r="H11018"/>
      <c r="I11018"/>
      <c r="J11018"/>
      <c r="K11018" s="1"/>
      <c r="L11018" s="2"/>
    </row>
    <row r="11019" spans="1:12" x14ac:dyDescent="0.2">
      <c r="A11019"/>
      <c r="B11019"/>
      <c r="C11019"/>
      <c r="D11019"/>
      <c r="E11019"/>
      <c r="F11019"/>
      <c r="G11019"/>
      <c r="H11019"/>
      <c r="I11019"/>
      <c r="J11019"/>
      <c r="K11019" s="1"/>
      <c r="L11019" s="2"/>
    </row>
    <row r="11020" spans="1:12" x14ac:dyDescent="0.2">
      <c r="A11020"/>
      <c r="B11020"/>
      <c r="C11020"/>
      <c r="D11020"/>
      <c r="E11020"/>
      <c r="F11020"/>
      <c r="G11020"/>
      <c r="H11020"/>
      <c r="I11020"/>
      <c r="J11020"/>
      <c r="K11020" s="1"/>
      <c r="L11020" s="2"/>
    </row>
    <row r="11021" spans="1:12" x14ac:dyDescent="0.2">
      <c r="A11021"/>
      <c r="B11021"/>
      <c r="C11021"/>
      <c r="D11021"/>
      <c r="E11021"/>
      <c r="F11021"/>
      <c r="G11021"/>
      <c r="H11021"/>
      <c r="I11021"/>
      <c r="J11021"/>
      <c r="K11021" s="1"/>
      <c r="L11021" s="2"/>
    </row>
    <row r="11022" spans="1:12" x14ac:dyDescent="0.2">
      <c r="A11022"/>
      <c r="B11022"/>
      <c r="C11022"/>
      <c r="D11022"/>
      <c r="E11022"/>
      <c r="F11022"/>
      <c r="G11022"/>
      <c r="H11022"/>
      <c r="I11022"/>
      <c r="J11022"/>
      <c r="K11022" s="1"/>
      <c r="L11022" s="2"/>
    </row>
    <row r="11023" spans="1:12" x14ac:dyDescent="0.2">
      <c r="A11023"/>
      <c r="B11023"/>
      <c r="C11023"/>
      <c r="D11023"/>
      <c r="E11023"/>
      <c r="F11023"/>
      <c r="G11023"/>
      <c r="H11023"/>
      <c r="I11023"/>
      <c r="J11023"/>
      <c r="K11023" s="1"/>
      <c r="L11023" s="2"/>
    </row>
    <row r="11024" spans="1:12" x14ac:dyDescent="0.2">
      <c r="A11024"/>
      <c r="B11024"/>
      <c r="C11024"/>
      <c r="D11024"/>
      <c r="E11024"/>
      <c r="F11024"/>
      <c r="G11024"/>
      <c r="H11024"/>
      <c r="I11024"/>
      <c r="J11024"/>
      <c r="K11024" s="1"/>
      <c r="L11024" s="2"/>
    </row>
    <row r="11025" spans="1:12" x14ac:dyDescent="0.2">
      <c r="A11025"/>
      <c r="B11025"/>
      <c r="C11025"/>
      <c r="D11025"/>
      <c r="E11025"/>
      <c r="F11025"/>
      <c r="G11025"/>
      <c r="H11025"/>
      <c r="I11025"/>
      <c r="J11025"/>
      <c r="K11025" s="1"/>
      <c r="L11025" s="2"/>
    </row>
    <row r="11026" spans="1:12" x14ac:dyDescent="0.2">
      <c r="A11026"/>
      <c r="B11026"/>
      <c r="C11026"/>
      <c r="D11026"/>
      <c r="E11026"/>
      <c r="F11026"/>
      <c r="G11026"/>
      <c r="H11026"/>
      <c r="I11026"/>
      <c r="J11026"/>
      <c r="K11026" s="1"/>
      <c r="L11026" s="2"/>
    </row>
    <row r="11027" spans="1:12" x14ac:dyDescent="0.2">
      <c r="A11027"/>
      <c r="B11027"/>
      <c r="C11027"/>
      <c r="D11027"/>
      <c r="E11027"/>
      <c r="F11027"/>
      <c r="G11027"/>
      <c r="H11027"/>
      <c r="I11027"/>
      <c r="J11027"/>
      <c r="K11027" s="1"/>
      <c r="L11027" s="2"/>
    </row>
    <row r="11028" spans="1:12" x14ac:dyDescent="0.2">
      <c r="A11028"/>
      <c r="B11028"/>
      <c r="C11028"/>
      <c r="D11028"/>
      <c r="E11028"/>
      <c r="F11028"/>
      <c r="G11028"/>
      <c r="H11028"/>
      <c r="I11028"/>
      <c r="J11028"/>
      <c r="K11028" s="1"/>
      <c r="L11028" s="2"/>
    </row>
    <row r="11029" spans="1:12" x14ac:dyDescent="0.2">
      <c r="A11029"/>
      <c r="B11029"/>
      <c r="C11029"/>
      <c r="D11029"/>
      <c r="E11029"/>
      <c r="F11029"/>
      <c r="G11029"/>
      <c r="H11029"/>
      <c r="I11029"/>
      <c r="J11029"/>
      <c r="K11029" s="1"/>
      <c r="L11029" s="2"/>
    </row>
    <row r="11030" spans="1:12" x14ac:dyDescent="0.2">
      <c r="A11030"/>
      <c r="B11030"/>
      <c r="C11030"/>
      <c r="D11030"/>
      <c r="E11030"/>
      <c r="F11030"/>
      <c r="G11030"/>
      <c r="H11030"/>
      <c r="I11030"/>
      <c r="J11030"/>
      <c r="K11030" s="1"/>
      <c r="L11030" s="2"/>
    </row>
    <row r="11031" spans="1:12" x14ac:dyDescent="0.2">
      <c r="A11031"/>
      <c r="B11031"/>
      <c r="C11031"/>
      <c r="D11031"/>
      <c r="E11031"/>
      <c r="F11031"/>
      <c r="G11031"/>
      <c r="H11031"/>
      <c r="I11031"/>
      <c r="J11031"/>
      <c r="K11031" s="1"/>
      <c r="L11031" s="2"/>
    </row>
    <row r="11032" spans="1:12" x14ac:dyDescent="0.2">
      <c r="A11032"/>
      <c r="B11032"/>
      <c r="C11032"/>
      <c r="D11032"/>
      <c r="E11032"/>
      <c r="F11032"/>
      <c r="G11032"/>
      <c r="H11032"/>
      <c r="I11032"/>
      <c r="J11032"/>
      <c r="K11032" s="1"/>
      <c r="L11032" s="2"/>
    </row>
    <row r="11033" spans="1:12" x14ac:dyDescent="0.2">
      <c r="A11033"/>
      <c r="B11033"/>
      <c r="C11033"/>
      <c r="D11033"/>
      <c r="E11033"/>
      <c r="F11033"/>
      <c r="G11033"/>
      <c r="H11033"/>
      <c r="I11033"/>
      <c r="J11033"/>
      <c r="K11033" s="1"/>
      <c r="L11033" s="2"/>
    </row>
    <row r="11034" spans="1:12" x14ac:dyDescent="0.2">
      <c r="A11034"/>
      <c r="B11034"/>
      <c r="C11034"/>
      <c r="D11034"/>
      <c r="E11034"/>
      <c r="F11034"/>
      <c r="G11034"/>
      <c r="H11034"/>
      <c r="I11034"/>
      <c r="J11034"/>
      <c r="K11034" s="1"/>
      <c r="L11034" s="2"/>
    </row>
    <row r="11035" spans="1:12" x14ac:dyDescent="0.2">
      <c r="A11035"/>
      <c r="B11035"/>
      <c r="C11035"/>
      <c r="D11035"/>
      <c r="E11035"/>
      <c r="F11035"/>
      <c r="G11035"/>
      <c r="H11035"/>
      <c r="I11035"/>
      <c r="J11035"/>
      <c r="K11035" s="1"/>
      <c r="L11035" s="2"/>
    </row>
    <row r="11036" spans="1:12" x14ac:dyDescent="0.2">
      <c r="A11036"/>
      <c r="B11036"/>
      <c r="C11036"/>
      <c r="D11036"/>
      <c r="E11036"/>
      <c r="F11036"/>
      <c r="G11036"/>
      <c r="H11036"/>
      <c r="I11036"/>
      <c r="J11036"/>
      <c r="K11036" s="1"/>
      <c r="L11036" s="2"/>
    </row>
    <row r="11037" spans="1:12" x14ac:dyDescent="0.2">
      <c r="A11037"/>
      <c r="B11037"/>
      <c r="C11037"/>
      <c r="D11037"/>
      <c r="E11037"/>
      <c r="F11037"/>
      <c r="G11037"/>
      <c r="H11037"/>
      <c r="I11037"/>
      <c r="J11037"/>
      <c r="K11037" s="1"/>
      <c r="L11037" s="2"/>
    </row>
    <row r="11038" spans="1:12" x14ac:dyDescent="0.2">
      <c r="A11038"/>
      <c r="B11038"/>
      <c r="C11038"/>
      <c r="D11038"/>
      <c r="E11038"/>
      <c r="F11038"/>
      <c r="G11038"/>
      <c r="H11038"/>
      <c r="I11038"/>
      <c r="J11038"/>
      <c r="K11038" s="1"/>
      <c r="L11038" s="2"/>
    </row>
    <row r="11039" spans="1:12" x14ac:dyDescent="0.2">
      <c r="A11039"/>
      <c r="B11039"/>
      <c r="C11039"/>
      <c r="D11039"/>
      <c r="E11039"/>
      <c r="F11039"/>
      <c r="G11039"/>
      <c r="H11039"/>
      <c r="I11039"/>
      <c r="J11039"/>
      <c r="K11039" s="1"/>
      <c r="L11039" s="2"/>
    </row>
    <row r="11040" spans="1:12" x14ac:dyDescent="0.2">
      <c r="A11040"/>
      <c r="B11040"/>
      <c r="C11040"/>
      <c r="D11040"/>
      <c r="E11040"/>
      <c r="F11040"/>
      <c r="G11040"/>
      <c r="H11040"/>
      <c r="I11040"/>
      <c r="J11040"/>
      <c r="K11040" s="1"/>
      <c r="L11040" s="2"/>
    </row>
    <row r="11041" spans="1:12" x14ac:dyDescent="0.2">
      <c r="A11041"/>
      <c r="B11041"/>
      <c r="C11041"/>
      <c r="D11041"/>
      <c r="E11041"/>
      <c r="F11041"/>
      <c r="G11041"/>
      <c r="H11041"/>
      <c r="I11041"/>
      <c r="J11041"/>
      <c r="K11041" s="1"/>
      <c r="L11041" s="2"/>
    </row>
    <row r="11042" spans="1:12" x14ac:dyDescent="0.2">
      <c r="A11042"/>
      <c r="B11042"/>
      <c r="C11042"/>
      <c r="D11042"/>
      <c r="E11042"/>
      <c r="F11042"/>
      <c r="G11042"/>
      <c r="H11042"/>
      <c r="I11042"/>
      <c r="J11042"/>
      <c r="K11042" s="1"/>
      <c r="L11042" s="2"/>
    </row>
    <row r="11043" spans="1:12" x14ac:dyDescent="0.2">
      <c r="A11043"/>
      <c r="B11043"/>
      <c r="C11043"/>
      <c r="D11043"/>
      <c r="E11043"/>
      <c r="F11043"/>
      <c r="G11043"/>
      <c r="H11043"/>
      <c r="I11043"/>
      <c r="J11043"/>
      <c r="K11043" s="1"/>
      <c r="L11043" s="2"/>
    </row>
    <row r="11044" spans="1:12" x14ac:dyDescent="0.2">
      <c r="A11044"/>
      <c r="B11044"/>
      <c r="C11044"/>
      <c r="D11044"/>
      <c r="E11044"/>
      <c r="F11044"/>
      <c r="G11044"/>
      <c r="H11044"/>
      <c r="I11044"/>
      <c r="J11044"/>
      <c r="K11044" s="1"/>
      <c r="L11044" s="2"/>
    </row>
    <row r="11045" spans="1:12" x14ac:dyDescent="0.2">
      <c r="A11045"/>
      <c r="B11045"/>
      <c r="C11045"/>
      <c r="D11045"/>
      <c r="E11045"/>
      <c r="F11045"/>
      <c r="G11045"/>
      <c r="H11045"/>
      <c r="I11045"/>
      <c r="J11045"/>
      <c r="K11045" s="1"/>
      <c r="L11045" s="2"/>
    </row>
    <row r="11046" spans="1:12" x14ac:dyDescent="0.2">
      <c r="A11046"/>
      <c r="B11046"/>
      <c r="C11046"/>
      <c r="D11046"/>
      <c r="E11046"/>
      <c r="F11046"/>
      <c r="G11046"/>
      <c r="H11046"/>
      <c r="I11046"/>
      <c r="J11046"/>
      <c r="K11046" s="1"/>
      <c r="L11046" s="2"/>
    </row>
    <row r="11047" spans="1:12" x14ac:dyDescent="0.2">
      <c r="A11047"/>
      <c r="B11047"/>
      <c r="C11047"/>
      <c r="D11047"/>
      <c r="E11047"/>
      <c r="F11047"/>
      <c r="G11047"/>
      <c r="H11047"/>
      <c r="I11047"/>
      <c r="J11047"/>
      <c r="K11047" s="1"/>
      <c r="L11047" s="2"/>
    </row>
    <row r="11048" spans="1:12" x14ac:dyDescent="0.2">
      <c r="A11048"/>
      <c r="B11048"/>
      <c r="C11048"/>
      <c r="D11048"/>
      <c r="E11048"/>
      <c r="F11048"/>
      <c r="G11048"/>
      <c r="H11048"/>
      <c r="I11048"/>
      <c r="J11048"/>
      <c r="K11048" s="1"/>
      <c r="L11048" s="2"/>
    </row>
    <row r="11049" spans="1:12" x14ac:dyDescent="0.2">
      <c r="A11049"/>
      <c r="B11049"/>
      <c r="C11049"/>
      <c r="D11049"/>
      <c r="E11049"/>
      <c r="F11049"/>
      <c r="G11049"/>
      <c r="H11049"/>
      <c r="I11049"/>
      <c r="J11049"/>
      <c r="K11049" s="1"/>
      <c r="L11049" s="2"/>
    </row>
    <row r="11050" spans="1:12" x14ac:dyDescent="0.2">
      <c r="A11050"/>
      <c r="B11050"/>
      <c r="C11050"/>
      <c r="D11050"/>
      <c r="E11050"/>
      <c r="F11050"/>
      <c r="G11050"/>
      <c r="H11050"/>
      <c r="I11050"/>
      <c r="J11050"/>
      <c r="K11050" s="1"/>
      <c r="L11050" s="2"/>
    </row>
    <row r="11051" spans="1:12" x14ac:dyDescent="0.2">
      <c r="A11051"/>
      <c r="B11051"/>
      <c r="C11051"/>
      <c r="D11051"/>
      <c r="E11051"/>
      <c r="F11051"/>
      <c r="G11051"/>
      <c r="H11051"/>
      <c r="I11051"/>
      <c r="J11051"/>
      <c r="K11051" s="1"/>
      <c r="L11051" s="2"/>
    </row>
    <row r="11052" spans="1:12" x14ac:dyDescent="0.2">
      <c r="A11052"/>
      <c r="B11052"/>
      <c r="C11052"/>
      <c r="D11052"/>
      <c r="E11052"/>
      <c r="F11052"/>
      <c r="G11052"/>
      <c r="H11052"/>
      <c r="I11052"/>
      <c r="J11052"/>
      <c r="K11052" s="1"/>
      <c r="L11052" s="2"/>
    </row>
    <row r="11053" spans="1:12" x14ac:dyDescent="0.2">
      <c r="A11053"/>
      <c r="B11053"/>
      <c r="C11053"/>
      <c r="D11053"/>
      <c r="E11053"/>
      <c r="F11053"/>
      <c r="G11053"/>
      <c r="H11053"/>
      <c r="I11053"/>
      <c r="J11053"/>
      <c r="K11053" s="1"/>
      <c r="L11053" s="2"/>
    </row>
    <row r="11054" spans="1:12" x14ac:dyDescent="0.2">
      <c r="A11054"/>
      <c r="B11054"/>
      <c r="C11054"/>
      <c r="D11054"/>
      <c r="E11054"/>
      <c r="F11054"/>
      <c r="G11054"/>
      <c r="H11054"/>
      <c r="I11054"/>
      <c r="J11054"/>
      <c r="K11054" s="1"/>
      <c r="L11054" s="2"/>
    </row>
    <row r="11055" spans="1:12" x14ac:dyDescent="0.2">
      <c r="A11055"/>
      <c r="B11055"/>
      <c r="C11055"/>
      <c r="D11055"/>
      <c r="E11055"/>
      <c r="F11055"/>
      <c r="G11055"/>
      <c r="H11055"/>
      <c r="I11055"/>
      <c r="J11055"/>
      <c r="K11055" s="1"/>
      <c r="L11055" s="2"/>
    </row>
    <row r="11056" spans="1:12" x14ac:dyDescent="0.2">
      <c r="A11056"/>
      <c r="B11056"/>
      <c r="C11056"/>
      <c r="D11056"/>
      <c r="E11056"/>
      <c r="F11056"/>
      <c r="G11056"/>
      <c r="H11056"/>
      <c r="I11056"/>
      <c r="J11056"/>
      <c r="K11056" s="1"/>
      <c r="L11056" s="2"/>
    </row>
    <row r="11057" spans="1:12" x14ac:dyDescent="0.2">
      <c r="A11057"/>
      <c r="B11057"/>
      <c r="C11057"/>
      <c r="D11057"/>
      <c r="E11057"/>
      <c r="F11057"/>
      <c r="G11057"/>
      <c r="H11057"/>
      <c r="I11057"/>
      <c r="J11057"/>
      <c r="K11057" s="1"/>
      <c r="L11057" s="2"/>
    </row>
    <row r="11058" spans="1:12" x14ac:dyDescent="0.2">
      <c r="A11058"/>
      <c r="B11058"/>
      <c r="C11058"/>
      <c r="D11058"/>
      <c r="E11058"/>
      <c r="F11058"/>
      <c r="G11058"/>
      <c r="H11058"/>
      <c r="I11058"/>
      <c r="J11058"/>
      <c r="K11058" s="1"/>
      <c r="L11058" s="2"/>
    </row>
    <row r="11059" spans="1:12" x14ac:dyDescent="0.2">
      <c r="A11059"/>
      <c r="B11059"/>
      <c r="C11059"/>
      <c r="D11059"/>
      <c r="E11059"/>
      <c r="F11059"/>
      <c r="G11059"/>
      <c r="H11059"/>
      <c r="I11059"/>
      <c r="J11059"/>
      <c r="K11059" s="1"/>
      <c r="L11059" s="2"/>
    </row>
    <row r="11060" spans="1:12" x14ac:dyDescent="0.2">
      <c r="A11060"/>
      <c r="B11060"/>
      <c r="C11060"/>
      <c r="D11060"/>
      <c r="E11060"/>
      <c r="F11060"/>
      <c r="G11060"/>
      <c r="H11060"/>
      <c r="I11060"/>
      <c r="J11060"/>
      <c r="K11060" s="1"/>
      <c r="L11060" s="2"/>
    </row>
    <row r="11061" spans="1:12" x14ac:dyDescent="0.2">
      <c r="A11061"/>
      <c r="B11061"/>
      <c r="C11061"/>
      <c r="D11061"/>
      <c r="E11061"/>
      <c r="F11061"/>
      <c r="G11061"/>
      <c r="H11061"/>
      <c r="I11061"/>
      <c r="J11061"/>
      <c r="K11061" s="1"/>
      <c r="L11061" s="2"/>
    </row>
    <row r="11062" spans="1:12" x14ac:dyDescent="0.2">
      <c r="A11062"/>
      <c r="B11062"/>
      <c r="C11062"/>
      <c r="D11062"/>
      <c r="E11062"/>
      <c r="F11062"/>
      <c r="G11062"/>
      <c r="H11062"/>
      <c r="I11062"/>
      <c r="J11062"/>
      <c r="K11062" s="1"/>
      <c r="L11062" s="2"/>
    </row>
    <row r="11063" spans="1:12" x14ac:dyDescent="0.2">
      <c r="A11063"/>
      <c r="B11063"/>
      <c r="C11063"/>
      <c r="D11063"/>
      <c r="E11063"/>
      <c r="F11063"/>
      <c r="G11063"/>
      <c r="H11063"/>
      <c r="I11063"/>
      <c r="J11063"/>
      <c r="K11063" s="1"/>
      <c r="L11063" s="2"/>
    </row>
    <row r="11064" spans="1:12" x14ac:dyDescent="0.2">
      <c r="A11064"/>
      <c r="B11064"/>
      <c r="C11064"/>
      <c r="D11064"/>
      <c r="E11064"/>
      <c r="F11064"/>
      <c r="G11064"/>
      <c r="H11064"/>
      <c r="I11064"/>
      <c r="J11064"/>
      <c r="K11064" s="1"/>
      <c r="L11064" s="2"/>
    </row>
    <row r="11065" spans="1:12" x14ac:dyDescent="0.2">
      <c r="A11065"/>
      <c r="B11065"/>
      <c r="C11065"/>
      <c r="D11065"/>
      <c r="E11065"/>
      <c r="F11065"/>
      <c r="G11065"/>
      <c r="H11065"/>
      <c r="I11065"/>
      <c r="J11065"/>
      <c r="K11065" s="1"/>
      <c r="L11065" s="2"/>
    </row>
    <row r="11066" spans="1:12" x14ac:dyDescent="0.2">
      <c r="A11066"/>
      <c r="B11066"/>
      <c r="C11066"/>
      <c r="D11066"/>
      <c r="E11066"/>
      <c r="F11066"/>
      <c r="G11066"/>
      <c r="H11066"/>
      <c r="I11066"/>
      <c r="J11066"/>
      <c r="K11066" s="1"/>
      <c r="L11066" s="2"/>
    </row>
    <row r="11067" spans="1:12" x14ac:dyDescent="0.2">
      <c r="A11067"/>
      <c r="B11067"/>
      <c r="C11067"/>
      <c r="D11067"/>
      <c r="E11067"/>
      <c r="F11067"/>
      <c r="G11067"/>
      <c r="H11067"/>
      <c r="I11067"/>
      <c r="J11067"/>
      <c r="K11067" s="1"/>
      <c r="L11067" s="2"/>
    </row>
    <row r="11068" spans="1:12" x14ac:dyDescent="0.2">
      <c r="A11068"/>
      <c r="B11068"/>
      <c r="C11068"/>
      <c r="D11068"/>
      <c r="E11068"/>
      <c r="F11068"/>
      <c r="G11068"/>
      <c r="H11068"/>
      <c r="I11068"/>
      <c r="J11068"/>
      <c r="K11068" s="1"/>
      <c r="L11068" s="2"/>
    </row>
    <row r="11069" spans="1:12" x14ac:dyDescent="0.2">
      <c r="A11069"/>
      <c r="B11069"/>
      <c r="C11069"/>
      <c r="D11069"/>
      <c r="E11069"/>
      <c r="F11069"/>
      <c r="G11069"/>
      <c r="H11069"/>
      <c r="I11069"/>
      <c r="J11069"/>
      <c r="K11069" s="1"/>
      <c r="L11069" s="2"/>
    </row>
    <row r="11070" spans="1:12" x14ac:dyDescent="0.2">
      <c r="A11070"/>
      <c r="B11070"/>
      <c r="C11070"/>
      <c r="D11070"/>
      <c r="E11070"/>
      <c r="F11070"/>
      <c r="G11070"/>
      <c r="H11070"/>
      <c r="I11070"/>
      <c r="J11070"/>
      <c r="K11070" s="1"/>
      <c r="L11070" s="2"/>
    </row>
    <row r="11071" spans="1:12" x14ac:dyDescent="0.2">
      <c r="A11071"/>
      <c r="B11071"/>
      <c r="C11071"/>
      <c r="D11071"/>
      <c r="E11071"/>
      <c r="F11071"/>
      <c r="G11071"/>
      <c r="H11071"/>
      <c r="I11071"/>
      <c r="J11071"/>
      <c r="K11071" s="1"/>
      <c r="L11071" s="2"/>
    </row>
    <row r="11072" spans="1:12" x14ac:dyDescent="0.2">
      <c r="A11072"/>
      <c r="B11072"/>
      <c r="C11072"/>
      <c r="D11072"/>
      <c r="E11072"/>
      <c r="F11072"/>
      <c r="G11072"/>
      <c r="H11072"/>
      <c r="I11072"/>
      <c r="J11072"/>
      <c r="K11072" s="1"/>
      <c r="L11072" s="2"/>
    </row>
    <row r="11073" spans="1:12" x14ac:dyDescent="0.2">
      <c r="A11073"/>
      <c r="B11073"/>
      <c r="C11073"/>
      <c r="D11073"/>
      <c r="E11073"/>
      <c r="F11073"/>
      <c r="G11073"/>
      <c r="H11073"/>
      <c r="I11073"/>
      <c r="J11073"/>
      <c r="K11073" s="1"/>
      <c r="L11073" s="2"/>
    </row>
    <row r="11074" spans="1:12" x14ac:dyDescent="0.2">
      <c r="A11074"/>
      <c r="B11074"/>
      <c r="C11074"/>
      <c r="D11074"/>
      <c r="E11074"/>
      <c r="F11074"/>
      <c r="G11074"/>
      <c r="H11074"/>
      <c r="I11074"/>
      <c r="J11074"/>
      <c r="K11074" s="1"/>
      <c r="L11074" s="2"/>
    </row>
    <row r="11075" spans="1:12" x14ac:dyDescent="0.2">
      <c r="A11075"/>
      <c r="B11075"/>
      <c r="C11075"/>
      <c r="D11075"/>
      <c r="E11075"/>
      <c r="F11075"/>
      <c r="G11075"/>
      <c r="H11075"/>
      <c r="I11075"/>
      <c r="J11075"/>
      <c r="K11075" s="1"/>
      <c r="L11075" s="2"/>
    </row>
    <row r="11076" spans="1:12" x14ac:dyDescent="0.2">
      <c r="A11076"/>
      <c r="B11076"/>
      <c r="C11076"/>
      <c r="D11076"/>
      <c r="E11076"/>
      <c r="F11076"/>
      <c r="G11076"/>
      <c r="H11076"/>
      <c r="I11076"/>
      <c r="J11076"/>
      <c r="K11076" s="1"/>
      <c r="L11076" s="2"/>
    </row>
    <row r="11077" spans="1:12" x14ac:dyDescent="0.2">
      <c r="A11077"/>
      <c r="B11077"/>
      <c r="C11077"/>
      <c r="D11077"/>
      <c r="E11077"/>
      <c r="F11077"/>
      <c r="G11077"/>
      <c r="H11077"/>
      <c r="I11077"/>
      <c r="J11077"/>
      <c r="K11077" s="1"/>
      <c r="L11077" s="2"/>
    </row>
    <row r="11078" spans="1:12" x14ac:dyDescent="0.2">
      <c r="A11078"/>
      <c r="B11078"/>
      <c r="C11078"/>
      <c r="D11078"/>
      <c r="E11078"/>
      <c r="F11078"/>
      <c r="G11078"/>
      <c r="H11078"/>
      <c r="I11078"/>
      <c r="J11078"/>
      <c r="K11078" s="1"/>
      <c r="L11078" s="2"/>
    </row>
    <row r="11079" spans="1:12" x14ac:dyDescent="0.2">
      <c r="A11079"/>
      <c r="B11079"/>
      <c r="C11079"/>
      <c r="D11079"/>
      <c r="E11079"/>
      <c r="F11079"/>
      <c r="G11079"/>
      <c r="H11079"/>
      <c r="I11079"/>
      <c r="J11079"/>
      <c r="K11079" s="1"/>
      <c r="L11079" s="2"/>
    </row>
    <row r="11080" spans="1:12" x14ac:dyDescent="0.2">
      <c r="A11080"/>
      <c r="B11080"/>
      <c r="C11080"/>
      <c r="D11080"/>
      <c r="E11080"/>
      <c r="F11080"/>
      <c r="G11080"/>
      <c r="H11080"/>
      <c r="I11080"/>
      <c r="J11080"/>
      <c r="K11080" s="1"/>
      <c r="L11080" s="2"/>
    </row>
    <row r="11081" spans="1:12" x14ac:dyDescent="0.2">
      <c r="A11081"/>
      <c r="B11081"/>
      <c r="C11081"/>
      <c r="D11081"/>
      <c r="E11081"/>
      <c r="F11081"/>
      <c r="G11081"/>
      <c r="H11081"/>
      <c r="I11081"/>
      <c r="J11081"/>
      <c r="K11081" s="1"/>
      <c r="L11081" s="2"/>
    </row>
    <row r="11082" spans="1:12" x14ac:dyDescent="0.2">
      <c r="A11082"/>
      <c r="B11082"/>
      <c r="C11082"/>
      <c r="D11082"/>
      <c r="E11082"/>
      <c r="F11082"/>
      <c r="G11082"/>
      <c r="H11082"/>
      <c r="I11082"/>
      <c r="J11082"/>
      <c r="K11082" s="1"/>
      <c r="L11082" s="2"/>
    </row>
    <row r="11083" spans="1:12" x14ac:dyDescent="0.2">
      <c r="A11083"/>
      <c r="B11083"/>
      <c r="C11083"/>
      <c r="D11083"/>
      <c r="E11083"/>
      <c r="F11083"/>
      <c r="G11083"/>
      <c r="H11083"/>
      <c r="I11083"/>
      <c r="J11083"/>
      <c r="K11083" s="1"/>
      <c r="L11083" s="2"/>
    </row>
    <row r="11084" spans="1:12" x14ac:dyDescent="0.2">
      <c r="A11084"/>
      <c r="B11084"/>
      <c r="C11084"/>
      <c r="D11084"/>
      <c r="E11084"/>
      <c r="F11084"/>
      <c r="G11084"/>
      <c r="H11084"/>
      <c r="I11084"/>
      <c r="J11084"/>
      <c r="K11084" s="1"/>
      <c r="L11084" s="2"/>
    </row>
    <row r="11085" spans="1:12" x14ac:dyDescent="0.2">
      <c r="A11085"/>
      <c r="B11085"/>
      <c r="C11085"/>
      <c r="D11085"/>
      <c r="E11085"/>
      <c r="F11085"/>
      <c r="G11085"/>
      <c r="H11085"/>
      <c r="I11085"/>
      <c r="J11085"/>
      <c r="K11085" s="1"/>
      <c r="L11085" s="2"/>
    </row>
    <row r="11086" spans="1:12" x14ac:dyDescent="0.2">
      <c r="A11086"/>
      <c r="B11086"/>
      <c r="C11086"/>
      <c r="D11086"/>
      <c r="E11086"/>
      <c r="F11086"/>
      <c r="G11086"/>
      <c r="H11086"/>
      <c r="I11086"/>
      <c r="J11086"/>
      <c r="K11086" s="1"/>
      <c r="L11086" s="2"/>
    </row>
    <row r="11087" spans="1:12" x14ac:dyDescent="0.2">
      <c r="A11087"/>
      <c r="B11087"/>
      <c r="C11087"/>
      <c r="D11087"/>
      <c r="E11087"/>
      <c r="F11087"/>
      <c r="G11087"/>
      <c r="H11087"/>
      <c r="I11087"/>
      <c r="J11087"/>
      <c r="K11087" s="1"/>
      <c r="L11087" s="2"/>
    </row>
    <row r="11088" spans="1:12" x14ac:dyDescent="0.2">
      <c r="A11088"/>
      <c r="B11088"/>
      <c r="C11088"/>
      <c r="D11088"/>
      <c r="E11088"/>
      <c r="F11088"/>
      <c r="G11088"/>
      <c r="H11088"/>
      <c r="I11088"/>
      <c r="J11088"/>
      <c r="K11088" s="1"/>
      <c r="L11088" s="2"/>
    </row>
    <row r="11089" spans="1:12" x14ac:dyDescent="0.2">
      <c r="A11089"/>
      <c r="B11089"/>
      <c r="C11089"/>
      <c r="D11089"/>
      <c r="E11089"/>
      <c r="F11089"/>
      <c r="G11089"/>
      <c r="H11089"/>
      <c r="I11089"/>
      <c r="J11089"/>
      <c r="K11089" s="1"/>
      <c r="L11089" s="2"/>
    </row>
    <row r="11090" spans="1:12" x14ac:dyDescent="0.2">
      <c r="A11090"/>
      <c r="B11090"/>
      <c r="C11090"/>
      <c r="D11090"/>
      <c r="E11090"/>
      <c r="F11090"/>
      <c r="G11090"/>
      <c r="H11090"/>
      <c r="I11090"/>
      <c r="J11090"/>
      <c r="K11090" s="1"/>
      <c r="L11090" s="2"/>
    </row>
    <row r="11091" spans="1:12" x14ac:dyDescent="0.2">
      <c r="A11091"/>
      <c r="B11091"/>
      <c r="C11091"/>
      <c r="D11091"/>
      <c r="E11091"/>
      <c r="F11091"/>
      <c r="G11091"/>
      <c r="H11091"/>
      <c r="I11091"/>
      <c r="J11091"/>
      <c r="K11091" s="1"/>
      <c r="L11091" s="2"/>
    </row>
    <row r="11092" spans="1:12" x14ac:dyDescent="0.2">
      <c r="A11092"/>
      <c r="B11092"/>
      <c r="C11092"/>
      <c r="D11092"/>
      <c r="E11092"/>
      <c r="F11092"/>
      <c r="G11092"/>
      <c r="H11092"/>
      <c r="I11092"/>
      <c r="J11092"/>
      <c r="K11092" s="1"/>
      <c r="L11092" s="2"/>
    </row>
    <row r="11093" spans="1:12" x14ac:dyDescent="0.2">
      <c r="A11093"/>
      <c r="B11093"/>
      <c r="C11093"/>
      <c r="D11093"/>
      <c r="E11093"/>
      <c r="F11093"/>
      <c r="G11093"/>
      <c r="H11093"/>
      <c r="I11093"/>
      <c r="J11093"/>
      <c r="K11093" s="1"/>
      <c r="L11093" s="2"/>
    </row>
    <row r="11094" spans="1:12" x14ac:dyDescent="0.2">
      <c r="A11094"/>
      <c r="B11094"/>
      <c r="C11094"/>
      <c r="D11094"/>
      <c r="E11094"/>
      <c r="F11094"/>
      <c r="G11094"/>
      <c r="H11094"/>
      <c r="I11094"/>
      <c r="J11094"/>
      <c r="K11094" s="1"/>
      <c r="L11094" s="2"/>
    </row>
    <row r="11095" spans="1:12" x14ac:dyDescent="0.2">
      <c r="A11095"/>
      <c r="B11095"/>
      <c r="C11095"/>
      <c r="D11095"/>
      <c r="E11095"/>
      <c r="F11095"/>
      <c r="G11095"/>
      <c r="H11095"/>
      <c r="I11095"/>
      <c r="J11095"/>
      <c r="K11095" s="1"/>
      <c r="L11095" s="2"/>
    </row>
    <row r="11096" spans="1:12" x14ac:dyDescent="0.2">
      <c r="A11096"/>
      <c r="B11096"/>
      <c r="C11096"/>
      <c r="D11096"/>
      <c r="E11096"/>
      <c r="F11096"/>
      <c r="G11096"/>
      <c r="H11096"/>
      <c r="I11096"/>
      <c r="J11096"/>
      <c r="K11096" s="1"/>
      <c r="L11096" s="2"/>
    </row>
    <row r="11097" spans="1:12" x14ac:dyDescent="0.2">
      <c r="A11097"/>
      <c r="B11097"/>
      <c r="C11097"/>
      <c r="D11097"/>
      <c r="E11097"/>
      <c r="F11097"/>
      <c r="G11097"/>
      <c r="H11097"/>
      <c r="I11097"/>
      <c r="J11097"/>
      <c r="K11097" s="1"/>
      <c r="L11097" s="2"/>
    </row>
    <row r="11098" spans="1:12" x14ac:dyDescent="0.2">
      <c r="A11098"/>
      <c r="B11098"/>
      <c r="C11098"/>
      <c r="D11098"/>
      <c r="E11098"/>
      <c r="F11098"/>
      <c r="G11098"/>
      <c r="H11098"/>
      <c r="I11098"/>
      <c r="J11098"/>
      <c r="K11098" s="1"/>
      <c r="L11098" s="2"/>
    </row>
    <row r="11099" spans="1:12" x14ac:dyDescent="0.2">
      <c r="A11099"/>
      <c r="B11099"/>
      <c r="C11099"/>
      <c r="D11099"/>
      <c r="E11099"/>
      <c r="F11099"/>
      <c r="G11099"/>
      <c r="H11099"/>
      <c r="I11099"/>
      <c r="J11099"/>
      <c r="K11099" s="1"/>
      <c r="L11099" s="2"/>
    </row>
    <row r="11100" spans="1:12" x14ac:dyDescent="0.2">
      <c r="A11100"/>
      <c r="B11100"/>
      <c r="C11100"/>
      <c r="D11100"/>
      <c r="E11100"/>
      <c r="F11100"/>
      <c r="G11100"/>
      <c r="H11100"/>
      <c r="I11100"/>
      <c r="J11100"/>
      <c r="K11100" s="1"/>
      <c r="L11100" s="2"/>
    </row>
    <row r="11101" spans="1:12" x14ac:dyDescent="0.2">
      <c r="A11101"/>
      <c r="B11101"/>
      <c r="C11101"/>
      <c r="D11101"/>
      <c r="E11101"/>
      <c r="F11101"/>
      <c r="G11101"/>
      <c r="H11101"/>
      <c r="I11101"/>
      <c r="J11101"/>
      <c r="K11101" s="1"/>
      <c r="L11101" s="2"/>
    </row>
    <row r="11102" spans="1:12" x14ac:dyDescent="0.2">
      <c r="A11102"/>
      <c r="B11102"/>
      <c r="C11102"/>
      <c r="D11102"/>
      <c r="E11102"/>
      <c r="F11102"/>
      <c r="G11102"/>
      <c r="H11102"/>
      <c r="I11102"/>
      <c r="J11102"/>
      <c r="K11102" s="1"/>
      <c r="L11102" s="2"/>
    </row>
    <row r="11103" spans="1:12" x14ac:dyDescent="0.2">
      <c r="A11103"/>
      <c r="B11103"/>
      <c r="C11103"/>
      <c r="D11103"/>
      <c r="E11103"/>
      <c r="F11103"/>
      <c r="G11103"/>
      <c r="H11103"/>
      <c r="I11103"/>
      <c r="J11103"/>
      <c r="K11103" s="1"/>
      <c r="L11103" s="2"/>
    </row>
    <row r="11104" spans="1:12" x14ac:dyDescent="0.2">
      <c r="A11104"/>
      <c r="B11104"/>
      <c r="C11104"/>
      <c r="D11104"/>
      <c r="E11104"/>
      <c r="F11104"/>
      <c r="G11104"/>
      <c r="H11104"/>
      <c r="I11104"/>
      <c r="J11104"/>
      <c r="K11104" s="1"/>
      <c r="L11104" s="2"/>
    </row>
    <row r="11105" spans="1:12" x14ac:dyDescent="0.2">
      <c r="A11105"/>
      <c r="B11105"/>
      <c r="C11105"/>
      <c r="D11105"/>
      <c r="E11105"/>
      <c r="F11105"/>
      <c r="G11105"/>
      <c r="H11105"/>
      <c r="I11105"/>
      <c r="J11105"/>
      <c r="K11105" s="1"/>
      <c r="L11105" s="2"/>
    </row>
    <row r="11106" spans="1:12" x14ac:dyDescent="0.2">
      <c r="A11106"/>
      <c r="B11106"/>
      <c r="C11106"/>
      <c r="D11106"/>
      <c r="E11106"/>
      <c r="F11106"/>
      <c r="G11106"/>
      <c r="H11106"/>
      <c r="I11106"/>
      <c r="J11106"/>
      <c r="K11106" s="1"/>
      <c r="L11106" s="2"/>
    </row>
    <row r="11107" spans="1:12" x14ac:dyDescent="0.2">
      <c r="A11107"/>
      <c r="B11107"/>
      <c r="C11107"/>
      <c r="D11107"/>
      <c r="E11107"/>
      <c r="F11107"/>
      <c r="G11107"/>
      <c r="H11107"/>
      <c r="I11107"/>
      <c r="J11107"/>
      <c r="K11107" s="1"/>
      <c r="L11107" s="2"/>
    </row>
    <row r="11108" spans="1:12" x14ac:dyDescent="0.2">
      <c r="A11108"/>
      <c r="B11108"/>
      <c r="C11108"/>
      <c r="D11108"/>
      <c r="E11108"/>
      <c r="F11108"/>
      <c r="G11108"/>
      <c r="H11108"/>
      <c r="I11108"/>
      <c r="J11108"/>
      <c r="K11108" s="1"/>
      <c r="L11108" s="2"/>
    </row>
    <row r="11109" spans="1:12" x14ac:dyDescent="0.2">
      <c r="A11109"/>
      <c r="B11109"/>
      <c r="C11109"/>
      <c r="D11109"/>
      <c r="E11109"/>
      <c r="F11109"/>
      <c r="G11109"/>
      <c r="H11109"/>
      <c r="I11109"/>
      <c r="J11109"/>
      <c r="K11109" s="1"/>
      <c r="L11109" s="2"/>
    </row>
    <row r="11110" spans="1:12" x14ac:dyDescent="0.2">
      <c r="A11110"/>
      <c r="B11110"/>
      <c r="C11110"/>
      <c r="D11110"/>
      <c r="E11110"/>
      <c r="F11110"/>
      <c r="G11110"/>
      <c r="H11110"/>
      <c r="I11110"/>
      <c r="J11110"/>
      <c r="K11110" s="1"/>
      <c r="L11110" s="2"/>
    </row>
    <row r="11111" spans="1:12" x14ac:dyDescent="0.2">
      <c r="A11111"/>
      <c r="B11111"/>
      <c r="C11111"/>
      <c r="D11111"/>
      <c r="E11111"/>
      <c r="F11111"/>
      <c r="G11111"/>
      <c r="H11111"/>
      <c r="I11111"/>
      <c r="J11111"/>
      <c r="K11111" s="1"/>
      <c r="L11111" s="2"/>
    </row>
    <row r="11112" spans="1:12" x14ac:dyDescent="0.2">
      <c r="A11112"/>
      <c r="B11112"/>
      <c r="C11112"/>
      <c r="D11112"/>
      <c r="E11112"/>
      <c r="F11112"/>
      <c r="G11112"/>
      <c r="H11112"/>
      <c r="I11112"/>
      <c r="J11112"/>
      <c r="K11112" s="1"/>
      <c r="L11112" s="2"/>
    </row>
    <row r="11113" spans="1:12" x14ac:dyDescent="0.2">
      <c r="A11113"/>
      <c r="B11113"/>
      <c r="C11113"/>
      <c r="D11113"/>
      <c r="E11113"/>
      <c r="F11113"/>
      <c r="G11113"/>
      <c r="H11113"/>
      <c r="I11113"/>
      <c r="J11113"/>
      <c r="K11113" s="1"/>
      <c r="L11113" s="2"/>
    </row>
    <row r="11114" spans="1:12" x14ac:dyDescent="0.2">
      <c r="A11114"/>
      <c r="B11114"/>
      <c r="C11114"/>
      <c r="D11114"/>
      <c r="E11114"/>
      <c r="F11114"/>
      <c r="G11114"/>
      <c r="H11114"/>
      <c r="I11114"/>
      <c r="J11114"/>
      <c r="K11114" s="1"/>
      <c r="L11114" s="2"/>
    </row>
    <row r="11115" spans="1:12" x14ac:dyDescent="0.2">
      <c r="A11115"/>
      <c r="B11115"/>
      <c r="C11115"/>
      <c r="D11115"/>
      <c r="E11115"/>
      <c r="F11115"/>
      <c r="G11115"/>
      <c r="H11115"/>
      <c r="I11115"/>
      <c r="J11115"/>
      <c r="K11115" s="1"/>
      <c r="L11115" s="2"/>
    </row>
    <row r="11116" spans="1:12" x14ac:dyDescent="0.2">
      <c r="A11116"/>
      <c r="B11116"/>
      <c r="C11116"/>
      <c r="D11116"/>
      <c r="E11116"/>
      <c r="F11116"/>
      <c r="G11116"/>
      <c r="H11116"/>
      <c r="I11116"/>
      <c r="J11116"/>
      <c r="K11116" s="1"/>
      <c r="L11116" s="2"/>
    </row>
    <row r="11117" spans="1:12" x14ac:dyDescent="0.2">
      <c r="A11117"/>
      <c r="B11117"/>
      <c r="C11117"/>
      <c r="D11117"/>
      <c r="E11117"/>
      <c r="F11117"/>
      <c r="G11117"/>
      <c r="H11117"/>
      <c r="I11117"/>
      <c r="J11117"/>
      <c r="K11117" s="1"/>
      <c r="L11117" s="2"/>
    </row>
    <row r="11118" spans="1:12" x14ac:dyDescent="0.2">
      <c r="A11118"/>
      <c r="B11118"/>
      <c r="C11118"/>
      <c r="D11118"/>
      <c r="E11118"/>
      <c r="F11118"/>
      <c r="G11118"/>
      <c r="H11118"/>
      <c r="I11118"/>
      <c r="J11118"/>
      <c r="K11118" s="1"/>
      <c r="L11118" s="2"/>
    </row>
    <row r="11119" spans="1:12" x14ac:dyDescent="0.2">
      <c r="A11119"/>
      <c r="B11119"/>
      <c r="C11119"/>
      <c r="D11119"/>
      <c r="E11119"/>
      <c r="F11119"/>
      <c r="G11119"/>
      <c r="H11119"/>
      <c r="I11119"/>
      <c r="J11119"/>
      <c r="K11119" s="1"/>
      <c r="L11119" s="2"/>
    </row>
    <row r="11120" spans="1:12" x14ac:dyDescent="0.2">
      <c r="A11120"/>
      <c r="B11120"/>
      <c r="C11120"/>
      <c r="D11120"/>
      <c r="E11120"/>
      <c r="F11120"/>
      <c r="G11120"/>
      <c r="H11120"/>
      <c r="I11120"/>
      <c r="J11120"/>
      <c r="K11120" s="1"/>
      <c r="L11120" s="2"/>
    </row>
    <row r="11121" spans="1:12" x14ac:dyDescent="0.2">
      <c r="A11121"/>
      <c r="B11121"/>
      <c r="C11121"/>
      <c r="D11121"/>
      <c r="E11121"/>
      <c r="F11121"/>
      <c r="G11121"/>
      <c r="H11121"/>
      <c r="I11121"/>
      <c r="J11121"/>
      <c r="K11121" s="1"/>
      <c r="L11121" s="2"/>
    </row>
    <row r="11122" spans="1:12" x14ac:dyDescent="0.2">
      <c r="A11122"/>
      <c r="B11122"/>
      <c r="C11122"/>
      <c r="D11122"/>
      <c r="E11122"/>
      <c r="F11122"/>
      <c r="G11122"/>
      <c r="H11122"/>
      <c r="I11122"/>
      <c r="J11122"/>
      <c r="K11122" s="1"/>
      <c r="L11122" s="2"/>
    </row>
    <row r="11123" spans="1:12" x14ac:dyDescent="0.2">
      <c r="A11123"/>
      <c r="B11123"/>
      <c r="C11123"/>
      <c r="D11123"/>
      <c r="E11123"/>
      <c r="F11123"/>
      <c r="G11123"/>
      <c r="H11123"/>
      <c r="I11123"/>
      <c r="J11123"/>
      <c r="K11123" s="1"/>
      <c r="L11123" s="2"/>
    </row>
    <row r="11124" spans="1:12" x14ac:dyDescent="0.2">
      <c r="A11124"/>
      <c r="B11124"/>
      <c r="C11124"/>
      <c r="D11124"/>
      <c r="E11124"/>
      <c r="F11124"/>
      <c r="G11124"/>
      <c r="H11124"/>
      <c r="I11124"/>
      <c r="J11124"/>
      <c r="K11124" s="1"/>
      <c r="L11124" s="2"/>
    </row>
    <row r="11125" spans="1:12" x14ac:dyDescent="0.2">
      <c r="A11125"/>
      <c r="B11125"/>
      <c r="C11125"/>
      <c r="D11125"/>
      <c r="E11125"/>
      <c r="F11125"/>
      <c r="G11125"/>
      <c r="H11125"/>
      <c r="I11125"/>
      <c r="J11125"/>
      <c r="K11125" s="1"/>
      <c r="L11125" s="2"/>
    </row>
    <row r="11126" spans="1:12" x14ac:dyDescent="0.2">
      <c r="A11126"/>
      <c r="B11126"/>
      <c r="C11126"/>
      <c r="D11126"/>
      <c r="E11126"/>
      <c r="F11126"/>
      <c r="G11126"/>
      <c r="H11126"/>
      <c r="I11126"/>
      <c r="J11126"/>
      <c r="K11126" s="1"/>
      <c r="L11126" s="2"/>
    </row>
    <row r="11127" spans="1:12" x14ac:dyDescent="0.2">
      <c r="A11127"/>
      <c r="B11127"/>
      <c r="C11127"/>
      <c r="D11127"/>
      <c r="E11127"/>
      <c r="F11127"/>
      <c r="G11127"/>
      <c r="H11127"/>
      <c r="I11127"/>
      <c r="J11127"/>
      <c r="K11127" s="1"/>
      <c r="L11127" s="2"/>
    </row>
    <row r="11128" spans="1:12" x14ac:dyDescent="0.2">
      <c r="A11128"/>
      <c r="B11128"/>
      <c r="C11128"/>
      <c r="D11128"/>
      <c r="E11128"/>
      <c r="F11128"/>
      <c r="G11128"/>
      <c r="H11128"/>
      <c r="I11128"/>
      <c r="J11128"/>
      <c r="K11128" s="1"/>
      <c r="L11128" s="2"/>
    </row>
    <row r="11129" spans="1:12" x14ac:dyDescent="0.2">
      <c r="A11129"/>
      <c r="B11129"/>
      <c r="C11129"/>
      <c r="D11129"/>
      <c r="E11129"/>
      <c r="F11129"/>
      <c r="G11129"/>
      <c r="H11129"/>
      <c r="I11129"/>
      <c r="J11129"/>
      <c r="K11129" s="1"/>
      <c r="L11129" s="2"/>
    </row>
    <row r="11130" spans="1:12" x14ac:dyDescent="0.2">
      <c r="A11130"/>
      <c r="B11130"/>
      <c r="C11130"/>
      <c r="D11130"/>
      <c r="E11130"/>
      <c r="F11130"/>
      <c r="G11130"/>
      <c r="H11130"/>
      <c r="I11130"/>
      <c r="J11130"/>
      <c r="K11130" s="1"/>
      <c r="L11130" s="2"/>
    </row>
    <row r="11131" spans="1:12" x14ac:dyDescent="0.2">
      <c r="A11131"/>
      <c r="B11131"/>
      <c r="C11131"/>
      <c r="D11131"/>
      <c r="E11131"/>
      <c r="F11131"/>
      <c r="G11131"/>
      <c r="H11131"/>
      <c r="I11131"/>
      <c r="J11131"/>
      <c r="K11131" s="1"/>
      <c r="L11131" s="2"/>
    </row>
    <row r="11132" spans="1:12" x14ac:dyDescent="0.2">
      <c r="A11132"/>
      <c r="B11132"/>
      <c r="C11132"/>
      <c r="D11132"/>
      <c r="E11132"/>
      <c r="F11132"/>
      <c r="G11132"/>
      <c r="H11132"/>
      <c r="I11132"/>
      <c r="J11132"/>
      <c r="K11132" s="1"/>
      <c r="L11132" s="2"/>
    </row>
    <row r="11133" spans="1:12" x14ac:dyDescent="0.2">
      <c r="A11133"/>
      <c r="B11133"/>
      <c r="C11133"/>
      <c r="D11133"/>
      <c r="E11133"/>
      <c r="F11133"/>
      <c r="G11133"/>
      <c r="H11133"/>
      <c r="I11133"/>
      <c r="J11133"/>
      <c r="K11133" s="1"/>
      <c r="L11133" s="2"/>
    </row>
    <row r="11134" spans="1:12" x14ac:dyDescent="0.2">
      <c r="A11134"/>
      <c r="B11134"/>
      <c r="C11134"/>
      <c r="D11134"/>
      <c r="E11134"/>
      <c r="F11134"/>
      <c r="G11134"/>
      <c r="H11134"/>
      <c r="I11134"/>
      <c r="J11134"/>
      <c r="K11134" s="1"/>
      <c r="L11134" s="2"/>
    </row>
    <row r="11135" spans="1:12" x14ac:dyDescent="0.2">
      <c r="A11135"/>
      <c r="B11135"/>
      <c r="C11135"/>
      <c r="D11135"/>
      <c r="E11135"/>
      <c r="F11135"/>
      <c r="G11135"/>
      <c r="H11135"/>
      <c r="I11135"/>
      <c r="J11135"/>
      <c r="K11135" s="1"/>
      <c r="L11135" s="2"/>
    </row>
    <row r="11136" spans="1:12" x14ac:dyDescent="0.2">
      <c r="A11136"/>
      <c r="B11136"/>
      <c r="C11136"/>
      <c r="D11136"/>
      <c r="E11136"/>
      <c r="F11136"/>
      <c r="G11136"/>
      <c r="H11136"/>
      <c r="I11136"/>
      <c r="J11136"/>
      <c r="K11136" s="1"/>
      <c r="L11136" s="2"/>
    </row>
    <row r="11137" spans="1:12" x14ac:dyDescent="0.2">
      <c r="A11137"/>
      <c r="B11137"/>
      <c r="C11137"/>
      <c r="D11137"/>
      <c r="E11137"/>
      <c r="F11137"/>
      <c r="G11137"/>
      <c r="H11137"/>
      <c r="I11137"/>
      <c r="J11137"/>
      <c r="K11137" s="1"/>
      <c r="L11137" s="2"/>
    </row>
    <row r="11138" spans="1:12" x14ac:dyDescent="0.2">
      <c r="A11138"/>
      <c r="B11138"/>
      <c r="C11138"/>
      <c r="D11138"/>
      <c r="E11138"/>
      <c r="F11138"/>
      <c r="G11138"/>
      <c r="H11138"/>
      <c r="I11138"/>
      <c r="J11138"/>
      <c r="K11138" s="1"/>
      <c r="L11138" s="2"/>
    </row>
    <row r="11139" spans="1:12" x14ac:dyDescent="0.2">
      <c r="A11139"/>
      <c r="B11139"/>
      <c r="C11139"/>
      <c r="D11139"/>
      <c r="E11139"/>
      <c r="F11139"/>
      <c r="G11139"/>
      <c r="H11139"/>
      <c r="I11139"/>
      <c r="J11139"/>
      <c r="K11139" s="1"/>
      <c r="L11139" s="2"/>
    </row>
    <row r="11140" spans="1:12" x14ac:dyDescent="0.2">
      <c r="A11140"/>
      <c r="B11140"/>
      <c r="C11140"/>
      <c r="D11140"/>
      <c r="E11140"/>
      <c r="F11140"/>
      <c r="G11140"/>
      <c r="H11140"/>
      <c r="I11140"/>
      <c r="J11140"/>
      <c r="K11140" s="1"/>
      <c r="L11140" s="2"/>
    </row>
    <row r="11141" spans="1:12" x14ac:dyDescent="0.2">
      <c r="A11141"/>
      <c r="B11141"/>
      <c r="C11141"/>
      <c r="D11141"/>
      <c r="E11141"/>
      <c r="F11141"/>
      <c r="G11141"/>
      <c r="H11141"/>
      <c r="I11141"/>
      <c r="J11141"/>
      <c r="K11141" s="1"/>
      <c r="L11141" s="2"/>
    </row>
    <row r="11142" spans="1:12" x14ac:dyDescent="0.2">
      <c r="A11142"/>
      <c r="B11142"/>
      <c r="C11142"/>
      <c r="D11142"/>
      <c r="E11142"/>
      <c r="F11142"/>
      <c r="G11142"/>
      <c r="H11142"/>
      <c r="I11142"/>
      <c r="J11142"/>
      <c r="K11142" s="1"/>
      <c r="L11142" s="2"/>
    </row>
    <row r="11143" spans="1:12" x14ac:dyDescent="0.2">
      <c r="A11143"/>
      <c r="B11143"/>
      <c r="C11143"/>
      <c r="D11143"/>
      <c r="E11143"/>
      <c r="F11143"/>
      <c r="G11143"/>
      <c r="H11143"/>
      <c r="I11143"/>
      <c r="J11143"/>
      <c r="K11143" s="1"/>
      <c r="L11143" s="2"/>
    </row>
    <row r="11144" spans="1:12" x14ac:dyDescent="0.2">
      <c r="A11144"/>
      <c r="B11144"/>
      <c r="C11144"/>
      <c r="D11144"/>
      <c r="E11144"/>
      <c r="F11144"/>
      <c r="G11144"/>
      <c r="H11144"/>
      <c r="I11144"/>
      <c r="J11144"/>
      <c r="K11144" s="1"/>
      <c r="L11144" s="2"/>
    </row>
    <row r="11145" spans="1:12" x14ac:dyDescent="0.2">
      <c r="A11145"/>
      <c r="B11145"/>
      <c r="C11145"/>
      <c r="D11145"/>
      <c r="E11145"/>
      <c r="F11145"/>
      <c r="G11145"/>
      <c r="H11145"/>
      <c r="I11145"/>
      <c r="J11145"/>
      <c r="K11145" s="1"/>
      <c r="L11145" s="2"/>
    </row>
    <row r="11146" spans="1:12" x14ac:dyDescent="0.2">
      <c r="A11146"/>
      <c r="B11146"/>
      <c r="C11146"/>
      <c r="D11146"/>
      <c r="E11146"/>
      <c r="F11146"/>
      <c r="G11146"/>
      <c r="H11146"/>
      <c r="I11146"/>
      <c r="J11146"/>
      <c r="K11146" s="1"/>
      <c r="L11146" s="2"/>
    </row>
    <row r="11147" spans="1:12" x14ac:dyDescent="0.2">
      <c r="A11147"/>
      <c r="B11147"/>
      <c r="C11147"/>
      <c r="D11147"/>
      <c r="E11147"/>
      <c r="F11147"/>
      <c r="G11147"/>
      <c r="H11147"/>
      <c r="I11147"/>
      <c r="J11147"/>
      <c r="K11147" s="1"/>
      <c r="L11147" s="2"/>
    </row>
    <row r="11148" spans="1:12" x14ac:dyDescent="0.2">
      <c r="A11148"/>
      <c r="B11148"/>
      <c r="C11148"/>
      <c r="D11148"/>
      <c r="E11148"/>
      <c r="F11148"/>
      <c r="G11148"/>
      <c r="H11148"/>
      <c r="I11148"/>
      <c r="J11148"/>
      <c r="K11148" s="1"/>
      <c r="L11148" s="2"/>
    </row>
    <row r="11149" spans="1:12" x14ac:dyDescent="0.2">
      <c r="A11149"/>
      <c r="B11149"/>
      <c r="C11149"/>
      <c r="D11149"/>
      <c r="E11149"/>
      <c r="F11149"/>
      <c r="G11149"/>
      <c r="H11149"/>
      <c r="I11149"/>
      <c r="J11149"/>
      <c r="K11149" s="1"/>
      <c r="L11149" s="2"/>
    </row>
    <row r="11150" spans="1:12" x14ac:dyDescent="0.2">
      <c r="A11150"/>
      <c r="B11150"/>
      <c r="C11150"/>
      <c r="D11150"/>
      <c r="E11150"/>
      <c r="F11150"/>
      <c r="G11150"/>
      <c r="H11150"/>
      <c r="I11150"/>
      <c r="J11150"/>
      <c r="K11150" s="1"/>
      <c r="L11150" s="2"/>
    </row>
    <row r="11151" spans="1:12" x14ac:dyDescent="0.2">
      <c r="A11151"/>
      <c r="B11151"/>
      <c r="C11151"/>
      <c r="D11151"/>
      <c r="E11151"/>
      <c r="F11151"/>
      <c r="G11151"/>
      <c r="H11151"/>
      <c r="I11151"/>
      <c r="J11151"/>
      <c r="K11151" s="1"/>
      <c r="L11151" s="2"/>
    </row>
    <row r="11152" spans="1:12" x14ac:dyDescent="0.2">
      <c r="A11152"/>
      <c r="B11152"/>
      <c r="C11152"/>
      <c r="D11152"/>
      <c r="E11152"/>
      <c r="F11152"/>
      <c r="G11152"/>
      <c r="H11152"/>
      <c r="I11152"/>
      <c r="J11152"/>
      <c r="K11152" s="1"/>
      <c r="L11152" s="2"/>
    </row>
    <row r="11153" spans="1:12" x14ac:dyDescent="0.2">
      <c r="A11153"/>
      <c r="B11153"/>
      <c r="C11153"/>
      <c r="D11153"/>
      <c r="E11153"/>
      <c r="F11153"/>
      <c r="G11153"/>
      <c r="H11153"/>
      <c r="I11153"/>
      <c r="J11153"/>
      <c r="K11153" s="1"/>
      <c r="L11153" s="2"/>
    </row>
    <row r="11154" spans="1:12" x14ac:dyDescent="0.2">
      <c r="A11154"/>
      <c r="B11154"/>
      <c r="C11154"/>
      <c r="D11154"/>
      <c r="E11154"/>
      <c r="F11154"/>
      <c r="G11154"/>
      <c r="H11154"/>
      <c r="I11154"/>
      <c r="J11154"/>
      <c r="K11154" s="1"/>
      <c r="L11154" s="2"/>
    </row>
    <row r="11155" spans="1:12" x14ac:dyDescent="0.2">
      <c r="A11155"/>
      <c r="B11155"/>
      <c r="C11155"/>
      <c r="D11155"/>
      <c r="E11155"/>
      <c r="F11155"/>
      <c r="G11155"/>
      <c r="H11155"/>
      <c r="I11155"/>
      <c r="J11155"/>
      <c r="K11155" s="1"/>
      <c r="L11155" s="2"/>
    </row>
    <row r="11156" spans="1:12" x14ac:dyDescent="0.2">
      <c r="A11156"/>
      <c r="B11156"/>
      <c r="C11156"/>
      <c r="D11156"/>
      <c r="E11156"/>
      <c r="F11156"/>
      <c r="G11156"/>
      <c r="H11156"/>
      <c r="I11156"/>
      <c r="J11156"/>
      <c r="K11156" s="1"/>
      <c r="L11156" s="2"/>
    </row>
    <row r="11157" spans="1:12" x14ac:dyDescent="0.2">
      <c r="A11157"/>
      <c r="B11157"/>
      <c r="C11157"/>
      <c r="D11157"/>
      <c r="E11157"/>
      <c r="F11157"/>
      <c r="G11157"/>
      <c r="H11157"/>
      <c r="I11157"/>
      <c r="J11157"/>
      <c r="K11157" s="1"/>
      <c r="L11157" s="2"/>
    </row>
    <row r="11158" spans="1:12" x14ac:dyDescent="0.2">
      <c r="A11158"/>
      <c r="B11158"/>
      <c r="C11158"/>
      <c r="D11158"/>
      <c r="E11158"/>
      <c r="F11158"/>
      <c r="G11158"/>
      <c r="H11158"/>
      <c r="I11158"/>
      <c r="J11158"/>
      <c r="K11158" s="1"/>
      <c r="L11158" s="2"/>
    </row>
    <row r="11159" spans="1:12" x14ac:dyDescent="0.2">
      <c r="A11159"/>
      <c r="B11159"/>
      <c r="C11159"/>
      <c r="D11159"/>
      <c r="E11159"/>
      <c r="F11159"/>
      <c r="G11159"/>
      <c r="H11159"/>
      <c r="I11159"/>
      <c r="J11159"/>
      <c r="K11159" s="1"/>
      <c r="L11159" s="2"/>
    </row>
    <row r="11160" spans="1:12" x14ac:dyDescent="0.2">
      <c r="A11160"/>
      <c r="B11160"/>
      <c r="C11160"/>
      <c r="D11160"/>
      <c r="E11160"/>
      <c r="F11160"/>
      <c r="G11160"/>
      <c r="H11160"/>
      <c r="I11160"/>
      <c r="J11160"/>
      <c r="K11160" s="1"/>
      <c r="L11160" s="2"/>
    </row>
    <row r="11161" spans="1:12" x14ac:dyDescent="0.2">
      <c r="A11161"/>
      <c r="B11161"/>
      <c r="C11161"/>
      <c r="D11161"/>
      <c r="E11161"/>
      <c r="F11161"/>
      <c r="G11161"/>
      <c r="H11161"/>
      <c r="I11161"/>
      <c r="J11161"/>
      <c r="K11161" s="1"/>
      <c r="L11161" s="2"/>
    </row>
    <row r="11162" spans="1:12" x14ac:dyDescent="0.2">
      <c r="A11162"/>
      <c r="B11162"/>
      <c r="C11162"/>
      <c r="D11162"/>
      <c r="E11162"/>
      <c r="F11162"/>
      <c r="G11162"/>
      <c r="H11162"/>
      <c r="I11162"/>
      <c r="J11162"/>
      <c r="K11162" s="1"/>
      <c r="L11162" s="2"/>
    </row>
    <row r="11163" spans="1:12" x14ac:dyDescent="0.2">
      <c r="A11163"/>
      <c r="B11163"/>
      <c r="C11163"/>
      <c r="D11163"/>
      <c r="E11163"/>
      <c r="F11163"/>
      <c r="G11163"/>
      <c r="H11163"/>
      <c r="I11163"/>
      <c r="J11163"/>
      <c r="K11163" s="1"/>
      <c r="L11163" s="2"/>
    </row>
    <row r="11164" spans="1:12" x14ac:dyDescent="0.2">
      <c r="A11164"/>
      <c r="B11164"/>
      <c r="C11164"/>
      <c r="D11164"/>
      <c r="E11164"/>
      <c r="F11164"/>
      <c r="G11164"/>
      <c r="H11164"/>
      <c r="I11164"/>
      <c r="J11164"/>
      <c r="K11164" s="1"/>
      <c r="L11164" s="2"/>
    </row>
    <row r="11165" spans="1:12" x14ac:dyDescent="0.2">
      <c r="A11165"/>
      <c r="B11165"/>
      <c r="C11165"/>
      <c r="D11165"/>
      <c r="E11165"/>
      <c r="F11165"/>
      <c r="G11165"/>
      <c r="H11165"/>
      <c r="I11165"/>
      <c r="J11165"/>
      <c r="K11165" s="1"/>
      <c r="L11165" s="2"/>
    </row>
    <row r="11166" spans="1:12" x14ac:dyDescent="0.2">
      <c r="A11166"/>
      <c r="B11166"/>
      <c r="C11166"/>
      <c r="D11166"/>
      <c r="E11166"/>
      <c r="F11166"/>
      <c r="G11166"/>
      <c r="H11166"/>
      <c r="I11166"/>
      <c r="J11166"/>
      <c r="K11166" s="1"/>
      <c r="L11166" s="2"/>
    </row>
    <row r="11167" spans="1:12" x14ac:dyDescent="0.2">
      <c r="A11167"/>
      <c r="B11167"/>
      <c r="C11167"/>
      <c r="D11167"/>
      <c r="E11167"/>
      <c r="F11167"/>
      <c r="G11167"/>
      <c r="H11167"/>
      <c r="I11167"/>
      <c r="J11167"/>
      <c r="K11167" s="1"/>
      <c r="L11167" s="2"/>
    </row>
    <row r="11168" spans="1:12" x14ac:dyDescent="0.2">
      <c r="A11168"/>
      <c r="B11168"/>
      <c r="C11168"/>
      <c r="D11168"/>
      <c r="E11168"/>
      <c r="F11168"/>
      <c r="G11168"/>
      <c r="H11168"/>
      <c r="I11168"/>
      <c r="J11168"/>
      <c r="K11168" s="1"/>
      <c r="L11168" s="2"/>
    </row>
    <row r="11169" spans="1:12" x14ac:dyDescent="0.2">
      <c r="A11169"/>
      <c r="B11169"/>
      <c r="C11169"/>
      <c r="D11169"/>
      <c r="E11169"/>
      <c r="F11169"/>
      <c r="G11169"/>
      <c r="H11169"/>
      <c r="I11169"/>
      <c r="J11169"/>
      <c r="K11169" s="1"/>
      <c r="L11169" s="2"/>
    </row>
    <row r="11170" spans="1:12" x14ac:dyDescent="0.2">
      <c r="A11170"/>
      <c r="B11170"/>
      <c r="C11170"/>
      <c r="D11170"/>
      <c r="E11170"/>
      <c r="F11170"/>
      <c r="G11170"/>
      <c r="H11170"/>
      <c r="I11170"/>
      <c r="J11170"/>
      <c r="K11170" s="1"/>
      <c r="L11170" s="2"/>
    </row>
    <row r="11171" spans="1:12" x14ac:dyDescent="0.2">
      <c r="A11171"/>
      <c r="B11171"/>
      <c r="C11171"/>
      <c r="D11171"/>
      <c r="E11171"/>
      <c r="F11171"/>
      <c r="G11171"/>
      <c r="H11171"/>
      <c r="I11171"/>
      <c r="J11171"/>
      <c r="K11171" s="1"/>
      <c r="L11171" s="2"/>
    </row>
    <row r="11172" spans="1:12" x14ac:dyDescent="0.2">
      <c r="A11172"/>
      <c r="B11172"/>
      <c r="C11172"/>
      <c r="D11172"/>
      <c r="E11172"/>
      <c r="F11172"/>
      <c r="G11172"/>
      <c r="H11172"/>
      <c r="I11172"/>
      <c r="J11172"/>
      <c r="K11172" s="1"/>
      <c r="L11172" s="2"/>
    </row>
    <row r="11173" spans="1:12" x14ac:dyDescent="0.2">
      <c r="A11173"/>
      <c r="B11173"/>
      <c r="C11173"/>
      <c r="D11173"/>
      <c r="E11173"/>
      <c r="F11173"/>
      <c r="G11173"/>
      <c r="H11173"/>
      <c r="I11173"/>
      <c r="J11173"/>
      <c r="K11173" s="1"/>
      <c r="L11173" s="2"/>
    </row>
    <row r="11174" spans="1:12" x14ac:dyDescent="0.2">
      <c r="A11174"/>
      <c r="B11174"/>
      <c r="C11174"/>
      <c r="D11174"/>
      <c r="E11174"/>
      <c r="F11174"/>
      <c r="G11174"/>
      <c r="H11174"/>
      <c r="I11174"/>
      <c r="J11174"/>
      <c r="K11174" s="1"/>
      <c r="L11174" s="2"/>
    </row>
    <row r="11175" spans="1:12" x14ac:dyDescent="0.2">
      <c r="A11175"/>
      <c r="B11175"/>
      <c r="C11175"/>
      <c r="D11175"/>
      <c r="E11175"/>
      <c r="F11175"/>
      <c r="G11175"/>
      <c r="H11175"/>
      <c r="I11175"/>
      <c r="J11175"/>
      <c r="K11175" s="1"/>
      <c r="L11175" s="2"/>
    </row>
    <row r="11176" spans="1:12" x14ac:dyDescent="0.2">
      <c r="A11176"/>
      <c r="B11176"/>
      <c r="C11176"/>
      <c r="D11176"/>
      <c r="E11176"/>
      <c r="F11176"/>
      <c r="G11176"/>
      <c r="H11176"/>
      <c r="I11176"/>
      <c r="J11176"/>
      <c r="K11176" s="1"/>
      <c r="L11176" s="2"/>
    </row>
    <row r="11177" spans="1:12" x14ac:dyDescent="0.2">
      <c r="A11177"/>
      <c r="B11177"/>
      <c r="C11177"/>
      <c r="D11177"/>
      <c r="E11177"/>
      <c r="F11177"/>
      <c r="G11177"/>
      <c r="H11177"/>
      <c r="I11177"/>
      <c r="J11177"/>
      <c r="K11177" s="1"/>
      <c r="L11177" s="2"/>
    </row>
    <row r="11178" spans="1:12" x14ac:dyDescent="0.2">
      <c r="A11178"/>
      <c r="B11178"/>
      <c r="C11178"/>
      <c r="D11178"/>
      <c r="E11178"/>
      <c r="F11178"/>
      <c r="G11178"/>
      <c r="H11178"/>
      <c r="I11178"/>
      <c r="J11178"/>
      <c r="K11178" s="1"/>
      <c r="L11178" s="2"/>
    </row>
    <row r="11179" spans="1:12" x14ac:dyDescent="0.2">
      <c r="A11179"/>
      <c r="B11179"/>
      <c r="C11179"/>
      <c r="D11179"/>
      <c r="E11179"/>
      <c r="F11179"/>
      <c r="G11179"/>
      <c r="H11179"/>
      <c r="I11179"/>
      <c r="J11179"/>
      <c r="K11179" s="1"/>
      <c r="L11179" s="2"/>
    </row>
    <row r="11180" spans="1:12" x14ac:dyDescent="0.2">
      <c r="A11180"/>
      <c r="B11180"/>
      <c r="C11180"/>
      <c r="D11180"/>
      <c r="E11180"/>
      <c r="F11180"/>
      <c r="G11180"/>
      <c r="H11180"/>
      <c r="I11180"/>
      <c r="J11180"/>
      <c r="K11180" s="1"/>
      <c r="L11180" s="2"/>
    </row>
    <row r="11181" spans="1:12" x14ac:dyDescent="0.2">
      <c r="A11181"/>
      <c r="B11181"/>
      <c r="C11181"/>
      <c r="D11181"/>
      <c r="E11181"/>
      <c r="F11181"/>
      <c r="G11181"/>
      <c r="H11181"/>
      <c r="I11181"/>
      <c r="J11181"/>
      <c r="K11181" s="1"/>
      <c r="L11181" s="2"/>
    </row>
    <row r="11182" spans="1:12" x14ac:dyDescent="0.2">
      <c r="A11182"/>
      <c r="B11182"/>
      <c r="C11182"/>
      <c r="D11182"/>
      <c r="E11182"/>
      <c r="F11182"/>
      <c r="G11182"/>
      <c r="H11182"/>
      <c r="I11182"/>
      <c r="J11182"/>
      <c r="K11182" s="1"/>
      <c r="L11182" s="2"/>
    </row>
    <row r="11183" spans="1:12" x14ac:dyDescent="0.2">
      <c r="A11183"/>
      <c r="B11183"/>
      <c r="C11183"/>
      <c r="D11183"/>
      <c r="E11183"/>
      <c r="F11183"/>
      <c r="G11183"/>
      <c r="H11183"/>
      <c r="I11183"/>
      <c r="J11183"/>
      <c r="K11183" s="1"/>
      <c r="L11183" s="2"/>
    </row>
    <row r="11184" spans="1:12" x14ac:dyDescent="0.2">
      <c r="A11184"/>
      <c r="B11184"/>
      <c r="C11184"/>
      <c r="D11184"/>
      <c r="E11184"/>
      <c r="F11184"/>
      <c r="G11184"/>
      <c r="H11184"/>
      <c r="I11184"/>
      <c r="J11184"/>
      <c r="K11184" s="1"/>
      <c r="L11184" s="2"/>
    </row>
    <row r="11185" spans="1:12" x14ac:dyDescent="0.2">
      <c r="A11185"/>
      <c r="B11185"/>
      <c r="C11185"/>
      <c r="D11185"/>
      <c r="E11185"/>
      <c r="F11185"/>
      <c r="G11185"/>
      <c r="H11185"/>
      <c r="I11185"/>
      <c r="J11185"/>
      <c r="K11185" s="1"/>
      <c r="L11185" s="2"/>
    </row>
    <row r="11186" spans="1:12" x14ac:dyDescent="0.2">
      <c r="A11186"/>
      <c r="B11186"/>
      <c r="C11186"/>
      <c r="D11186"/>
      <c r="E11186"/>
      <c r="F11186"/>
      <c r="G11186"/>
      <c r="H11186"/>
      <c r="I11186"/>
      <c r="J11186"/>
      <c r="K11186" s="1"/>
      <c r="L11186" s="2"/>
    </row>
    <row r="11187" spans="1:12" x14ac:dyDescent="0.2">
      <c r="A11187"/>
      <c r="B11187"/>
      <c r="C11187"/>
      <c r="D11187"/>
      <c r="E11187"/>
      <c r="F11187"/>
      <c r="G11187"/>
      <c r="H11187"/>
      <c r="I11187"/>
      <c r="J11187"/>
      <c r="K11187" s="1"/>
      <c r="L11187" s="2"/>
    </row>
    <row r="11188" spans="1:12" x14ac:dyDescent="0.2">
      <c r="A11188"/>
      <c r="B11188"/>
      <c r="C11188"/>
      <c r="D11188"/>
      <c r="E11188"/>
      <c r="F11188"/>
      <c r="G11188"/>
      <c r="H11188"/>
      <c r="I11188"/>
      <c r="J11188"/>
      <c r="K11188" s="1"/>
      <c r="L11188" s="2"/>
    </row>
    <row r="11189" spans="1:12" x14ac:dyDescent="0.2">
      <c r="A11189"/>
      <c r="B11189"/>
      <c r="C11189"/>
      <c r="D11189"/>
      <c r="E11189"/>
      <c r="F11189"/>
      <c r="G11189"/>
      <c r="H11189"/>
      <c r="I11189"/>
      <c r="J11189"/>
      <c r="K11189" s="1"/>
      <c r="L11189" s="2"/>
    </row>
    <row r="11190" spans="1:12" x14ac:dyDescent="0.2">
      <c r="A11190"/>
      <c r="B11190"/>
      <c r="C11190"/>
      <c r="D11190"/>
      <c r="E11190"/>
      <c r="F11190"/>
      <c r="G11190"/>
      <c r="H11190"/>
      <c r="I11190"/>
      <c r="J11190"/>
      <c r="K11190" s="1"/>
      <c r="L11190" s="2"/>
    </row>
    <row r="11191" spans="1:12" x14ac:dyDescent="0.2">
      <c r="A11191"/>
      <c r="B11191"/>
      <c r="C11191"/>
      <c r="D11191"/>
      <c r="E11191"/>
      <c r="F11191"/>
      <c r="G11191"/>
      <c r="H11191"/>
      <c r="I11191"/>
      <c r="J11191"/>
      <c r="K11191" s="1"/>
      <c r="L11191" s="2"/>
    </row>
    <row r="11192" spans="1:12" x14ac:dyDescent="0.2">
      <c r="A11192"/>
      <c r="B11192"/>
      <c r="C11192"/>
      <c r="D11192"/>
      <c r="E11192"/>
      <c r="F11192"/>
      <c r="G11192"/>
      <c r="H11192"/>
      <c r="I11192"/>
      <c r="J11192"/>
      <c r="K11192" s="1"/>
      <c r="L11192" s="2"/>
    </row>
    <row r="11193" spans="1:12" x14ac:dyDescent="0.2">
      <c r="A11193"/>
      <c r="B11193"/>
      <c r="C11193"/>
      <c r="D11193"/>
      <c r="E11193"/>
      <c r="F11193"/>
      <c r="G11193"/>
      <c r="H11193"/>
      <c r="I11193"/>
      <c r="J11193"/>
      <c r="K11193" s="1"/>
      <c r="L11193" s="2"/>
    </row>
    <row r="11194" spans="1:12" x14ac:dyDescent="0.2">
      <c r="A11194"/>
      <c r="B11194"/>
      <c r="C11194"/>
      <c r="D11194"/>
      <c r="E11194"/>
      <c r="F11194"/>
      <c r="G11194"/>
      <c r="H11194"/>
      <c r="I11194"/>
      <c r="J11194"/>
      <c r="K11194" s="1"/>
      <c r="L11194" s="2"/>
    </row>
    <row r="11195" spans="1:12" x14ac:dyDescent="0.2">
      <c r="A11195"/>
      <c r="B11195"/>
      <c r="C11195"/>
      <c r="D11195"/>
      <c r="E11195"/>
      <c r="F11195"/>
      <c r="G11195"/>
      <c r="H11195"/>
      <c r="I11195"/>
      <c r="J11195"/>
      <c r="K11195" s="1"/>
      <c r="L11195" s="2"/>
    </row>
    <row r="11196" spans="1:12" x14ac:dyDescent="0.2">
      <c r="A11196"/>
      <c r="B11196"/>
      <c r="C11196"/>
      <c r="D11196"/>
      <c r="E11196"/>
      <c r="F11196"/>
      <c r="G11196"/>
      <c r="H11196"/>
      <c r="I11196"/>
      <c r="J11196"/>
      <c r="K11196" s="1"/>
      <c r="L11196" s="2"/>
    </row>
    <row r="11197" spans="1:12" x14ac:dyDescent="0.2">
      <c r="A11197"/>
      <c r="B11197"/>
      <c r="C11197"/>
      <c r="D11197"/>
      <c r="E11197"/>
      <c r="F11197"/>
      <c r="G11197"/>
      <c r="H11197"/>
      <c r="I11197"/>
      <c r="J11197"/>
      <c r="K11197" s="1"/>
      <c r="L11197" s="2"/>
    </row>
    <row r="11198" spans="1:12" x14ac:dyDescent="0.2">
      <c r="A11198"/>
      <c r="B11198"/>
      <c r="C11198"/>
      <c r="D11198"/>
      <c r="E11198"/>
      <c r="F11198"/>
      <c r="G11198"/>
      <c r="H11198"/>
      <c r="I11198"/>
      <c r="J11198"/>
      <c r="K11198" s="1"/>
      <c r="L11198" s="2"/>
    </row>
    <row r="11199" spans="1:12" x14ac:dyDescent="0.2">
      <c r="A11199"/>
      <c r="B11199"/>
      <c r="C11199"/>
      <c r="D11199"/>
      <c r="E11199"/>
      <c r="F11199"/>
      <c r="G11199"/>
      <c r="H11199"/>
      <c r="I11199"/>
      <c r="J11199"/>
      <c r="K11199" s="1"/>
      <c r="L11199" s="2"/>
    </row>
    <row r="11200" spans="1:12" x14ac:dyDescent="0.2">
      <c r="A11200"/>
      <c r="B11200"/>
      <c r="C11200"/>
      <c r="D11200"/>
      <c r="E11200"/>
      <c r="F11200"/>
      <c r="G11200"/>
      <c r="H11200"/>
      <c r="I11200"/>
      <c r="J11200"/>
      <c r="K11200" s="1"/>
      <c r="L11200" s="2"/>
    </row>
    <row r="11201" spans="1:12" x14ac:dyDescent="0.2">
      <c r="A11201"/>
      <c r="B11201"/>
      <c r="C11201"/>
      <c r="D11201"/>
      <c r="E11201"/>
      <c r="F11201"/>
      <c r="G11201"/>
      <c r="H11201"/>
      <c r="I11201"/>
      <c r="J11201"/>
      <c r="K11201" s="1"/>
      <c r="L11201" s="2"/>
    </row>
    <row r="11202" spans="1:12" x14ac:dyDescent="0.2">
      <c r="A11202"/>
      <c r="B11202"/>
      <c r="C11202"/>
      <c r="D11202"/>
      <c r="E11202"/>
      <c r="F11202"/>
      <c r="G11202"/>
      <c r="H11202"/>
      <c r="I11202"/>
      <c r="J11202"/>
      <c r="K11202" s="1"/>
      <c r="L11202" s="2"/>
    </row>
    <row r="11203" spans="1:12" x14ac:dyDescent="0.2">
      <c r="A11203"/>
      <c r="B11203"/>
      <c r="C11203"/>
      <c r="D11203"/>
      <c r="E11203"/>
      <c r="F11203"/>
      <c r="G11203"/>
      <c r="H11203"/>
      <c r="I11203"/>
      <c r="J11203"/>
      <c r="K11203" s="1"/>
      <c r="L11203" s="2"/>
    </row>
    <row r="11204" spans="1:12" x14ac:dyDescent="0.2">
      <c r="A11204"/>
      <c r="B11204"/>
      <c r="C11204"/>
      <c r="D11204"/>
      <c r="E11204"/>
      <c r="F11204"/>
      <c r="G11204"/>
      <c r="H11204"/>
      <c r="I11204"/>
      <c r="J11204"/>
      <c r="K11204" s="1"/>
      <c r="L11204" s="2"/>
    </row>
    <row r="11205" spans="1:12" x14ac:dyDescent="0.2">
      <c r="A11205"/>
      <c r="B11205"/>
      <c r="C11205"/>
      <c r="D11205"/>
      <c r="E11205"/>
      <c r="F11205"/>
      <c r="G11205"/>
      <c r="H11205"/>
      <c r="I11205"/>
      <c r="J11205"/>
      <c r="K11205" s="1"/>
      <c r="L11205" s="2"/>
    </row>
    <row r="11206" spans="1:12" x14ac:dyDescent="0.2">
      <c r="A11206"/>
      <c r="B11206"/>
      <c r="C11206"/>
      <c r="D11206"/>
      <c r="E11206"/>
      <c r="F11206"/>
      <c r="G11206"/>
      <c r="H11206"/>
      <c r="I11206"/>
      <c r="J11206"/>
      <c r="K11206" s="1"/>
      <c r="L11206" s="2"/>
    </row>
    <row r="11207" spans="1:12" x14ac:dyDescent="0.2">
      <c r="A11207"/>
      <c r="B11207"/>
      <c r="C11207"/>
      <c r="D11207"/>
      <c r="E11207"/>
      <c r="F11207"/>
      <c r="G11207"/>
      <c r="H11207"/>
      <c r="I11207"/>
      <c r="J11207"/>
      <c r="K11207" s="1"/>
      <c r="L11207" s="2"/>
    </row>
    <row r="11208" spans="1:12" x14ac:dyDescent="0.2">
      <c r="A11208"/>
      <c r="B11208"/>
      <c r="C11208"/>
      <c r="D11208"/>
      <c r="E11208"/>
      <c r="F11208"/>
      <c r="G11208"/>
      <c r="H11208"/>
      <c r="I11208"/>
      <c r="J11208"/>
      <c r="K11208" s="1"/>
      <c r="L11208" s="2"/>
    </row>
    <row r="11209" spans="1:12" x14ac:dyDescent="0.2">
      <c r="A11209"/>
      <c r="B11209"/>
      <c r="C11209"/>
      <c r="D11209"/>
      <c r="E11209"/>
      <c r="F11209"/>
      <c r="G11209"/>
      <c r="H11209"/>
      <c r="I11209"/>
      <c r="J11209"/>
      <c r="K11209" s="1"/>
      <c r="L11209" s="2"/>
    </row>
    <row r="11210" spans="1:12" x14ac:dyDescent="0.2">
      <c r="A11210"/>
      <c r="B11210"/>
      <c r="C11210"/>
      <c r="D11210"/>
      <c r="E11210"/>
      <c r="F11210"/>
      <c r="G11210"/>
      <c r="H11210"/>
      <c r="I11210"/>
      <c r="J11210"/>
      <c r="K11210" s="1"/>
      <c r="L11210" s="2"/>
    </row>
    <row r="11211" spans="1:12" x14ac:dyDescent="0.2">
      <c r="A11211"/>
      <c r="B11211"/>
      <c r="C11211"/>
      <c r="D11211"/>
      <c r="E11211"/>
      <c r="F11211"/>
      <c r="G11211"/>
      <c r="H11211"/>
      <c r="I11211"/>
      <c r="J11211"/>
      <c r="K11211" s="1"/>
      <c r="L11211" s="2"/>
    </row>
    <row r="11212" spans="1:12" x14ac:dyDescent="0.2">
      <c r="A11212"/>
      <c r="B11212"/>
      <c r="C11212"/>
      <c r="D11212"/>
      <c r="E11212"/>
      <c r="F11212"/>
      <c r="G11212"/>
      <c r="H11212"/>
      <c r="I11212"/>
      <c r="J11212"/>
      <c r="K11212" s="1"/>
      <c r="L11212" s="2"/>
    </row>
    <row r="11213" spans="1:12" x14ac:dyDescent="0.2">
      <c r="A11213"/>
      <c r="B11213"/>
      <c r="C11213"/>
      <c r="D11213"/>
      <c r="E11213"/>
      <c r="F11213"/>
      <c r="G11213"/>
      <c r="H11213"/>
      <c r="I11213"/>
      <c r="J11213"/>
      <c r="K11213" s="1"/>
      <c r="L11213" s="2"/>
    </row>
    <row r="11214" spans="1:12" x14ac:dyDescent="0.2">
      <c r="A11214"/>
      <c r="B11214"/>
      <c r="C11214"/>
      <c r="D11214"/>
      <c r="E11214"/>
      <c r="F11214"/>
      <c r="G11214"/>
      <c r="H11214"/>
      <c r="I11214"/>
      <c r="J11214"/>
      <c r="K11214" s="1"/>
      <c r="L11214" s="2"/>
    </row>
    <row r="11215" spans="1:12" x14ac:dyDescent="0.2">
      <c r="A11215"/>
      <c r="B11215"/>
      <c r="C11215"/>
      <c r="D11215"/>
      <c r="E11215"/>
      <c r="F11215"/>
      <c r="G11215"/>
      <c r="H11215"/>
      <c r="I11215"/>
      <c r="J11215"/>
      <c r="K11215" s="1"/>
      <c r="L11215" s="2"/>
    </row>
    <row r="11216" spans="1:12" x14ac:dyDescent="0.2">
      <c r="A11216"/>
      <c r="B11216"/>
      <c r="C11216"/>
      <c r="D11216"/>
      <c r="E11216"/>
      <c r="F11216"/>
      <c r="G11216"/>
      <c r="H11216"/>
      <c r="I11216"/>
      <c r="J11216"/>
      <c r="K11216" s="1"/>
      <c r="L11216" s="2"/>
    </row>
    <row r="11217" spans="1:12" x14ac:dyDescent="0.2">
      <c r="A11217"/>
      <c r="B11217"/>
      <c r="C11217"/>
      <c r="D11217"/>
      <c r="E11217"/>
      <c r="F11217"/>
      <c r="G11217"/>
      <c r="H11217"/>
      <c r="I11217"/>
      <c r="J11217"/>
      <c r="K11217" s="1"/>
      <c r="L11217" s="2"/>
    </row>
    <row r="11218" spans="1:12" x14ac:dyDescent="0.2">
      <c r="A11218"/>
      <c r="B11218"/>
      <c r="C11218"/>
      <c r="D11218"/>
      <c r="E11218"/>
      <c r="F11218"/>
      <c r="G11218"/>
      <c r="H11218"/>
      <c r="I11218"/>
      <c r="J11218"/>
      <c r="K11218" s="1"/>
      <c r="L11218" s="2"/>
    </row>
    <row r="11219" spans="1:12" x14ac:dyDescent="0.2">
      <c r="A11219"/>
      <c r="B11219"/>
      <c r="C11219"/>
      <c r="D11219"/>
      <c r="E11219"/>
      <c r="F11219"/>
      <c r="G11219"/>
      <c r="H11219"/>
      <c r="I11219"/>
      <c r="J11219"/>
      <c r="K11219" s="1"/>
      <c r="L11219" s="2"/>
    </row>
    <row r="11220" spans="1:12" x14ac:dyDescent="0.2">
      <c r="A11220"/>
      <c r="B11220"/>
      <c r="C11220"/>
      <c r="D11220"/>
      <c r="E11220"/>
      <c r="F11220"/>
      <c r="G11220"/>
      <c r="H11220"/>
      <c r="I11220"/>
      <c r="J11220"/>
      <c r="K11220" s="1"/>
      <c r="L11220" s="2"/>
    </row>
    <row r="11221" spans="1:12" x14ac:dyDescent="0.2">
      <c r="A11221"/>
      <c r="B11221"/>
      <c r="C11221"/>
      <c r="D11221"/>
      <c r="E11221"/>
      <c r="F11221"/>
      <c r="G11221"/>
      <c r="H11221"/>
      <c r="I11221"/>
      <c r="J11221"/>
      <c r="K11221" s="1"/>
      <c r="L11221" s="2"/>
    </row>
    <row r="11222" spans="1:12" x14ac:dyDescent="0.2">
      <c r="A11222"/>
      <c r="B11222"/>
      <c r="C11222"/>
      <c r="D11222"/>
      <c r="E11222"/>
      <c r="F11222"/>
      <c r="G11222"/>
      <c r="H11222"/>
      <c r="I11222"/>
      <c r="J11222"/>
      <c r="K11222" s="1"/>
      <c r="L11222" s="2"/>
    </row>
    <row r="11223" spans="1:12" x14ac:dyDescent="0.2">
      <c r="A11223"/>
      <c r="B11223"/>
      <c r="C11223"/>
      <c r="D11223"/>
      <c r="E11223"/>
      <c r="F11223"/>
      <c r="G11223"/>
      <c r="H11223"/>
      <c r="I11223"/>
      <c r="J11223"/>
      <c r="K11223" s="1"/>
      <c r="L11223" s="2"/>
    </row>
    <row r="11224" spans="1:12" x14ac:dyDescent="0.2">
      <c r="A11224"/>
      <c r="B11224"/>
      <c r="C11224"/>
      <c r="D11224"/>
      <c r="E11224"/>
      <c r="F11224"/>
      <c r="G11224"/>
      <c r="H11224"/>
      <c r="I11224"/>
      <c r="J11224"/>
      <c r="K11224" s="1"/>
      <c r="L11224" s="2"/>
    </row>
    <row r="11225" spans="1:12" x14ac:dyDescent="0.2">
      <c r="A11225"/>
      <c r="B11225"/>
      <c r="C11225"/>
      <c r="D11225"/>
      <c r="E11225"/>
      <c r="F11225"/>
      <c r="G11225"/>
      <c r="H11225"/>
      <c r="I11225"/>
      <c r="J11225"/>
      <c r="K11225" s="1"/>
      <c r="L11225" s="2"/>
    </row>
    <row r="11226" spans="1:12" x14ac:dyDescent="0.2">
      <c r="A11226"/>
      <c r="B11226"/>
      <c r="C11226"/>
      <c r="D11226"/>
      <c r="E11226"/>
      <c r="F11226"/>
      <c r="G11226"/>
      <c r="H11226"/>
      <c r="I11226"/>
      <c r="J11226"/>
      <c r="K11226" s="1"/>
      <c r="L11226" s="2"/>
    </row>
    <row r="11227" spans="1:12" x14ac:dyDescent="0.2">
      <c r="A11227"/>
      <c r="B11227"/>
      <c r="C11227"/>
      <c r="D11227"/>
      <c r="E11227"/>
      <c r="F11227"/>
      <c r="G11227"/>
      <c r="H11227"/>
      <c r="I11227"/>
      <c r="J11227"/>
      <c r="K11227" s="1"/>
      <c r="L11227" s="2"/>
    </row>
    <row r="11228" spans="1:12" x14ac:dyDescent="0.2">
      <c r="A11228"/>
      <c r="B11228"/>
      <c r="C11228"/>
      <c r="D11228"/>
      <c r="E11228"/>
      <c r="F11228"/>
      <c r="G11228"/>
      <c r="H11228"/>
      <c r="I11228"/>
      <c r="J11228"/>
      <c r="K11228" s="1"/>
      <c r="L11228" s="2"/>
    </row>
    <row r="11229" spans="1:12" x14ac:dyDescent="0.2">
      <c r="A11229"/>
      <c r="B11229"/>
      <c r="C11229"/>
      <c r="D11229"/>
      <c r="E11229"/>
      <c r="F11229"/>
      <c r="G11229"/>
      <c r="H11229"/>
      <c r="I11229"/>
      <c r="J11229"/>
      <c r="K11229" s="1"/>
      <c r="L11229" s="2"/>
    </row>
    <row r="11230" spans="1:12" x14ac:dyDescent="0.2">
      <c r="A11230"/>
      <c r="B11230"/>
      <c r="C11230"/>
      <c r="D11230"/>
      <c r="E11230"/>
      <c r="F11230"/>
      <c r="G11230"/>
      <c r="H11230"/>
      <c r="I11230"/>
      <c r="J11230"/>
      <c r="K11230" s="1"/>
      <c r="L11230" s="2"/>
    </row>
    <row r="11231" spans="1:12" x14ac:dyDescent="0.2">
      <c r="A11231"/>
      <c r="B11231"/>
      <c r="C11231"/>
      <c r="D11231"/>
      <c r="E11231"/>
      <c r="F11231"/>
      <c r="G11231"/>
      <c r="H11231"/>
      <c r="I11231"/>
      <c r="J11231"/>
      <c r="K11231" s="1"/>
      <c r="L11231" s="2"/>
    </row>
    <row r="11232" spans="1:12" x14ac:dyDescent="0.2">
      <c r="A11232"/>
      <c r="B11232"/>
      <c r="C11232"/>
      <c r="D11232"/>
      <c r="E11232"/>
      <c r="F11232"/>
      <c r="G11232"/>
      <c r="H11232"/>
      <c r="I11232"/>
      <c r="J11232"/>
      <c r="K11232" s="1"/>
      <c r="L11232" s="2"/>
    </row>
    <row r="11233" spans="1:12" x14ac:dyDescent="0.2">
      <c r="A11233"/>
      <c r="B11233"/>
      <c r="C11233"/>
      <c r="D11233"/>
      <c r="E11233"/>
      <c r="F11233"/>
      <c r="G11233"/>
      <c r="H11233"/>
      <c r="I11233"/>
      <c r="J11233"/>
      <c r="K11233" s="1"/>
      <c r="L11233" s="2"/>
    </row>
    <row r="11234" spans="1:12" x14ac:dyDescent="0.2">
      <c r="A11234"/>
      <c r="B11234"/>
      <c r="C11234"/>
      <c r="D11234"/>
      <c r="E11234"/>
      <c r="F11234"/>
      <c r="G11234"/>
      <c r="H11234"/>
      <c r="I11234"/>
      <c r="J11234"/>
      <c r="K11234" s="1"/>
      <c r="L11234" s="2"/>
    </row>
    <row r="11235" spans="1:12" x14ac:dyDescent="0.2">
      <c r="A11235"/>
      <c r="B11235"/>
      <c r="C11235"/>
      <c r="D11235"/>
      <c r="E11235"/>
      <c r="F11235"/>
      <c r="G11235"/>
      <c r="H11235"/>
      <c r="I11235"/>
      <c r="J11235"/>
      <c r="K11235" s="1"/>
      <c r="L11235" s="2"/>
    </row>
    <row r="11236" spans="1:12" x14ac:dyDescent="0.2">
      <c r="A11236"/>
      <c r="B11236"/>
      <c r="C11236"/>
      <c r="D11236"/>
      <c r="E11236"/>
      <c r="F11236"/>
      <c r="G11236"/>
      <c r="H11236"/>
      <c r="I11236"/>
      <c r="J11236"/>
      <c r="K11236" s="1"/>
      <c r="L11236" s="2"/>
    </row>
    <row r="11237" spans="1:12" x14ac:dyDescent="0.2">
      <c r="A11237"/>
      <c r="B11237"/>
      <c r="C11237"/>
      <c r="D11237"/>
      <c r="E11237"/>
      <c r="F11237"/>
      <c r="G11237"/>
      <c r="H11237"/>
      <c r="I11237"/>
      <c r="J11237"/>
      <c r="K11237" s="1"/>
      <c r="L11237" s="2"/>
    </row>
    <row r="11238" spans="1:12" x14ac:dyDescent="0.2">
      <c r="A11238"/>
      <c r="B11238"/>
      <c r="C11238"/>
      <c r="D11238"/>
      <c r="E11238"/>
      <c r="F11238"/>
      <c r="G11238"/>
      <c r="H11238"/>
      <c r="I11238"/>
      <c r="J11238"/>
      <c r="K11238" s="1"/>
      <c r="L11238" s="2"/>
    </row>
    <row r="11239" spans="1:12" x14ac:dyDescent="0.2">
      <c r="A11239"/>
      <c r="B11239"/>
      <c r="C11239"/>
      <c r="D11239"/>
      <c r="E11239"/>
      <c r="F11239"/>
      <c r="G11239"/>
      <c r="H11239"/>
      <c r="I11239"/>
      <c r="J11239"/>
      <c r="K11239" s="1"/>
      <c r="L11239" s="2"/>
    </row>
    <row r="11240" spans="1:12" x14ac:dyDescent="0.2">
      <c r="A11240"/>
      <c r="B11240"/>
      <c r="C11240"/>
      <c r="D11240"/>
      <c r="E11240"/>
      <c r="F11240"/>
      <c r="G11240"/>
      <c r="H11240"/>
      <c r="I11240"/>
      <c r="J11240"/>
      <c r="K11240" s="1"/>
      <c r="L11240" s="2"/>
    </row>
    <row r="11241" spans="1:12" x14ac:dyDescent="0.2">
      <c r="A11241"/>
      <c r="B11241"/>
      <c r="C11241"/>
      <c r="D11241"/>
      <c r="E11241"/>
      <c r="F11241"/>
      <c r="G11241"/>
      <c r="H11241"/>
      <c r="I11241"/>
      <c r="J11241"/>
      <c r="K11241" s="1"/>
      <c r="L11241" s="2"/>
    </row>
    <row r="11242" spans="1:12" x14ac:dyDescent="0.2">
      <c r="A11242"/>
      <c r="B11242"/>
      <c r="C11242"/>
      <c r="D11242"/>
      <c r="E11242"/>
      <c r="F11242"/>
      <c r="G11242"/>
      <c r="H11242"/>
      <c r="I11242"/>
      <c r="J11242"/>
      <c r="K11242" s="1"/>
      <c r="L11242" s="2"/>
    </row>
    <row r="11243" spans="1:12" x14ac:dyDescent="0.2">
      <c r="A11243"/>
      <c r="B11243"/>
      <c r="C11243"/>
      <c r="D11243"/>
      <c r="E11243"/>
      <c r="F11243"/>
      <c r="G11243"/>
      <c r="H11243"/>
      <c r="I11243"/>
      <c r="J11243"/>
      <c r="K11243" s="1"/>
      <c r="L11243" s="2"/>
    </row>
    <row r="11244" spans="1:12" x14ac:dyDescent="0.2">
      <c r="A11244"/>
      <c r="B11244"/>
      <c r="C11244"/>
      <c r="D11244"/>
      <c r="E11244"/>
      <c r="F11244"/>
      <c r="G11244"/>
      <c r="H11244"/>
      <c r="I11244"/>
      <c r="J11244"/>
      <c r="K11244" s="1"/>
      <c r="L11244" s="2"/>
    </row>
    <row r="11245" spans="1:12" x14ac:dyDescent="0.2">
      <c r="A11245"/>
      <c r="B11245"/>
      <c r="C11245"/>
      <c r="D11245"/>
      <c r="E11245"/>
      <c r="F11245"/>
      <c r="G11245"/>
      <c r="H11245"/>
      <c r="I11245"/>
      <c r="J11245"/>
      <c r="K11245" s="1"/>
      <c r="L11245" s="2"/>
    </row>
    <row r="11246" spans="1:12" x14ac:dyDescent="0.2">
      <c r="A11246"/>
      <c r="B11246"/>
      <c r="C11246"/>
      <c r="D11246"/>
      <c r="E11246"/>
      <c r="F11246"/>
      <c r="G11246"/>
      <c r="H11246"/>
      <c r="I11246"/>
      <c r="J11246"/>
      <c r="K11246" s="1"/>
      <c r="L11246" s="2"/>
    </row>
    <row r="11247" spans="1:12" x14ac:dyDescent="0.2">
      <c r="A11247"/>
      <c r="B11247"/>
      <c r="C11247"/>
      <c r="D11247"/>
      <c r="E11247"/>
      <c r="F11247"/>
      <c r="G11247"/>
      <c r="H11247"/>
      <c r="I11247"/>
      <c r="J11247"/>
      <c r="K11247" s="1"/>
      <c r="L11247" s="2"/>
    </row>
    <row r="11248" spans="1:12" x14ac:dyDescent="0.2">
      <c r="A11248"/>
      <c r="B11248"/>
      <c r="C11248"/>
      <c r="D11248"/>
      <c r="E11248"/>
      <c r="F11248"/>
      <c r="G11248"/>
      <c r="H11248"/>
      <c r="I11248"/>
      <c r="J11248"/>
      <c r="K11248" s="1"/>
      <c r="L11248" s="2"/>
    </row>
    <row r="11249" spans="1:12" x14ac:dyDescent="0.2">
      <c r="A11249"/>
      <c r="B11249"/>
      <c r="C11249"/>
      <c r="D11249"/>
      <c r="E11249"/>
      <c r="F11249"/>
      <c r="G11249"/>
      <c r="H11249"/>
      <c r="I11249"/>
      <c r="J11249"/>
      <c r="K11249" s="1"/>
      <c r="L11249" s="2"/>
    </row>
    <row r="11250" spans="1:12" x14ac:dyDescent="0.2">
      <c r="A11250"/>
      <c r="B11250"/>
      <c r="C11250"/>
      <c r="D11250"/>
      <c r="E11250"/>
      <c r="F11250"/>
      <c r="G11250"/>
      <c r="H11250"/>
      <c r="I11250"/>
      <c r="J11250"/>
      <c r="K11250" s="1"/>
      <c r="L11250" s="2"/>
    </row>
    <row r="11251" spans="1:12" x14ac:dyDescent="0.2">
      <c r="A11251"/>
      <c r="B11251"/>
      <c r="C11251"/>
      <c r="D11251"/>
      <c r="E11251"/>
      <c r="F11251"/>
      <c r="G11251"/>
      <c r="H11251"/>
      <c r="I11251"/>
      <c r="J11251"/>
      <c r="K11251" s="1"/>
      <c r="L11251" s="2"/>
    </row>
    <row r="11252" spans="1:12" x14ac:dyDescent="0.2">
      <c r="A11252"/>
      <c r="B11252"/>
      <c r="C11252"/>
      <c r="D11252"/>
      <c r="E11252"/>
      <c r="F11252"/>
      <c r="G11252"/>
      <c r="H11252"/>
      <c r="I11252"/>
      <c r="J11252"/>
      <c r="K11252" s="1"/>
      <c r="L11252" s="2"/>
    </row>
    <row r="11253" spans="1:12" x14ac:dyDescent="0.2">
      <c r="A11253"/>
      <c r="B11253"/>
      <c r="C11253"/>
      <c r="D11253"/>
      <c r="E11253"/>
      <c r="F11253"/>
      <c r="G11253"/>
      <c r="H11253"/>
      <c r="I11253"/>
      <c r="J11253"/>
      <c r="K11253" s="1"/>
      <c r="L11253" s="2"/>
    </row>
    <row r="11254" spans="1:12" x14ac:dyDescent="0.2">
      <c r="A11254"/>
      <c r="B11254"/>
      <c r="C11254"/>
      <c r="D11254"/>
      <c r="E11254"/>
      <c r="F11254"/>
      <c r="G11254"/>
      <c r="H11254"/>
      <c r="I11254"/>
      <c r="J11254"/>
      <c r="K11254" s="1"/>
      <c r="L11254" s="2"/>
    </row>
    <row r="11255" spans="1:12" x14ac:dyDescent="0.2">
      <c r="A11255"/>
      <c r="B11255"/>
      <c r="C11255"/>
      <c r="D11255"/>
      <c r="E11255"/>
      <c r="F11255"/>
      <c r="G11255"/>
      <c r="H11255"/>
      <c r="I11255"/>
      <c r="J11255"/>
      <c r="K11255" s="1"/>
      <c r="L11255" s="2"/>
    </row>
    <row r="11256" spans="1:12" x14ac:dyDescent="0.2">
      <c r="A11256"/>
      <c r="B11256"/>
      <c r="C11256"/>
      <c r="D11256"/>
      <c r="E11256"/>
      <c r="F11256"/>
      <c r="G11256"/>
      <c r="H11256"/>
      <c r="I11256"/>
      <c r="J11256"/>
      <c r="K11256" s="1"/>
      <c r="L11256" s="2"/>
    </row>
    <row r="11257" spans="1:12" x14ac:dyDescent="0.2">
      <c r="A11257"/>
      <c r="B11257"/>
      <c r="C11257"/>
      <c r="D11257"/>
      <c r="E11257"/>
      <c r="F11257"/>
      <c r="G11257"/>
      <c r="H11257"/>
      <c r="I11257"/>
      <c r="J11257"/>
      <c r="K11257" s="1"/>
      <c r="L11257" s="2"/>
    </row>
    <row r="11258" spans="1:12" x14ac:dyDescent="0.2">
      <c r="A11258"/>
      <c r="B11258"/>
      <c r="C11258"/>
      <c r="D11258"/>
      <c r="E11258"/>
      <c r="F11258"/>
      <c r="G11258"/>
      <c r="H11258"/>
      <c r="I11258"/>
      <c r="J11258"/>
      <c r="K11258" s="1"/>
      <c r="L11258" s="2"/>
    </row>
    <row r="11259" spans="1:12" x14ac:dyDescent="0.2">
      <c r="A11259"/>
      <c r="B11259"/>
      <c r="C11259"/>
      <c r="D11259"/>
      <c r="E11259"/>
      <c r="F11259"/>
      <c r="G11259"/>
      <c r="H11259"/>
      <c r="I11259"/>
      <c r="J11259"/>
      <c r="K11259" s="1"/>
      <c r="L11259" s="2"/>
    </row>
    <row r="11260" spans="1:12" x14ac:dyDescent="0.2">
      <c r="A11260"/>
      <c r="B11260"/>
      <c r="C11260"/>
      <c r="D11260"/>
      <c r="E11260"/>
      <c r="F11260"/>
      <c r="G11260"/>
      <c r="H11260"/>
      <c r="I11260"/>
      <c r="J11260"/>
      <c r="K11260" s="1"/>
      <c r="L11260" s="2"/>
    </row>
    <row r="11261" spans="1:12" x14ac:dyDescent="0.2">
      <c r="A11261"/>
      <c r="B11261"/>
      <c r="C11261"/>
      <c r="D11261"/>
      <c r="E11261"/>
      <c r="F11261"/>
      <c r="G11261"/>
      <c r="H11261"/>
      <c r="I11261"/>
      <c r="J11261"/>
      <c r="K11261" s="1"/>
      <c r="L11261" s="2"/>
    </row>
    <row r="11262" spans="1:12" x14ac:dyDescent="0.2">
      <c r="A11262"/>
      <c r="B11262"/>
      <c r="C11262"/>
      <c r="D11262"/>
      <c r="E11262"/>
      <c r="F11262"/>
      <c r="G11262"/>
      <c r="H11262"/>
      <c r="I11262"/>
      <c r="J11262"/>
      <c r="K11262" s="1"/>
      <c r="L11262" s="2"/>
    </row>
    <row r="11263" spans="1:12" x14ac:dyDescent="0.2">
      <c r="A11263"/>
      <c r="B11263"/>
      <c r="C11263"/>
      <c r="D11263"/>
      <c r="E11263"/>
      <c r="F11263"/>
      <c r="G11263"/>
      <c r="H11263"/>
      <c r="I11263"/>
      <c r="J11263"/>
      <c r="K11263" s="1"/>
      <c r="L11263" s="2"/>
    </row>
    <row r="11264" spans="1:12" x14ac:dyDescent="0.2">
      <c r="A11264"/>
      <c r="B11264"/>
      <c r="C11264"/>
      <c r="D11264"/>
      <c r="E11264"/>
      <c r="F11264"/>
      <c r="G11264"/>
      <c r="H11264"/>
      <c r="I11264"/>
      <c r="J11264"/>
      <c r="K11264" s="1"/>
      <c r="L11264" s="2"/>
    </row>
    <row r="11265" spans="1:12" x14ac:dyDescent="0.2">
      <c r="A11265"/>
      <c r="B11265"/>
      <c r="C11265"/>
      <c r="D11265"/>
      <c r="E11265"/>
      <c r="F11265"/>
      <c r="G11265"/>
      <c r="H11265"/>
      <c r="I11265"/>
      <c r="J11265"/>
      <c r="K11265" s="1"/>
      <c r="L11265" s="2"/>
    </row>
    <row r="11266" spans="1:12" x14ac:dyDescent="0.2">
      <c r="A11266"/>
      <c r="B11266"/>
      <c r="C11266"/>
      <c r="D11266"/>
      <c r="E11266"/>
      <c r="F11266"/>
      <c r="G11266"/>
      <c r="H11266"/>
      <c r="I11266"/>
      <c r="J11266"/>
      <c r="K11266" s="1"/>
      <c r="L11266" s="2"/>
    </row>
    <row r="11267" spans="1:12" x14ac:dyDescent="0.2">
      <c r="A11267"/>
      <c r="B11267"/>
      <c r="C11267"/>
      <c r="D11267"/>
      <c r="E11267"/>
      <c r="F11267"/>
      <c r="G11267"/>
      <c r="H11267"/>
      <c r="I11267"/>
      <c r="J11267"/>
      <c r="K11267" s="1"/>
      <c r="L11267" s="2"/>
    </row>
    <row r="11268" spans="1:12" x14ac:dyDescent="0.2">
      <c r="A11268"/>
      <c r="B11268"/>
      <c r="C11268"/>
      <c r="D11268"/>
      <c r="E11268"/>
      <c r="F11268"/>
      <c r="G11268"/>
      <c r="H11268"/>
      <c r="I11268"/>
      <c r="J11268"/>
      <c r="K11268" s="1"/>
      <c r="L11268" s="2"/>
    </row>
    <row r="11269" spans="1:12" x14ac:dyDescent="0.2">
      <c r="A11269"/>
      <c r="B11269"/>
      <c r="C11269"/>
      <c r="D11269"/>
      <c r="E11269"/>
      <c r="F11269"/>
      <c r="G11269"/>
      <c r="H11269"/>
      <c r="I11269"/>
      <c r="J11269"/>
      <c r="K11269" s="1"/>
      <c r="L11269" s="2"/>
    </row>
    <row r="11270" spans="1:12" x14ac:dyDescent="0.2">
      <c r="A11270"/>
      <c r="B11270"/>
      <c r="C11270"/>
      <c r="D11270"/>
      <c r="E11270"/>
      <c r="F11270"/>
      <c r="G11270"/>
      <c r="H11270"/>
      <c r="I11270"/>
      <c r="J11270"/>
      <c r="K11270" s="1"/>
      <c r="L11270" s="2"/>
    </row>
    <row r="11271" spans="1:12" x14ac:dyDescent="0.2">
      <c r="A11271"/>
      <c r="B11271"/>
      <c r="C11271"/>
      <c r="D11271"/>
      <c r="E11271"/>
      <c r="F11271"/>
      <c r="G11271"/>
      <c r="H11271"/>
      <c r="I11271"/>
      <c r="J11271"/>
      <c r="K11271" s="1"/>
      <c r="L11271" s="2"/>
    </row>
    <row r="11272" spans="1:12" x14ac:dyDescent="0.2">
      <c r="A11272"/>
      <c r="B11272"/>
      <c r="C11272"/>
      <c r="D11272"/>
      <c r="E11272"/>
      <c r="F11272"/>
      <c r="G11272"/>
      <c r="H11272"/>
      <c r="I11272"/>
      <c r="J11272"/>
      <c r="K11272" s="1"/>
      <c r="L11272" s="2"/>
    </row>
    <row r="11273" spans="1:12" x14ac:dyDescent="0.2">
      <c r="A11273"/>
      <c r="B11273"/>
      <c r="C11273"/>
      <c r="D11273"/>
      <c r="E11273"/>
      <c r="F11273"/>
      <c r="G11273"/>
      <c r="H11273"/>
      <c r="I11273"/>
      <c r="J11273"/>
      <c r="K11273" s="1"/>
      <c r="L11273" s="2"/>
    </row>
    <row r="11274" spans="1:12" x14ac:dyDescent="0.2">
      <c r="A11274"/>
      <c r="B11274"/>
      <c r="C11274"/>
      <c r="D11274"/>
      <c r="E11274"/>
      <c r="F11274"/>
      <c r="G11274"/>
      <c r="H11274"/>
      <c r="I11274"/>
      <c r="J11274"/>
      <c r="K11274" s="1"/>
      <c r="L11274" s="2"/>
    </row>
    <row r="11275" spans="1:12" x14ac:dyDescent="0.2">
      <c r="A11275"/>
      <c r="B11275"/>
      <c r="C11275"/>
      <c r="D11275"/>
      <c r="E11275"/>
      <c r="F11275"/>
      <c r="G11275"/>
      <c r="H11275"/>
      <c r="I11275"/>
      <c r="J11275"/>
      <c r="K11275" s="1"/>
      <c r="L11275" s="2"/>
    </row>
    <row r="11276" spans="1:12" x14ac:dyDescent="0.2">
      <c r="A11276"/>
      <c r="B11276"/>
      <c r="C11276"/>
      <c r="D11276"/>
      <c r="E11276"/>
      <c r="F11276"/>
      <c r="G11276"/>
      <c r="H11276"/>
      <c r="I11276"/>
      <c r="J11276"/>
      <c r="K11276" s="1"/>
      <c r="L11276" s="2"/>
    </row>
    <row r="11277" spans="1:12" x14ac:dyDescent="0.2">
      <c r="A11277"/>
      <c r="B11277"/>
      <c r="C11277"/>
      <c r="D11277"/>
      <c r="E11277"/>
      <c r="F11277"/>
      <c r="G11277"/>
      <c r="H11277"/>
      <c r="I11277"/>
      <c r="J11277"/>
      <c r="K11277" s="1"/>
      <c r="L11277" s="2"/>
    </row>
    <row r="11278" spans="1:12" x14ac:dyDescent="0.2">
      <c r="A11278"/>
      <c r="B11278"/>
      <c r="C11278"/>
      <c r="D11278"/>
      <c r="E11278"/>
      <c r="F11278"/>
      <c r="G11278"/>
      <c r="H11278"/>
      <c r="I11278"/>
      <c r="J11278"/>
      <c r="K11278" s="1"/>
      <c r="L11278" s="2"/>
    </row>
    <row r="11279" spans="1:12" x14ac:dyDescent="0.2">
      <c r="A11279"/>
      <c r="B11279"/>
      <c r="C11279"/>
      <c r="D11279"/>
      <c r="E11279"/>
      <c r="F11279"/>
      <c r="G11279"/>
      <c r="H11279"/>
      <c r="I11279"/>
      <c r="J11279"/>
      <c r="K11279" s="1"/>
      <c r="L11279" s="2"/>
    </row>
    <row r="11280" spans="1:12" x14ac:dyDescent="0.2">
      <c r="A11280"/>
      <c r="B11280"/>
      <c r="C11280"/>
      <c r="D11280"/>
      <c r="E11280"/>
      <c r="F11280"/>
      <c r="G11280"/>
      <c r="H11280"/>
      <c r="I11280"/>
      <c r="J11280"/>
      <c r="K11280" s="1"/>
      <c r="L11280" s="2"/>
    </row>
    <row r="11281" spans="1:12" x14ac:dyDescent="0.2">
      <c r="A11281"/>
      <c r="B11281"/>
      <c r="C11281"/>
      <c r="D11281"/>
      <c r="E11281"/>
      <c r="F11281"/>
      <c r="G11281"/>
      <c r="H11281"/>
      <c r="I11281"/>
      <c r="J11281"/>
      <c r="K11281" s="1"/>
      <c r="L11281" s="2"/>
    </row>
    <row r="11282" spans="1:12" x14ac:dyDescent="0.2">
      <c r="A11282"/>
      <c r="B11282"/>
      <c r="C11282"/>
      <c r="D11282"/>
      <c r="E11282"/>
      <c r="F11282"/>
      <c r="G11282"/>
      <c r="H11282"/>
      <c r="I11282"/>
      <c r="J11282"/>
      <c r="K11282" s="1"/>
      <c r="L11282" s="2"/>
    </row>
    <row r="11283" spans="1:12" x14ac:dyDescent="0.2">
      <c r="A11283"/>
      <c r="B11283"/>
      <c r="C11283"/>
      <c r="D11283"/>
      <c r="E11283"/>
      <c r="F11283"/>
      <c r="G11283"/>
      <c r="H11283"/>
      <c r="I11283"/>
      <c r="J11283"/>
      <c r="K11283" s="1"/>
      <c r="L11283" s="2"/>
    </row>
    <row r="11284" spans="1:12" x14ac:dyDescent="0.2">
      <c r="A11284"/>
      <c r="B11284"/>
      <c r="C11284"/>
      <c r="D11284"/>
      <c r="E11284"/>
      <c r="F11284"/>
      <c r="G11284"/>
      <c r="H11284"/>
      <c r="I11284"/>
      <c r="J11284"/>
      <c r="K11284" s="1"/>
      <c r="L11284" s="2"/>
    </row>
    <row r="11285" spans="1:12" x14ac:dyDescent="0.2">
      <c r="A11285"/>
      <c r="B11285"/>
      <c r="C11285"/>
      <c r="D11285"/>
      <c r="E11285"/>
      <c r="F11285"/>
      <c r="G11285"/>
      <c r="H11285"/>
      <c r="I11285"/>
      <c r="J11285"/>
      <c r="K11285" s="1"/>
      <c r="L11285" s="2"/>
    </row>
    <row r="11286" spans="1:12" x14ac:dyDescent="0.2">
      <c r="A11286"/>
      <c r="B11286"/>
      <c r="C11286"/>
      <c r="D11286"/>
      <c r="E11286"/>
      <c r="F11286"/>
      <c r="G11286"/>
      <c r="H11286"/>
      <c r="I11286"/>
      <c r="J11286"/>
      <c r="K11286" s="1"/>
      <c r="L11286" s="2"/>
    </row>
    <row r="11287" spans="1:12" x14ac:dyDescent="0.2">
      <c r="A11287"/>
      <c r="B11287"/>
      <c r="C11287"/>
      <c r="D11287"/>
      <c r="E11287"/>
      <c r="F11287"/>
      <c r="G11287"/>
      <c r="H11287"/>
      <c r="I11287"/>
      <c r="J11287"/>
      <c r="K11287" s="1"/>
      <c r="L11287" s="2"/>
    </row>
    <row r="11288" spans="1:12" x14ac:dyDescent="0.2">
      <c r="A11288"/>
      <c r="B11288"/>
      <c r="C11288"/>
      <c r="D11288"/>
      <c r="E11288"/>
      <c r="F11288"/>
      <c r="G11288"/>
      <c r="H11288"/>
      <c r="I11288"/>
      <c r="J11288"/>
      <c r="K11288" s="1"/>
      <c r="L11288" s="2"/>
    </row>
    <row r="11289" spans="1:12" x14ac:dyDescent="0.2">
      <c r="A11289"/>
      <c r="B11289"/>
      <c r="C11289"/>
      <c r="D11289"/>
      <c r="E11289"/>
      <c r="F11289"/>
      <c r="G11289"/>
      <c r="H11289"/>
      <c r="I11289"/>
      <c r="J11289"/>
      <c r="K11289" s="1"/>
      <c r="L11289" s="2"/>
    </row>
    <row r="11290" spans="1:12" x14ac:dyDescent="0.2">
      <c r="A11290"/>
      <c r="B11290"/>
      <c r="C11290"/>
      <c r="D11290"/>
      <c r="E11290"/>
      <c r="F11290"/>
      <c r="G11290"/>
      <c r="H11290"/>
      <c r="I11290"/>
      <c r="J11290"/>
      <c r="K11290" s="1"/>
      <c r="L11290" s="2"/>
    </row>
    <row r="11291" spans="1:12" x14ac:dyDescent="0.2">
      <c r="A11291"/>
      <c r="B11291"/>
      <c r="C11291"/>
      <c r="D11291"/>
      <c r="E11291"/>
      <c r="F11291"/>
      <c r="G11291"/>
      <c r="H11291"/>
      <c r="I11291"/>
      <c r="J11291"/>
      <c r="K11291" s="1"/>
      <c r="L11291" s="2"/>
    </row>
    <row r="11292" spans="1:12" x14ac:dyDescent="0.2">
      <c r="A11292"/>
      <c r="B11292"/>
      <c r="C11292"/>
      <c r="D11292"/>
      <c r="E11292"/>
      <c r="F11292"/>
      <c r="G11292"/>
      <c r="H11292"/>
      <c r="I11292"/>
      <c r="J11292"/>
      <c r="K11292" s="1"/>
      <c r="L11292" s="2"/>
    </row>
    <row r="11293" spans="1:12" x14ac:dyDescent="0.2">
      <c r="A11293"/>
      <c r="B11293"/>
      <c r="C11293"/>
      <c r="D11293"/>
      <c r="E11293"/>
      <c r="F11293"/>
      <c r="G11293"/>
      <c r="H11293"/>
      <c r="I11293"/>
      <c r="J11293"/>
      <c r="K11293" s="1"/>
      <c r="L11293" s="2"/>
    </row>
    <row r="11294" spans="1:12" x14ac:dyDescent="0.2">
      <c r="A11294"/>
      <c r="B11294"/>
      <c r="C11294"/>
      <c r="D11294"/>
      <c r="E11294"/>
      <c r="F11294"/>
      <c r="G11294"/>
      <c r="H11294"/>
      <c r="I11294"/>
      <c r="J11294"/>
      <c r="K11294" s="1"/>
      <c r="L11294" s="2"/>
    </row>
    <row r="11295" spans="1:12" x14ac:dyDescent="0.2">
      <c r="A11295"/>
      <c r="B11295"/>
      <c r="C11295"/>
      <c r="D11295"/>
      <c r="E11295"/>
      <c r="F11295"/>
      <c r="G11295"/>
      <c r="H11295"/>
      <c r="I11295"/>
      <c r="J11295"/>
      <c r="K11295" s="1"/>
      <c r="L11295" s="2"/>
    </row>
    <row r="11296" spans="1:12" x14ac:dyDescent="0.2">
      <c r="A11296"/>
      <c r="B11296"/>
      <c r="C11296"/>
      <c r="D11296"/>
      <c r="E11296"/>
      <c r="F11296"/>
      <c r="G11296"/>
      <c r="H11296"/>
      <c r="I11296"/>
      <c r="J11296"/>
      <c r="K11296" s="1"/>
      <c r="L11296" s="2"/>
    </row>
    <row r="11297" spans="1:12" x14ac:dyDescent="0.2">
      <c r="A11297"/>
      <c r="B11297"/>
      <c r="C11297"/>
      <c r="D11297"/>
      <c r="E11297"/>
      <c r="F11297"/>
      <c r="G11297"/>
      <c r="H11297"/>
      <c r="I11297"/>
      <c r="J11297"/>
      <c r="K11297" s="1"/>
      <c r="L11297" s="2"/>
    </row>
    <row r="11298" spans="1:12" x14ac:dyDescent="0.2">
      <c r="A11298"/>
      <c r="B11298"/>
      <c r="C11298"/>
      <c r="D11298"/>
      <c r="E11298"/>
      <c r="F11298"/>
      <c r="G11298"/>
      <c r="H11298"/>
      <c r="I11298"/>
      <c r="J11298"/>
      <c r="K11298" s="1"/>
      <c r="L11298" s="2"/>
    </row>
    <row r="11299" spans="1:12" x14ac:dyDescent="0.2">
      <c r="A11299"/>
      <c r="B11299"/>
      <c r="C11299"/>
      <c r="D11299"/>
      <c r="E11299"/>
      <c r="F11299"/>
      <c r="G11299"/>
      <c r="H11299"/>
      <c r="I11299"/>
      <c r="J11299"/>
      <c r="K11299" s="1"/>
      <c r="L11299" s="2"/>
    </row>
    <row r="11300" spans="1:12" x14ac:dyDescent="0.2">
      <c r="A11300"/>
      <c r="B11300"/>
      <c r="C11300"/>
      <c r="D11300"/>
      <c r="E11300"/>
      <c r="F11300"/>
      <c r="G11300"/>
      <c r="H11300"/>
      <c r="I11300"/>
      <c r="J11300"/>
      <c r="K11300" s="1"/>
      <c r="L11300" s="2"/>
    </row>
    <row r="11301" spans="1:12" x14ac:dyDescent="0.2">
      <c r="A11301"/>
      <c r="B11301"/>
      <c r="C11301"/>
      <c r="D11301"/>
      <c r="E11301"/>
      <c r="F11301"/>
      <c r="G11301"/>
      <c r="H11301"/>
      <c r="I11301"/>
      <c r="J11301"/>
      <c r="K11301" s="1"/>
      <c r="L11301" s="2"/>
    </row>
    <row r="11302" spans="1:12" x14ac:dyDescent="0.2">
      <c r="A11302"/>
      <c r="B11302"/>
      <c r="C11302"/>
      <c r="D11302"/>
      <c r="E11302"/>
      <c r="F11302"/>
      <c r="G11302"/>
      <c r="H11302"/>
      <c r="I11302"/>
      <c r="J11302"/>
      <c r="K11302" s="1"/>
      <c r="L11302" s="2"/>
    </row>
    <row r="11303" spans="1:12" x14ac:dyDescent="0.2">
      <c r="A11303"/>
      <c r="B11303"/>
      <c r="C11303"/>
      <c r="D11303"/>
      <c r="E11303"/>
      <c r="F11303"/>
      <c r="G11303"/>
      <c r="H11303"/>
      <c r="I11303"/>
      <c r="J11303"/>
      <c r="K11303" s="1"/>
      <c r="L11303" s="2"/>
    </row>
    <row r="11304" spans="1:12" x14ac:dyDescent="0.2">
      <c r="A11304"/>
      <c r="B11304"/>
      <c r="C11304"/>
      <c r="D11304"/>
      <c r="E11304"/>
      <c r="F11304"/>
      <c r="G11304"/>
      <c r="H11304"/>
      <c r="I11304"/>
      <c r="J11304"/>
      <c r="K11304" s="1"/>
      <c r="L11304" s="2"/>
    </row>
    <row r="11305" spans="1:12" x14ac:dyDescent="0.2">
      <c r="A11305"/>
      <c r="B11305"/>
      <c r="C11305"/>
      <c r="D11305"/>
      <c r="E11305"/>
      <c r="F11305"/>
      <c r="G11305"/>
      <c r="H11305"/>
      <c r="I11305"/>
      <c r="J11305"/>
      <c r="K11305" s="1"/>
      <c r="L11305" s="2"/>
    </row>
    <row r="11306" spans="1:12" x14ac:dyDescent="0.2">
      <c r="A11306"/>
      <c r="B11306"/>
      <c r="C11306"/>
      <c r="D11306"/>
      <c r="E11306"/>
      <c r="F11306"/>
      <c r="G11306"/>
      <c r="H11306"/>
      <c r="I11306"/>
      <c r="J11306"/>
      <c r="K11306" s="1"/>
      <c r="L11306" s="2"/>
    </row>
    <row r="11307" spans="1:12" x14ac:dyDescent="0.2">
      <c r="A11307"/>
      <c r="B11307"/>
      <c r="C11307"/>
      <c r="D11307"/>
      <c r="E11307"/>
      <c r="F11307"/>
      <c r="G11307"/>
      <c r="H11307"/>
      <c r="I11307"/>
      <c r="J11307"/>
      <c r="K11307" s="1"/>
      <c r="L11307" s="2"/>
    </row>
    <row r="11308" spans="1:12" x14ac:dyDescent="0.2">
      <c r="A11308"/>
      <c r="B11308"/>
      <c r="C11308"/>
      <c r="D11308"/>
      <c r="E11308"/>
      <c r="F11308"/>
      <c r="G11308"/>
      <c r="H11308"/>
      <c r="I11308"/>
      <c r="J11308"/>
      <c r="K11308" s="1"/>
      <c r="L11308" s="2"/>
    </row>
    <row r="11309" spans="1:12" x14ac:dyDescent="0.2">
      <c r="A11309"/>
      <c r="B11309"/>
      <c r="C11309"/>
      <c r="D11309"/>
      <c r="E11309"/>
      <c r="F11309"/>
      <c r="G11309"/>
      <c r="H11309"/>
      <c r="I11309"/>
      <c r="J11309"/>
      <c r="K11309" s="1"/>
      <c r="L11309" s="2"/>
    </row>
    <row r="11310" spans="1:12" x14ac:dyDescent="0.2">
      <c r="A11310"/>
      <c r="B11310"/>
      <c r="C11310"/>
      <c r="D11310"/>
      <c r="E11310"/>
      <c r="F11310"/>
      <c r="G11310"/>
      <c r="H11310"/>
      <c r="I11310"/>
      <c r="J11310"/>
      <c r="K11310" s="1"/>
      <c r="L11310" s="2"/>
    </row>
    <row r="11311" spans="1:12" x14ac:dyDescent="0.2">
      <c r="A11311"/>
      <c r="B11311"/>
      <c r="C11311"/>
      <c r="D11311"/>
      <c r="E11311"/>
      <c r="F11311"/>
      <c r="G11311"/>
      <c r="H11311"/>
      <c r="I11311"/>
      <c r="J11311"/>
      <c r="K11311" s="1"/>
      <c r="L11311" s="2"/>
    </row>
    <row r="11312" spans="1:12" x14ac:dyDescent="0.2">
      <c r="A11312"/>
      <c r="B11312"/>
      <c r="C11312"/>
      <c r="D11312"/>
      <c r="E11312"/>
      <c r="F11312"/>
      <c r="G11312"/>
      <c r="H11312"/>
      <c r="I11312"/>
      <c r="J11312"/>
      <c r="K11312" s="1"/>
      <c r="L11312" s="2"/>
    </row>
    <row r="11313" spans="1:12" x14ac:dyDescent="0.2">
      <c r="A11313"/>
      <c r="B11313"/>
      <c r="C11313"/>
      <c r="D11313"/>
      <c r="E11313"/>
      <c r="F11313"/>
      <c r="G11313"/>
      <c r="H11313"/>
      <c r="I11313"/>
      <c r="J11313"/>
      <c r="K11313" s="1"/>
      <c r="L11313" s="2"/>
    </row>
    <row r="11314" spans="1:12" x14ac:dyDescent="0.2">
      <c r="A11314"/>
      <c r="B11314"/>
      <c r="C11314"/>
      <c r="D11314"/>
      <c r="E11314"/>
      <c r="F11314"/>
      <c r="G11314"/>
      <c r="H11314"/>
      <c r="I11314"/>
      <c r="J11314"/>
      <c r="K11314" s="1"/>
      <c r="L11314" s="2"/>
    </row>
    <row r="11315" spans="1:12" x14ac:dyDescent="0.2">
      <c r="A11315"/>
      <c r="B11315"/>
      <c r="C11315"/>
      <c r="D11315"/>
      <c r="E11315"/>
      <c r="F11315"/>
      <c r="G11315"/>
      <c r="H11315"/>
      <c r="I11315"/>
      <c r="J11315"/>
      <c r="K11315" s="1"/>
      <c r="L11315" s="2"/>
    </row>
    <row r="11316" spans="1:12" x14ac:dyDescent="0.2">
      <c r="A11316"/>
      <c r="B11316"/>
      <c r="C11316"/>
      <c r="D11316"/>
      <c r="E11316"/>
      <c r="F11316"/>
      <c r="G11316"/>
      <c r="H11316"/>
      <c r="I11316"/>
      <c r="J11316"/>
      <c r="K11316" s="1"/>
      <c r="L11316" s="2"/>
    </row>
    <row r="11317" spans="1:12" x14ac:dyDescent="0.2">
      <c r="A11317"/>
      <c r="B11317"/>
      <c r="C11317"/>
      <c r="D11317"/>
      <c r="E11317"/>
      <c r="F11317"/>
      <c r="G11317"/>
      <c r="H11317"/>
      <c r="I11317"/>
      <c r="J11317"/>
      <c r="K11317" s="1"/>
      <c r="L11317" s="2"/>
    </row>
    <row r="11318" spans="1:12" x14ac:dyDescent="0.2">
      <c r="A11318"/>
      <c r="B11318"/>
      <c r="C11318"/>
      <c r="D11318"/>
      <c r="E11318"/>
      <c r="F11318"/>
      <c r="G11318"/>
      <c r="H11318"/>
      <c r="I11318"/>
      <c r="J11318"/>
      <c r="K11318" s="1"/>
      <c r="L11318" s="2"/>
    </row>
    <row r="11319" spans="1:12" x14ac:dyDescent="0.2">
      <c r="A11319"/>
      <c r="B11319"/>
      <c r="C11319"/>
      <c r="D11319"/>
      <c r="E11319"/>
      <c r="F11319"/>
      <c r="G11319"/>
      <c r="H11319"/>
      <c r="I11319"/>
      <c r="J11319"/>
      <c r="K11319" s="1"/>
      <c r="L11319" s="2"/>
    </row>
    <row r="11320" spans="1:12" x14ac:dyDescent="0.2">
      <c r="A11320"/>
      <c r="B11320"/>
      <c r="C11320"/>
      <c r="D11320"/>
      <c r="E11320"/>
      <c r="F11320"/>
      <c r="G11320"/>
      <c r="H11320"/>
      <c r="I11320"/>
      <c r="J11320"/>
      <c r="K11320" s="1"/>
      <c r="L11320" s="2"/>
    </row>
    <row r="11321" spans="1:12" x14ac:dyDescent="0.2">
      <c r="A11321"/>
      <c r="B11321"/>
      <c r="C11321"/>
      <c r="D11321"/>
      <c r="E11321"/>
      <c r="F11321"/>
      <c r="G11321"/>
      <c r="H11321"/>
      <c r="I11321"/>
      <c r="J11321"/>
      <c r="K11321" s="1"/>
      <c r="L11321" s="2"/>
    </row>
    <row r="11322" spans="1:12" x14ac:dyDescent="0.2">
      <c r="A11322"/>
      <c r="B11322"/>
      <c r="C11322"/>
      <c r="D11322"/>
      <c r="E11322"/>
      <c r="F11322"/>
      <c r="G11322"/>
      <c r="H11322"/>
      <c r="I11322"/>
      <c r="J11322"/>
      <c r="K11322" s="1"/>
      <c r="L11322" s="2"/>
    </row>
    <row r="11323" spans="1:12" x14ac:dyDescent="0.2">
      <c r="A11323"/>
      <c r="B11323"/>
      <c r="C11323"/>
      <c r="D11323"/>
      <c r="E11323"/>
      <c r="F11323"/>
      <c r="G11323"/>
      <c r="H11323"/>
      <c r="I11323"/>
      <c r="J11323"/>
      <c r="K11323" s="1"/>
      <c r="L11323" s="2"/>
    </row>
    <row r="11324" spans="1:12" x14ac:dyDescent="0.2">
      <c r="A11324"/>
      <c r="B11324"/>
      <c r="C11324"/>
      <c r="D11324"/>
      <c r="E11324"/>
      <c r="F11324"/>
      <c r="G11324"/>
      <c r="H11324"/>
      <c r="I11324"/>
      <c r="J11324"/>
      <c r="K11324" s="1"/>
      <c r="L11324" s="2"/>
    </row>
    <row r="11325" spans="1:12" x14ac:dyDescent="0.2">
      <c r="A11325"/>
      <c r="B11325"/>
      <c r="C11325"/>
      <c r="D11325"/>
      <c r="E11325"/>
      <c r="F11325"/>
      <c r="G11325"/>
      <c r="H11325"/>
      <c r="I11325"/>
      <c r="J11325"/>
      <c r="K11325" s="1"/>
      <c r="L11325" s="2"/>
    </row>
    <row r="11326" spans="1:12" x14ac:dyDescent="0.2">
      <c r="A11326"/>
      <c r="B11326"/>
      <c r="C11326"/>
      <c r="D11326"/>
      <c r="E11326"/>
      <c r="F11326"/>
      <c r="G11326"/>
      <c r="H11326"/>
      <c r="I11326"/>
      <c r="J11326"/>
      <c r="K11326" s="1"/>
      <c r="L11326" s="2"/>
    </row>
    <row r="11327" spans="1:12" x14ac:dyDescent="0.2">
      <c r="A11327"/>
      <c r="B11327"/>
      <c r="C11327"/>
      <c r="D11327"/>
      <c r="E11327"/>
      <c r="F11327"/>
      <c r="G11327"/>
      <c r="H11327"/>
      <c r="I11327"/>
      <c r="J11327"/>
      <c r="K11327" s="1"/>
      <c r="L11327" s="2"/>
    </row>
    <row r="11328" spans="1:12" x14ac:dyDescent="0.2">
      <c r="A11328"/>
      <c r="B11328"/>
      <c r="C11328"/>
      <c r="D11328"/>
      <c r="E11328"/>
      <c r="F11328"/>
      <c r="G11328"/>
      <c r="H11328"/>
      <c r="I11328"/>
      <c r="J11328"/>
      <c r="K11328" s="1"/>
      <c r="L11328" s="2"/>
    </row>
    <row r="11329" spans="1:12" x14ac:dyDescent="0.2">
      <c r="A11329"/>
      <c r="B11329"/>
      <c r="C11329"/>
      <c r="D11329"/>
      <c r="E11329"/>
      <c r="F11329"/>
      <c r="G11329"/>
      <c r="H11329"/>
      <c r="I11329"/>
      <c r="J11329"/>
      <c r="K11329" s="1"/>
      <c r="L11329" s="2"/>
    </row>
    <row r="11330" spans="1:12" x14ac:dyDescent="0.2">
      <c r="A11330"/>
      <c r="B11330"/>
      <c r="C11330"/>
      <c r="D11330"/>
      <c r="E11330"/>
      <c r="F11330"/>
      <c r="G11330"/>
      <c r="H11330"/>
      <c r="I11330"/>
      <c r="J11330"/>
      <c r="K11330" s="1"/>
      <c r="L11330" s="2"/>
    </row>
    <row r="11331" spans="1:12" x14ac:dyDescent="0.2">
      <c r="A11331"/>
      <c r="B11331"/>
      <c r="C11331"/>
      <c r="D11331"/>
      <c r="E11331"/>
      <c r="F11331"/>
      <c r="G11331"/>
      <c r="H11331"/>
      <c r="I11331"/>
      <c r="J11331"/>
      <c r="K11331" s="1"/>
      <c r="L11331" s="2"/>
    </row>
    <row r="11332" spans="1:12" x14ac:dyDescent="0.2">
      <c r="A11332"/>
      <c r="B11332"/>
      <c r="C11332"/>
      <c r="D11332"/>
      <c r="E11332"/>
      <c r="F11332"/>
      <c r="G11332"/>
      <c r="H11332"/>
      <c r="I11332"/>
      <c r="J11332"/>
      <c r="K11332" s="1"/>
      <c r="L11332" s="2"/>
    </row>
    <row r="11333" spans="1:12" x14ac:dyDescent="0.2">
      <c r="A11333"/>
      <c r="B11333"/>
      <c r="C11333"/>
      <c r="D11333"/>
      <c r="E11333"/>
      <c r="F11333"/>
      <c r="G11333"/>
      <c r="H11333"/>
      <c r="I11333"/>
      <c r="J11333"/>
      <c r="K11333" s="1"/>
      <c r="L11333" s="2"/>
    </row>
    <row r="11334" spans="1:12" x14ac:dyDescent="0.2">
      <c r="A11334"/>
      <c r="B11334"/>
      <c r="C11334"/>
      <c r="D11334"/>
      <c r="E11334"/>
      <c r="F11334"/>
      <c r="G11334"/>
      <c r="H11334"/>
      <c r="I11334"/>
      <c r="J11334"/>
      <c r="K11334" s="1"/>
      <c r="L11334" s="2"/>
    </row>
    <row r="11335" spans="1:12" x14ac:dyDescent="0.2">
      <c r="A11335"/>
      <c r="B11335"/>
      <c r="C11335"/>
      <c r="D11335"/>
      <c r="E11335"/>
      <c r="F11335"/>
      <c r="G11335"/>
      <c r="H11335"/>
      <c r="I11335"/>
      <c r="J11335"/>
      <c r="K11335" s="1"/>
      <c r="L11335" s="2"/>
    </row>
    <row r="11336" spans="1:12" x14ac:dyDescent="0.2">
      <c r="A11336"/>
      <c r="B11336"/>
      <c r="C11336"/>
      <c r="D11336"/>
      <c r="E11336"/>
      <c r="F11336"/>
      <c r="G11336"/>
      <c r="H11336"/>
      <c r="I11336"/>
      <c r="J11336"/>
      <c r="K11336" s="1"/>
      <c r="L11336" s="2"/>
    </row>
    <row r="11337" spans="1:12" x14ac:dyDescent="0.2">
      <c r="A11337"/>
      <c r="B11337"/>
      <c r="C11337"/>
      <c r="D11337"/>
      <c r="E11337"/>
      <c r="F11337"/>
      <c r="G11337"/>
      <c r="H11337"/>
      <c r="I11337"/>
      <c r="J11337"/>
      <c r="K11337" s="1"/>
      <c r="L11337" s="2"/>
    </row>
    <row r="11338" spans="1:12" x14ac:dyDescent="0.2">
      <c r="A11338"/>
      <c r="B11338"/>
      <c r="C11338"/>
      <c r="D11338"/>
      <c r="E11338"/>
      <c r="F11338"/>
      <c r="G11338"/>
      <c r="H11338"/>
      <c r="I11338"/>
      <c r="J11338"/>
      <c r="K11338" s="1"/>
      <c r="L11338" s="2"/>
    </row>
    <row r="11339" spans="1:12" x14ac:dyDescent="0.2">
      <c r="A11339"/>
      <c r="B11339"/>
      <c r="C11339"/>
      <c r="D11339"/>
      <c r="E11339"/>
      <c r="F11339"/>
      <c r="G11339"/>
      <c r="H11339"/>
      <c r="I11339"/>
      <c r="J11339"/>
      <c r="K11339" s="1"/>
      <c r="L11339" s="2"/>
    </row>
    <row r="11340" spans="1:12" x14ac:dyDescent="0.2">
      <c r="A11340"/>
      <c r="B11340"/>
      <c r="C11340"/>
      <c r="D11340"/>
      <c r="E11340"/>
      <c r="F11340"/>
      <c r="G11340"/>
      <c r="H11340"/>
      <c r="I11340"/>
      <c r="J11340"/>
      <c r="K11340" s="1"/>
      <c r="L11340" s="2"/>
    </row>
    <row r="11341" spans="1:12" x14ac:dyDescent="0.2">
      <c r="A11341"/>
      <c r="B11341"/>
      <c r="C11341"/>
      <c r="D11341"/>
      <c r="E11341"/>
      <c r="F11341"/>
      <c r="G11341"/>
      <c r="H11341"/>
      <c r="I11341"/>
      <c r="J11341"/>
      <c r="K11341" s="1"/>
      <c r="L11341" s="2"/>
    </row>
    <row r="11342" spans="1:12" x14ac:dyDescent="0.2">
      <c r="A11342"/>
      <c r="B11342"/>
      <c r="C11342"/>
      <c r="D11342"/>
      <c r="E11342"/>
      <c r="F11342"/>
      <c r="G11342"/>
      <c r="H11342"/>
      <c r="I11342"/>
      <c r="J11342"/>
      <c r="K11342" s="1"/>
      <c r="L11342" s="2"/>
    </row>
    <row r="11343" spans="1:12" x14ac:dyDescent="0.2">
      <c r="A11343"/>
      <c r="B11343"/>
      <c r="C11343"/>
      <c r="D11343"/>
      <c r="E11343"/>
      <c r="F11343"/>
      <c r="G11343"/>
      <c r="H11343"/>
      <c r="I11343"/>
      <c r="J11343"/>
      <c r="K11343" s="1"/>
      <c r="L11343" s="2"/>
    </row>
    <row r="11344" spans="1:12" x14ac:dyDescent="0.2">
      <c r="A11344"/>
      <c r="B11344"/>
      <c r="C11344"/>
      <c r="D11344"/>
      <c r="E11344"/>
      <c r="F11344"/>
      <c r="G11344"/>
      <c r="H11344"/>
      <c r="I11344"/>
      <c r="J11344"/>
      <c r="K11344" s="1"/>
      <c r="L11344" s="2"/>
    </row>
    <row r="11345" spans="1:12" x14ac:dyDescent="0.2">
      <c r="A11345"/>
      <c r="B11345"/>
      <c r="C11345"/>
      <c r="D11345"/>
      <c r="E11345"/>
      <c r="F11345"/>
      <c r="G11345"/>
      <c r="H11345"/>
      <c r="I11345"/>
      <c r="J11345"/>
      <c r="K11345" s="1"/>
      <c r="L11345" s="2"/>
    </row>
    <row r="11346" spans="1:12" x14ac:dyDescent="0.2">
      <c r="A11346"/>
      <c r="B11346"/>
      <c r="C11346"/>
      <c r="D11346"/>
      <c r="E11346"/>
      <c r="F11346"/>
      <c r="G11346"/>
      <c r="H11346"/>
      <c r="I11346"/>
      <c r="J11346"/>
      <c r="K11346" s="1"/>
      <c r="L11346" s="2"/>
    </row>
    <row r="11347" spans="1:12" x14ac:dyDescent="0.2">
      <c r="A11347"/>
      <c r="B11347"/>
      <c r="C11347"/>
      <c r="D11347"/>
      <c r="E11347"/>
      <c r="F11347"/>
      <c r="G11347"/>
      <c r="H11347"/>
      <c r="I11347"/>
      <c r="J11347"/>
      <c r="K11347" s="1"/>
      <c r="L11347" s="2"/>
    </row>
    <row r="11348" spans="1:12" x14ac:dyDescent="0.2">
      <c r="A11348"/>
      <c r="B11348"/>
      <c r="C11348"/>
      <c r="D11348"/>
      <c r="E11348"/>
      <c r="F11348"/>
      <c r="G11348"/>
      <c r="H11348"/>
      <c r="I11348"/>
      <c r="J11348"/>
      <c r="K11348" s="1"/>
      <c r="L11348" s="2"/>
    </row>
    <row r="11349" spans="1:12" x14ac:dyDescent="0.2">
      <c r="A11349"/>
      <c r="B11349"/>
      <c r="C11349"/>
      <c r="D11349"/>
      <c r="E11349"/>
      <c r="F11349"/>
      <c r="G11349"/>
      <c r="H11349"/>
      <c r="I11349"/>
      <c r="J11349"/>
      <c r="K11349" s="1"/>
      <c r="L11349" s="2"/>
    </row>
    <row r="11350" spans="1:12" x14ac:dyDescent="0.2">
      <c r="A11350"/>
      <c r="B11350"/>
      <c r="C11350"/>
      <c r="D11350"/>
      <c r="E11350"/>
      <c r="F11350"/>
      <c r="G11350"/>
      <c r="H11350"/>
      <c r="I11350"/>
      <c r="J11350"/>
      <c r="K11350" s="1"/>
      <c r="L11350" s="2"/>
    </row>
    <row r="11351" spans="1:12" x14ac:dyDescent="0.2">
      <c r="A11351"/>
      <c r="B11351"/>
      <c r="C11351"/>
      <c r="D11351"/>
      <c r="E11351"/>
      <c r="F11351"/>
      <c r="G11351"/>
      <c r="H11351"/>
      <c r="I11351"/>
      <c r="J11351"/>
      <c r="K11351" s="1"/>
      <c r="L11351" s="2"/>
    </row>
    <row r="11352" spans="1:12" x14ac:dyDescent="0.2">
      <c r="A11352"/>
      <c r="B11352"/>
      <c r="C11352"/>
      <c r="D11352"/>
      <c r="E11352"/>
      <c r="F11352"/>
      <c r="G11352"/>
      <c r="H11352"/>
      <c r="I11352"/>
      <c r="J11352"/>
      <c r="K11352" s="1"/>
      <c r="L11352" s="2"/>
    </row>
    <row r="11353" spans="1:12" x14ac:dyDescent="0.2">
      <c r="A11353"/>
      <c r="B11353"/>
      <c r="C11353"/>
      <c r="D11353"/>
      <c r="E11353"/>
      <c r="F11353"/>
      <c r="G11353"/>
      <c r="H11353"/>
      <c r="I11353"/>
      <c r="J11353"/>
      <c r="K11353" s="1"/>
      <c r="L11353" s="2"/>
    </row>
    <row r="11354" spans="1:12" x14ac:dyDescent="0.2">
      <c r="A11354"/>
      <c r="B11354"/>
      <c r="C11354"/>
      <c r="D11354"/>
      <c r="E11354"/>
      <c r="F11354"/>
      <c r="G11354"/>
      <c r="H11354"/>
      <c r="I11354"/>
      <c r="J11354"/>
      <c r="K11354" s="1"/>
      <c r="L11354" s="2"/>
    </row>
    <row r="11355" spans="1:12" x14ac:dyDescent="0.2">
      <c r="A11355"/>
      <c r="B11355"/>
      <c r="C11355"/>
      <c r="D11355"/>
      <c r="E11355"/>
      <c r="F11355"/>
      <c r="G11355"/>
      <c r="H11355"/>
      <c r="I11355"/>
      <c r="J11355"/>
      <c r="K11355" s="1"/>
      <c r="L11355" s="2"/>
    </row>
    <row r="11356" spans="1:12" x14ac:dyDescent="0.2">
      <c r="A11356"/>
      <c r="B11356"/>
      <c r="C11356"/>
      <c r="D11356"/>
      <c r="E11356"/>
      <c r="F11356"/>
      <c r="G11356"/>
      <c r="H11356"/>
      <c r="I11356"/>
      <c r="J11356"/>
      <c r="K11356" s="1"/>
      <c r="L11356" s="2"/>
    </row>
    <row r="11357" spans="1:12" x14ac:dyDescent="0.2">
      <c r="A11357"/>
      <c r="B11357"/>
      <c r="C11357"/>
      <c r="D11357"/>
      <c r="E11357"/>
      <c r="F11357"/>
      <c r="G11357"/>
      <c r="H11357"/>
      <c r="I11357"/>
      <c r="J11357"/>
      <c r="K11357" s="1"/>
      <c r="L11357" s="2"/>
    </row>
    <row r="11358" spans="1:12" x14ac:dyDescent="0.2">
      <c r="A11358"/>
      <c r="B11358"/>
      <c r="C11358"/>
      <c r="D11358"/>
      <c r="E11358"/>
      <c r="F11358"/>
      <c r="G11358"/>
      <c r="H11358"/>
      <c r="I11358"/>
      <c r="J11358"/>
      <c r="K11358" s="1"/>
      <c r="L11358" s="2"/>
    </row>
    <row r="11359" spans="1:12" x14ac:dyDescent="0.2">
      <c r="A11359"/>
      <c r="B11359"/>
      <c r="C11359"/>
      <c r="D11359"/>
      <c r="E11359"/>
      <c r="F11359"/>
      <c r="G11359"/>
      <c r="H11359"/>
      <c r="I11359"/>
      <c r="J11359"/>
      <c r="K11359" s="1"/>
      <c r="L11359" s="2"/>
    </row>
    <row r="11360" spans="1:12" x14ac:dyDescent="0.2">
      <c r="A11360"/>
      <c r="B11360"/>
      <c r="C11360"/>
      <c r="D11360"/>
      <c r="E11360"/>
      <c r="F11360"/>
      <c r="G11360"/>
      <c r="H11360"/>
      <c r="I11360"/>
      <c r="J11360"/>
      <c r="K11360" s="1"/>
      <c r="L11360" s="2"/>
    </row>
    <row r="11361" spans="1:12" x14ac:dyDescent="0.2">
      <c r="A11361"/>
      <c r="B11361"/>
      <c r="C11361"/>
      <c r="D11361"/>
      <c r="E11361"/>
      <c r="F11361"/>
      <c r="G11361"/>
      <c r="H11361"/>
      <c r="I11361"/>
      <c r="J11361"/>
      <c r="K11361" s="1"/>
      <c r="L11361" s="2"/>
    </row>
    <row r="11362" spans="1:12" x14ac:dyDescent="0.2">
      <c r="A11362"/>
      <c r="B11362"/>
      <c r="C11362"/>
      <c r="D11362"/>
      <c r="E11362"/>
      <c r="F11362"/>
      <c r="G11362"/>
      <c r="H11362"/>
      <c r="I11362"/>
      <c r="J11362"/>
      <c r="K11362" s="1"/>
      <c r="L11362" s="2"/>
    </row>
    <row r="11363" spans="1:12" x14ac:dyDescent="0.2">
      <c r="A11363"/>
      <c r="B11363"/>
      <c r="C11363"/>
      <c r="D11363"/>
      <c r="E11363"/>
      <c r="F11363"/>
      <c r="G11363"/>
      <c r="H11363"/>
      <c r="I11363"/>
      <c r="J11363"/>
      <c r="K11363" s="1"/>
      <c r="L11363" s="2"/>
    </row>
    <row r="11364" spans="1:12" x14ac:dyDescent="0.2">
      <c r="A11364"/>
      <c r="B11364"/>
      <c r="C11364"/>
      <c r="D11364"/>
      <c r="E11364"/>
      <c r="F11364"/>
      <c r="G11364"/>
      <c r="H11364"/>
      <c r="I11364"/>
      <c r="J11364"/>
      <c r="K11364" s="1"/>
      <c r="L11364" s="2"/>
    </row>
    <row r="11365" spans="1:12" x14ac:dyDescent="0.2">
      <c r="A11365"/>
      <c r="B11365"/>
      <c r="C11365"/>
      <c r="D11365"/>
      <c r="E11365"/>
      <c r="F11365"/>
      <c r="G11365"/>
      <c r="H11365"/>
      <c r="I11365"/>
      <c r="J11365"/>
      <c r="K11365" s="1"/>
      <c r="L11365" s="2"/>
    </row>
    <row r="11366" spans="1:12" x14ac:dyDescent="0.2">
      <c r="A11366"/>
      <c r="B11366"/>
      <c r="C11366"/>
      <c r="D11366"/>
      <c r="E11366"/>
      <c r="F11366"/>
      <c r="G11366"/>
      <c r="H11366"/>
      <c r="I11366"/>
      <c r="J11366"/>
      <c r="K11366" s="1"/>
      <c r="L11366" s="2"/>
    </row>
    <row r="11367" spans="1:12" x14ac:dyDescent="0.2">
      <c r="A11367"/>
      <c r="B11367"/>
      <c r="C11367"/>
      <c r="D11367"/>
      <c r="E11367"/>
      <c r="F11367"/>
      <c r="G11367"/>
      <c r="H11367"/>
      <c r="I11367"/>
      <c r="J11367"/>
      <c r="K11367" s="1"/>
      <c r="L11367" s="2"/>
    </row>
    <row r="11368" spans="1:12" x14ac:dyDescent="0.2">
      <c r="A11368"/>
      <c r="B11368"/>
      <c r="C11368"/>
      <c r="D11368"/>
      <c r="E11368"/>
      <c r="F11368"/>
      <c r="G11368"/>
      <c r="H11368"/>
      <c r="I11368"/>
      <c r="J11368"/>
      <c r="K11368" s="1"/>
      <c r="L11368" s="2"/>
    </row>
    <row r="11369" spans="1:12" x14ac:dyDescent="0.2">
      <c r="A11369"/>
      <c r="B11369"/>
      <c r="C11369"/>
      <c r="D11369"/>
      <c r="E11369"/>
      <c r="F11369"/>
      <c r="G11369"/>
      <c r="H11369"/>
      <c r="I11369"/>
      <c r="J11369"/>
      <c r="K11369" s="1"/>
      <c r="L11369" s="2"/>
    </row>
    <row r="11370" spans="1:12" x14ac:dyDescent="0.2">
      <c r="A11370"/>
      <c r="B11370"/>
      <c r="C11370"/>
      <c r="D11370"/>
      <c r="E11370"/>
      <c r="F11370"/>
      <c r="G11370"/>
      <c r="H11370"/>
      <c r="I11370"/>
      <c r="J11370"/>
      <c r="K11370" s="1"/>
      <c r="L11370" s="2"/>
    </row>
    <row r="11371" spans="1:12" x14ac:dyDescent="0.2">
      <c r="A11371"/>
      <c r="B11371"/>
      <c r="C11371"/>
      <c r="D11371"/>
      <c r="E11371"/>
      <c r="F11371"/>
      <c r="G11371"/>
      <c r="H11371"/>
      <c r="I11371"/>
      <c r="J11371"/>
      <c r="K11371" s="1"/>
      <c r="L11371" s="2"/>
    </row>
    <row r="11372" spans="1:12" x14ac:dyDescent="0.2">
      <c r="A11372"/>
      <c r="B11372"/>
      <c r="C11372"/>
      <c r="D11372"/>
      <c r="E11372"/>
      <c r="F11372"/>
      <c r="G11372"/>
      <c r="H11372"/>
      <c r="I11372"/>
      <c r="J11372"/>
      <c r="K11372" s="1"/>
      <c r="L11372" s="2"/>
    </row>
    <row r="11373" spans="1:12" x14ac:dyDescent="0.2">
      <c r="A11373"/>
      <c r="B11373"/>
      <c r="C11373"/>
      <c r="D11373"/>
      <c r="E11373"/>
      <c r="F11373"/>
      <c r="G11373"/>
      <c r="H11373"/>
      <c r="I11373"/>
      <c r="J11373"/>
      <c r="K11373" s="1"/>
      <c r="L11373" s="2"/>
    </row>
    <row r="11374" spans="1:12" x14ac:dyDescent="0.2">
      <c r="A11374"/>
      <c r="B11374"/>
      <c r="C11374"/>
      <c r="D11374"/>
      <c r="E11374"/>
      <c r="F11374"/>
      <c r="G11374"/>
      <c r="H11374"/>
      <c r="I11374"/>
      <c r="J11374"/>
      <c r="K11374" s="1"/>
      <c r="L11374" s="2"/>
    </row>
    <row r="11375" spans="1:12" x14ac:dyDescent="0.2">
      <c r="A11375"/>
      <c r="B11375"/>
      <c r="C11375"/>
      <c r="D11375"/>
      <c r="E11375"/>
      <c r="F11375"/>
      <c r="G11375"/>
      <c r="H11375"/>
      <c r="I11375"/>
      <c r="J11375"/>
      <c r="K11375" s="1"/>
      <c r="L11375" s="2"/>
    </row>
    <row r="11376" spans="1:12" x14ac:dyDescent="0.2">
      <c r="A11376"/>
      <c r="B11376"/>
      <c r="C11376"/>
      <c r="D11376"/>
      <c r="E11376"/>
      <c r="F11376"/>
      <c r="G11376"/>
      <c r="H11376"/>
      <c r="I11376"/>
      <c r="J11376"/>
      <c r="K11376" s="1"/>
      <c r="L11376" s="2"/>
    </row>
    <row r="11377" spans="1:12" x14ac:dyDescent="0.2">
      <c r="A11377"/>
      <c r="B11377"/>
      <c r="C11377"/>
      <c r="D11377"/>
      <c r="E11377"/>
      <c r="F11377"/>
      <c r="G11377"/>
      <c r="H11377"/>
      <c r="I11377"/>
      <c r="J11377"/>
      <c r="K11377" s="1"/>
      <c r="L11377" s="2"/>
    </row>
    <row r="11378" spans="1:12" x14ac:dyDescent="0.2">
      <c r="A11378"/>
      <c r="B11378"/>
      <c r="C11378"/>
      <c r="D11378"/>
      <c r="E11378"/>
      <c r="F11378"/>
      <c r="G11378"/>
      <c r="H11378"/>
      <c r="I11378"/>
      <c r="J11378"/>
      <c r="K11378" s="1"/>
      <c r="L11378" s="2"/>
    </row>
    <row r="11379" spans="1:12" x14ac:dyDescent="0.2">
      <c r="A11379"/>
      <c r="B11379"/>
      <c r="C11379"/>
      <c r="D11379"/>
      <c r="E11379"/>
      <c r="F11379"/>
      <c r="G11379"/>
      <c r="H11379"/>
      <c r="I11379"/>
      <c r="J11379"/>
      <c r="K11379" s="1"/>
      <c r="L11379" s="2"/>
    </row>
    <row r="11380" spans="1:12" x14ac:dyDescent="0.2">
      <c r="A11380"/>
      <c r="B11380"/>
      <c r="C11380"/>
      <c r="D11380"/>
      <c r="E11380"/>
      <c r="F11380"/>
      <c r="G11380"/>
      <c r="H11380"/>
      <c r="I11380"/>
      <c r="J11380"/>
      <c r="K11380" s="1"/>
      <c r="L11380" s="2"/>
    </row>
    <row r="11381" spans="1:12" x14ac:dyDescent="0.2">
      <c r="A11381"/>
      <c r="B11381"/>
      <c r="C11381"/>
      <c r="D11381"/>
      <c r="E11381"/>
      <c r="F11381"/>
      <c r="G11381"/>
      <c r="H11381"/>
      <c r="I11381"/>
      <c r="J11381"/>
      <c r="K11381" s="1"/>
      <c r="L11381" s="2"/>
    </row>
    <row r="11382" spans="1:12" x14ac:dyDescent="0.2">
      <c r="A11382"/>
      <c r="B11382"/>
      <c r="C11382"/>
      <c r="D11382"/>
      <c r="E11382"/>
      <c r="F11382"/>
      <c r="G11382"/>
      <c r="H11382"/>
      <c r="I11382"/>
      <c r="J11382"/>
      <c r="K11382" s="1"/>
      <c r="L11382" s="2"/>
    </row>
    <row r="11383" spans="1:12" x14ac:dyDescent="0.2">
      <c r="A11383"/>
      <c r="B11383"/>
      <c r="C11383"/>
      <c r="D11383"/>
      <c r="E11383"/>
      <c r="F11383"/>
      <c r="G11383"/>
      <c r="H11383"/>
      <c r="I11383"/>
      <c r="J11383"/>
      <c r="K11383" s="1"/>
      <c r="L11383" s="2"/>
    </row>
    <row r="11384" spans="1:12" x14ac:dyDescent="0.2">
      <c r="A11384"/>
      <c r="B11384"/>
      <c r="C11384"/>
      <c r="D11384"/>
      <c r="E11384"/>
      <c r="F11384"/>
      <c r="G11384"/>
      <c r="H11384"/>
      <c r="I11384"/>
      <c r="J11384"/>
      <c r="K11384" s="1"/>
      <c r="L11384" s="2"/>
    </row>
    <row r="11385" spans="1:12" x14ac:dyDescent="0.2">
      <c r="A11385"/>
      <c r="B11385"/>
      <c r="C11385"/>
      <c r="D11385"/>
      <c r="E11385"/>
      <c r="F11385"/>
      <c r="G11385"/>
      <c r="H11385"/>
      <c r="I11385"/>
      <c r="J11385"/>
      <c r="K11385" s="1"/>
      <c r="L11385" s="2"/>
    </row>
    <row r="11386" spans="1:12" x14ac:dyDescent="0.2">
      <c r="A11386"/>
      <c r="B11386"/>
      <c r="C11386"/>
      <c r="D11386"/>
      <c r="E11386"/>
      <c r="F11386"/>
      <c r="G11386"/>
      <c r="H11386"/>
      <c r="I11386"/>
      <c r="J11386"/>
      <c r="K11386" s="1"/>
      <c r="L11386" s="2"/>
    </row>
    <row r="11387" spans="1:12" x14ac:dyDescent="0.2">
      <c r="A11387"/>
      <c r="B11387"/>
      <c r="C11387"/>
      <c r="D11387"/>
      <c r="E11387"/>
      <c r="F11387"/>
      <c r="G11387"/>
      <c r="H11387"/>
      <c r="I11387"/>
      <c r="J11387"/>
      <c r="K11387" s="1"/>
      <c r="L11387" s="2"/>
    </row>
    <row r="11388" spans="1:12" x14ac:dyDescent="0.2">
      <c r="A11388"/>
      <c r="B11388"/>
      <c r="C11388"/>
      <c r="D11388"/>
      <c r="E11388"/>
      <c r="F11388"/>
      <c r="G11388"/>
      <c r="H11388"/>
      <c r="I11388"/>
      <c r="J11388"/>
      <c r="K11388" s="1"/>
      <c r="L11388" s="2"/>
    </row>
    <row r="11389" spans="1:12" x14ac:dyDescent="0.2">
      <c r="A11389"/>
      <c r="B11389"/>
      <c r="C11389"/>
      <c r="D11389"/>
      <c r="E11389"/>
      <c r="F11389"/>
      <c r="G11389"/>
      <c r="H11389"/>
      <c r="I11389"/>
      <c r="J11389"/>
      <c r="K11389" s="1"/>
      <c r="L11389" s="2"/>
    </row>
    <row r="11390" spans="1:12" x14ac:dyDescent="0.2">
      <c r="A11390"/>
      <c r="B11390"/>
      <c r="C11390"/>
      <c r="D11390"/>
      <c r="E11390"/>
      <c r="F11390"/>
      <c r="G11390"/>
      <c r="H11390"/>
      <c r="I11390"/>
      <c r="J11390"/>
      <c r="K11390" s="1"/>
      <c r="L11390" s="2"/>
    </row>
    <row r="11391" spans="1:12" x14ac:dyDescent="0.2">
      <c r="A11391"/>
      <c r="B11391"/>
      <c r="C11391"/>
      <c r="D11391"/>
      <c r="E11391"/>
      <c r="F11391"/>
      <c r="G11391"/>
      <c r="H11391"/>
      <c r="I11391"/>
      <c r="J11391"/>
      <c r="K11391" s="1"/>
      <c r="L11391" s="2"/>
    </row>
    <row r="11392" spans="1:12" x14ac:dyDescent="0.2">
      <c r="A11392"/>
      <c r="B11392"/>
      <c r="C11392"/>
      <c r="D11392"/>
      <c r="E11392"/>
      <c r="F11392"/>
      <c r="G11392"/>
      <c r="H11392"/>
      <c r="I11392"/>
      <c r="J11392"/>
      <c r="K11392" s="1"/>
      <c r="L11392" s="2"/>
    </row>
    <row r="11393" spans="1:12" x14ac:dyDescent="0.2">
      <c r="A11393"/>
      <c r="B11393"/>
      <c r="C11393"/>
      <c r="D11393"/>
      <c r="E11393"/>
      <c r="F11393"/>
      <c r="G11393"/>
      <c r="H11393"/>
      <c r="I11393"/>
      <c r="J11393"/>
      <c r="K11393" s="1"/>
      <c r="L11393" s="2"/>
    </row>
    <row r="11394" spans="1:12" x14ac:dyDescent="0.2">
      <c r="A11394"/>
      <c r="B11394"/>
      <c r="C11394"/>
      <c r="D11394"/>
      <c r="E11394"/>
      <c r="F11394"/>
      <c r="G11394"/>
      <c r="H11394"/>
      <c r="I11394"/>
      <c r="J11394"/>
      <c r="K11394" s="1"/>
      <c r="L11394" s="2"/>
    </row>
    <row r="11395" spans="1:12" x14ac:dyDescent="0.2">
      <c r="A11395"/>
      <c r="B11395"/>
      <c r="C11395"/>
      <c r="D11395"/>
      <c r="E11395"/>
      <c r="F11395"/>
      <c r="G11395"/>
      <c r="H11395"/>
      <c r="I11395"/>
      <c r="J11395"/>
      <c r="K11395" s="1"/>
      <c r="L11395" s="2"/>
    </row>
    <row r="11396" spans="1:12" x14ac:dyDescent="0.2">
      <c r="A11396"/>
      <c r="B11396"/>
      <c r="C11396"/>
      <c r="D11396"/>
      <c r="E11396"/>
      <c r="F11396"/>
      <c r="G11396"/>
      <c r="H11396"/>
      <c r="I11396"/>
      <c r="J11396"/>
      <c r="K11396" s="1"/>
      <c r="L11396" s="2"/>
    </row>
    <row r="11397" spans="1:12" x14ac:dyDescent="0.2">
      <c r="A11397"/>
      <c r="B11397"/>
      <c r="C11397"/>
      <c r="D11397"/>
      <c r="E11397"/>
      <c r="F11397"/>
      <c r="G11397"/>
      <c r="H11397"/>
      <c r="I11397"/>
      <c r="J11397"/>
      <c r="K11397" s="1"/>
      <c r="L11397" s="2"/>
    </row>
    <row r="11398" spans="1:12" x14ac:dyDescent="0.2">
      <c r="A11398"/>
      <c r="B11398"/>
      <c r="C11398"/>
      <c r="D11398"/>
      <c r="E11398"/>
      <c r="F11398"/>
      <c r="G11398"/>
      <c r="H11398"/>
      <c r="I11398"/>
      <c r="J11398"/>
      <c r="K11398" s="1"/>
      <c r="L11398" s="2"/>
    </row>
    <row r="11399" spans="1:12" x14ac:dyDescent="0.2">
      <c r="A11399"/>
      <c r="B11399"/>
      <c r="C11399"/>
      <c r="D11399"/>
      <c r="E11399"/>
      <c r="F11399"/>
      <c r="G11399"/>
      <c r="H11399"/>
      <c r="I11399"/>
      <c r="J11399"/>
      <c r="K11399" s="1"/>
      <c r="L11399" s="2"/>
    </row>
    <row r="11400" spans="1:12" x14ac:dyDescent="0.2">
      <c r="A11400"/>
      <c r="B11400"/>
      <c r="C11400"/>
      <c r="D11400"/>
      <c r="E11400"/>
      <c r="F11400"/>
      <c r="G11400"/>
      <c r="H11400"/>
      <c r="I11400"/>
      <c r="J11400"/>
      <c r="K11400" s="1"/>
      <c r="L11400" s="2"/>
    </row>
    <row r="11401" spans="1:12" x14ac:dyDescent="0.2">
      <c r="A11401"/>
      <c r="B11401"/>
      <c r="C11401"/>
      <c r="D11401"/>
      <c r="E11401"/>
      <c r="F11401"/>
      <c r="G11401"/>
      <c r="H11401"/>
      <c r="I11401"/>
      <c r="J11401"/>
      <c r="K11401" s="1"/>
      <c r="L11401" s="2"/>
    </row>
    <row r="11402" spans="1:12" x14ac:dyDescent="0.2">
      <c r="A11402"/>
      <c r="B11402"/>
      <c r="C11402"/>
      <c r="D11402"/>
      <c r="E11402"/>
      <c r="F11402"/>
      <c r="G11402"/>
      <c r="H11402"/>
      <c r="I11402"/>
      <c r="J11402"/>
      <c r="K11402" s="1"/>
      <c r="L11402" s="2"/>
    </row>
    <row r="11403" spans="1:12" x14ac:dyDescent="0.2">
      <c r="A11403"/>
      <c r="B11403"/>
      <c r="C11403"/>
      <c r="D11403"/>
      <c r="E11403"/>
      <c r="F11403"/>
      <c r="G11403"/>
      <c r="H11403"/>
      <c r="I11403"/>
      <c r="J11403"/>
      <c r="K11403" s="1"/>
      <c r="L11403" s="2"/>
    </row>
    <row r="11404" spans="1:12" x14ac:dyDescent="0.2">
      <c r="A11404"/>
      <c r="B11404"/>
      <c r="C11404"/>
      <c r="D11404"/>
      <c r="E11404"/>
      <c r="F11404"/>
      <c r="G11404"/>
      <c r="H11404"/>
      <c r="I11404"/>
      <c r="J11404"/>
      <c r="K11404" s="1"/>
      <c r="L11404" s="2"/>
    </row>
    <row r="11405" spans="1:12" x14ac:dyDescent="0.2">
      <c r="A11405"/>
      <c r="B11405"/>
      <c r="C11405"/>
      <c r="D11405"/>
      <c r="E11405"/>
      <c r="F11405"/>
      <c r="G11405"/>
      <c r="H11405"/>
      <c r="I11405"/>
      <c r="J11405"/>
      <c r="K11405" s="1"/>
      <c r="L11405" s="2"/>
    </row>
    <row r="11406" spans="1:12" x14ac:dyDescent="0.2">
      <c r="A11406"/>
      <c r="B11406"/>
      <c r="C11406"/>
      <c r="D11406"/>
      <c r="E11406"/>
      <c r="F11406"/>
      <c r="G11406"/>
      <c r="H11406"/>
      <c r="I11406"/>
      <c r="J11406"/>
      <c r="K11406" s="1"/>
      <c r="L11406" s="2"/>
    </row>
    <row r="11407" spans="1:12" x14ac:dyDescent="0.2">
      <c r="A11407"/>
      <c r="B11407"/>
      <c r="C11407"/>
      <c r="D11407"/>
      <c r="E11407"/>
      <c r="F11407"/>
      <c r="G11407"/>
      <c r="H11407"/>
      <c r="I11407"/>
      <c r="J11407"/>
      <c r="K11407" s="1"/>
      <c r="L11407" s="2"/>
    </row>
    <row r="11408" spans="1:12" x14ac:dyDescent="0.2">
      <c r="A11408"/>
      <c r="B11408"/>
      <c r="C11408"/>
      <c r="D11408"/>
      <c r="E11408"/>
      <c r="F11408"/>
      <c r="G11408"/>
      <c r="H11408"/>
      <c r="I11408"/>
      <c r="J11408"/>
      <c r="K11408" s="1"/>
      <c r="L11408" s="2"/>
    </row>
    <row r="11409" spans="1:12" x14ac:dyDescent="0.2">
      <c r="A11409"/>
      <c r="B11409"/>
      <c r="C11409"/>
      <c r="D11409"/>
      <c r="E11409"/>
      <c r="F11409"/>
      <c r="G11409"/>
      <c r="H11409"/>
      <c r="I11409"/>
      <c r="J11409"/>
      <c r="K11409" s="1"/>
      <c r="L11409" s="2"/>
    </row>
    <row r="11410" spans="1:12" x14ac:dyDescent="0.2">
      <c r="A11410"/>
      <c r="B11410"/>
      <c r="C11410"/>
      <c r="D11410"/>
      <c r="E11410"/>
      <c r="F11410"/>
      <c r="G11410"/>
      <c r="H11410"/>
      <c r="I11410"/>
      <c r="J11410"/>
      <c r="K11410" s="1"/>
      <c r="L11410" s="2"/>
    </row>
    <row r="11411" spans="1:12" x14ac:dyDescent="0.2">
      <c r="A11411"/>
      <c r="B11411"/>
      <c r="C11411"/>
      <c r="D11411"/>
      <c r="E11411"/>
      <c r="F11411"/>
      <c r="G11411"/>
      <c r="H11411"/>
      <c r="I11411"/>
      <c r="J11411"/>
      <c r="K11411" s="1"/>
      <c r="L11411" s="2"/>
    </row>
    <row r="11412" spans="1:12" x14ac:dyDescent="0.2">
      <c r="A11412"/>
      <c r="B11412"/>
      <c r="C11412"/>
      <c r="D11412"/>
      <c r="E11412"/>
      <c r="F11412"/>
      <c r="G11412"/>
      <c r="H11412"/>
      <c r="I11412"/>
      <c r="J11412"/>
      <c r="K11412" s="1"/>
      <c r="L11412" s="2"/>
    </row>
    <row r="11413" spans="1:12" x14ac:dyDescent="0.2">
      <c r="A11413"/>
      <c r="B11413"/>
      <c r="C11413"/>
      <c r="D11413"/>
      <c r="E11413"/>
      <c r="F11413"/>
      <c r="G11413"/>
      <c r="H11413"/>
      <c r="I11413"/>
      <c r="J11413"/>
      <c r="K11413" s="1"/>
      <c r="L11413" s="2"/>
    </row>
    <row r="11414" spans="1:12" x14ac:dyDescent="0.2">
      <c r="A11414"/>
      <c r="B11414"/>
      <c r="C11414"/>
      <c r="D11414"/>
      <c r="E11414"/>
      <c r="F11414"/>
      <c r="G11414"/>
      <c r="H11414"/>
      <c r="I11414"/>
      <c r="J11414"/>
      <c r="K11414" s="1"/>
      <c r="L11414" s="2"/>
    </row>
    <row r="11415" spans="1:12" x14ac:dyDescent="0.2">
      <c r="A11415"/>
      <c r="B11415"/>
      <c r="C11415"/>
      <c r="D11415"/>
      <c r="E11415"/>
      <c r="F11415"/>
      <c r="G11415"/>
      <c r="H11415"/>
      <c r="I11415"/>
      <c r="J11415"/>
      <c r="K11415" s="1"/>
      <c r="L11415" s="2"/>
    </row>
    <row r="11416" spans="1:12" x14ac:dyDescent="0.2">
      <c r="A11416"/>
      <c r="B11416"/>
      <c r="C11416"/>
      <c r="D11416"/>
      <c r="E11416"/>
      <c r="F11416"/>
      <c r="G11416"/>
      <c r="H11416"/>
      <c r="I11416"/>
      <c r="J11416"/>
      <c r="K11416" s="1"/>
      <c r="L11416" s="2"/>
    </row>
    <row r="11417" spans="1:12" x14ac:dyDescent="0.2">
      <c r="A11417"/>
      <c r="B11417"/>
      <c r="C11417"/>
      <c r="D11417"/>
      <c r="E11417"/>
      <c r="F11417"/>
      <c r="G11417"/>
      <c r="H11417"/>
      <c r="I11417"/>
      <c r="J11417"/>
      <c r="K11417" s="1"/>
      <c r="L11417" s="2"/>
    </row>
    <row r="11418" spans="1:12" x14ac:dyDescent="0.2">
      <c r="A11418"/>
      <c r="B11418"/>
      <c r="C11418"/>
      <c r="D11418"/>
      <c r="E11418"/>
      <c r="F11418"/>
      <c r="G11418"/>
      <c r="H11418"/>
      <c r="I11418"/>
      <c r="J11418"/>
      <c r="K11418" s="1"/>
      <c r="L11418" s="2"/>
    </row>
    <row r="11419" spans="1:12" x14ac:dyDescent="0.2">
      <c r="A11419"/>
      <c r="B11419"/>
      <c r="C11419"/>
      <c r="D11419"/>
      <c r="E11419"/>
      <c r="F11419"/>
      <c r="G11419"/>
      <c r="H11419"/>
      <c r="I11419"/>
      <c r="J11419"/>
      <c r="K11419" s="1"/>
      <c r="L11419" s="2"/>
    </row>
    <row r="11420" spans="1:12" x14ac:dyDescent="0.2">
      <c r="A11420"/>
      <c r="B11420"/>
      <c r="C11420"/>
      <c r="D11420"/>
      <c r="E11420"/>
      <c r="F11420"/>
      <c r="G11420"/>
      <c r="H11420"/>
      <c r="I11420"/>
      <c r="J11420"/>
      <c r="K11420" s="1"/>
      <c r="L11420" s="2"/>
    </row>
    <row r="11421" spans="1:12" x14ac:dyDescent="0.2">
      <c r="A11421"/>
      <c r="B11421"/>
      <c r="C11421"/>
      <c r="D11421"/>
      <c r="E11421"/>
      <c r="F11421"/>
      <c r="G11421"/>
      <c r="H11421"/>
      <c r="I11421"/>
      <c r="J11421"/>
      <c r="K11421" s="1"/>
      <c r="L11421" s="2"/>
    </row>
    <row r="11422" spans="1:12" x14ac:dyDescent="0.2">
      <c r="A11422"/>
      <c r="B11422"/>
      <c r="C11422"/>
      <c r="D11422"/>
      <c r="E11422"/>
      <c r="F11422"/>
      <c r="G11422"/>
      <c r="H11422"/>
      <c r="I11422"/>
      <c r="J11422"/>
      <c r="K11422" s="1"/>
      <c r="L11422" s="2"/>
    </row>
    <row r="11423" spans="1:12" x14ac:dyDescent="0.2">
      <c r="A11423"/>
      <c r="B11423"/>
      <c r="C11423"/>
      <c r="D11423"/>
      <c r="E11423"/>
      <c r="F11423"/>
      <c r="G11423"/>
      <c r="H11423"/>
      <c r="I11423"/>
      <c r="J11423"/>
      <c r="K11423" s="1"/>
      <c r="L11423" s="2"/>
    </row>
    <row r="11424" spans="1:12" x14ac:dyDescent="0.2">
      <c r="A11424"/>
      <c r="B11424"/>
      <c r="C11424"/>
      <c r="D11424"/>
      <c r="E11424"/>
      <c r="F11424"/>
      <c r="G11424"/>
      <c r="H11424"/>
      <c r="I11424"/>
      <c r="J11424"/>
      <c r="K11424" s="1"/>
      <c r="L11424" s="2"/>
    </row>
    <row r="11425" spans="1:12" x14ac:dyDescent="0.2">
      <c r="A11425"/>
      <c r="B11425"/>
      <c r="C11425"/>
      <c r="D11425"/>
      <c r="E11425"/>
      <c r="F11425"/>
      <c r="G11425"/>
      <c r="H11425"/>
      <c r="I11425"/>
      <c r="J11425"/>
      <c r="K11425" s="1"/>
      <c r="L11425" s="2"/>
    </row>
    <row r="11426" spans="1:12" x14ac:dyDescent="0.2">
      <c r="A11426"/>
      <c r="B11426"/>
      <c r="C11426"/>
      <c r="D11426"/>
      <c r="E11426"/>
      <c r="F11426"/>
      <c r="G11426"/>
      <c r="H11426"/>
      <c r="I11426"/>
      <c r="J11426"/>
      <c r="K11426" s="1"/>
      <c r="L11426" s="2"/>
    </row>
    <row r="11427" spans="1:12" x14ac:dyDescent="0.2">
      <c r="A11427"/>
      <c r="B11427"/>
      <c r="C11427"/>
      <c r="D11427"/>
      <c r="E11427"/>
      <c r="F11427"/>
      <c r="G11427"/>
      <c r="H11427"/>
      <c r="I11427"/>
      <c r="J11427"/>
      <c r="K11427" s="1"/>
      <c r="L11427" s="2"/>
    </row>
    <row r="11428" spans="1:12" x14ac:dyDescent="0.2">
      <c r="A11428"/>
      <c r="B11428"/>
      <c r="C11428"/>
      <c r="D11428"/>
      <c r="E11428"/>
      <c r="F11428"/>
      <c r="G11428"/>
      <c r="H11428"/>
      <c r="I11428"/>
      <c r="J11428"/>
      <c r="K11428" s="1"/>
      <c r="L11428" s="2"/>
    </row>
    <row r="11429" spans="1:12" x14ac:dyDescent="0.2">
      <c r="A11429"/>
      <c r="B11429"/>
      <c r="C11429"/>
      <c r="D11429"/>
      <c r="E11429"/>
      <c r="F11429"/>
      <c r="G11429"/>
      <c r="H11429"/>
      <c r="I11429"/>
      <c r="J11429"/>
      <c r="K11429" s="1"/>
      <c r="L11429" s="2"/>
    </row>
    <row r="11430" spans="1:12" x14ac:dyDescent="0.2">
      <c r="A11430"/>
      <c r="B11430"/>
      <c r="C11430"/>
      <c r="D11430"/>
      <c r="E11430"/>
      <c r="F11430"/>
      <c r="G11430"/>
      <c r="H11430"/>
      <c r="I11430"/>
      <c r="J11430"/>
      <c r="K11430" s="1"/>
      <c r="L11430" s="2"/>
    </row>
    <row r="11431" spans="1:12" x14ac:dyDescent="0.2">
      <c r="A11431"/>
      <c r="B11431"/>
      <c r="C11431"/>
      <c r="D11431"/>
      <c r="E11431"/>
      <c r="F11431"/>
      <c r="G11431"/>
      <c r="H11431"/>
      <c r="I11431"/>
      <c r="J11431"/>
      <c r="K11431" s="1"/>
      <c r="L11431" s="2"/>
    </row>
    <row r="11432" spans="1:12" x14ac:dyDescent="0.2">
      <c r="A11432"/>
      <c r="B11432"/>
      <c r="C11432"/>
      <c r="D11432"/>
      <c r="E11432"/>
      <c r="F11432"/>
      <c r="G11432"/>
      <c r="H11432"/>
      <c r="I11432"/>
      <c r="J11432"/>
      <c r="K11432" s="1"/>
      <c r="L11432" s="2"/>
    </row>
    <row r="11433" spans="1:12" x14ac:dyDescent="0.2">
      <c r="A11433"/>
      <c r="B11433"/>
      <c r="C11433"/>
      <c r="D11433"/>
      <c r="E11433"/>
      <c r="F11433"/>
      <c r="G11433"/>
      <c r="H11433"/>
      <c r="I11433"/>
      <c r="J11433"/>
      <c r="K11433" s="1"/>
      <c r="L11433" s="2"/>
    </row>
    <row r="11434" spans="1:12" x14ac:dyDescent="0.2">
      <c r="A11434"/>
      <c r="B11434"/>
      <c r="C11434"/>
      <c r="D11434"/>
      <c r="E11434"/>
      <c r="F11434"/>
      <c r="G11434"/>
      <c r="H11434"/>
      <c r="I11434"/>
      <c r="J11434"/>
      <c r="K11434" s="1"/>
      <c r="L11434" s="2"/>
    </row>
    <row r="11435" spans="1:12" x14ac:dyDescent="0.2">
      <c r="A11435"/>
      <c r="B11435"/>
      <c r="C11435"/>
      <c r="D11435"/>
      <c r="E11435"/>
      <c r="F11435"/>
      <c r="G11435"/>
      <c r="H11435"/>
      <c r="I11435"/>
      <c r="J11435"/>
      <c r="K11435" s="1"/>
      <c r="L11435" s="2"/>
    </row>
    <row r="11436" spans="1:12" x14ac:dyDescent="0.2">
      <c r="A11436"/>
      <c r="B11436"/>
      <c r="C11436"/>
      <c r="D11436"/>
      <c r="E11436"/>
      <c r="F11436"/>
      <c r="G11436"/>
      <c r="H11436"/>
      <c r="I11436"/>
      <c r="J11436"/>
      <c r="K11436" s="1"/>
      <c r="L11436" s="2"/>
    </row>
    <row r="11437" spans="1:12" x14ac:dyDescent="0.2">
      <c r="A11437"/>
      <c r="B11437"/>
      <c r="C11437"/>
      <c r="D11437"/>
      <c r="E11437"/>
      <c r="F11437"/>
      <c r="G11437"/>
      <c r="H11437"/>
      <c r="I11437"/>
      <c r="J11437"/>
      <c r="K11437" s="1"/>
      <c r="L11437" s="2"/>
    </row>
    <row r="11438" spans="1:12" x14ac:dyDescent="0.2">
      <c r="A11438"/>
      <c r="B11438"/>
      <c r="C11438"/>
      <c r="D11438"/>
      <c r="E11438"/>
      <c r="F11438"/>
      <c r="G11438"/>
      <c r="H11438"/>
      <c r="I11438"/>
      <c r="J11438"/>
      <c r="K11438" s="1"/>
      <c r="L11438" s="2"/>
    </row>
    <row r="11439" spans="1:12" x14ac:dyDescent="0.2">
      <c r="A11439"/>
      <c r="B11439"/>
      <c r="C11439"/>
      <c r="D11439"/>
      <c r="E11439"/>
      <c r="F11439"/>
      <c r="G11439"/>
      <c r="H11439"/>
      <c r="I11439"/>
      <c r="J11439"/>
      <c r="K11439" s="1"/>
      <c r="L11439" s="2"/>
    </row>
    <row r="11440" spans="1:12" x14ac:dyDescent="0.2">
      <c r="A11440"/>
      <c r="B11440"/>
      <c r="C11440"/>
      <c r="D11440"/>
      <c r="E11440"/>
      <c r="F11440"/>
      <c r="G11440"/>
      <c r="H11440"/>
      <c r="I11440"/>
      <c r="J11440"/>
      <c r="K11440" s="1"/>
      <c r="L11440" s="2"/>
    </row>
    <row r="11441" spans="1:12" x14ac:dyDescent="0.2">
      <c r="A11441"/>
      <c r="B11441"/>
      <c r="C11441"/>
      <c r="D11441"/>
      <c r="E11441"/>
      <c r="F11441"/>
      <c r="G11441"/>
      <c r="H11441"/>
      <c r="I11441"/>
      <c r="J11441"/>
      <c r="K11441" s="1"/>
      <c r="L11441" s="2"/>
    </row>
    <row r="11442" spans="1:12" x14ac:dyDescent="0.2">
      <c r="A11442"/>
      <c r="B11442"/>
      <c r="C11442"/>
      <c r="D11442"/>
      <c r="E11442"/>
      <c r="F11442"/>
      <c r="G11442"/>
      <c r="H11442"/>
      <c r="I11442"/>
      <c r="J11442"/>
      <c r="K11442" s="1"/>
      <c r="L11442" s="2"/>
    </row>
    <row r="11443" spans="1:12" x14ac:dyDescent="0.2">
      <c r="A11443"/>
      <c r="B11443"/>
      <c r="C11443"/>
      <c r="D11443"/>
      <c r="E11443"/>
      <c r="F11443"/>
      <c r="G11443"/>
      <c r="H11443"/>
      <c r="I11443"/>
      <c r="J11443"/>
      <c r="K11443" s="1"/>
      <c r="L11443" s="2"/>
    </row>
    <row r="11444" spans="1:12" x14ac:dyDescent="0.2">
      <c r="A11444"/>
      <c r="B11444"/>
      <c r="C11444"/>
      <c r="D11444"/>
      <c r="E11444"/>
      <c r="F11444"/>
      <c r="G11444"/>
      <c r="H11444"/>
      <c r="I11444"/>
      <c r="J11444"/>
      <c r="K11444" s="1"/>
      <c r="L11444" s="2"/>
    </row>
    <row r="11445" spans="1:12" x14ac:dyDescent="0.2">
      <c r="A11445"/>
      <c r="B11445"/>
      <c r="C11445"/>
      <c r="D11445"/>
      <c r="E11445"/>
      <c r="F11445"/>
      <c r="G11445"/>
      <c r="H11445"/>
      <c r="I11445"/>
      <c r="J11445"/>
      <c r="K11445" s="1"/>
      <c r="L11445" s="2"/>
    </row>
    <row r="11446" spans="1:12" x14ac:dyDescent="0.2">
      <c r="A11446"/>
      <c r="B11446"/>
      <c r="C11446"/>
      <c r="D11446"/>
      <c r="E11446"/>
      <c r="F11446"/>
      <c r="G11446"/>
      <c r="H11446"/>
      <c r="I11446"/>
      <c r="J11446"/>
      <c r="K11446" s="1"/>
      <c r="L11446" s="2"/>
    </row>
    <row r="11447" spans="1:12" x14ac:dyDescent="0.2">
      <c r="A11447"/>
      <c r="B11447"/>
      <c r="C11447"/>
      <c r="D11447"/>
      <c r="E11447"/>
      <c r="F11447"/>
      <c r="G11447"/>
      <c r="H11447"/>
      <c r="I11447"/>
      <c r="J11447"/>
      <c r="K11447" s="1"/>
      <c r="L11447" s="2"/>
    </row>
    <row r="11448" spans="1:12" x14ac:dyDescent="0.2">
      <c r="A11448"/>
      <c r="B11448"/>
      <c r="C11448"/>
      <c r="D11448"/>
      <c r="E11448"/>
      <c r="F11448"/>
      <c r="G11448"/>
      <c r="H11448"/>
      <c r="I11448"/>
      <c r="J11448"/>
      <c r="K11448" s="1"/>
      <c r="L11448" s="2"/>
    </row>
    <row r="11449" spans="1:12" x14ac:dyDescent="0.2">
      <c r="A11449"/>
      <c r="B11449"/>
      <c r="C11449"/>
      <c r="D11449"/>
      <c r="E11449"/>
      <c r="F11449"/>
      <c r="G11449"/>
      <c r="H11449"/>
      <c r="I11449"/>
      <c r="J11449"/>
      <c r="K11449" s="1"/>
      <c r="L11449" s="2"/>
    </row>
    <row r="11450" spans="1:12" x14ac:dyDescent="0.2">
      <c r="A11450"/>
      <c r="B11450"/>
      <c r="C11450"/>
      <c r="D11450"/>
      <c r="E11450"/>
      <c r="F11450"/>
      <c r="G11450"/>
      <c r="H11450"/>
      <c r="I11450"/>
      <c r="J11450"/>
      <c r="K11450" s="1"/>
      <c r="L11450" s="2"/>
    </row>
    <row r="11451" spans="1:12" x14ac:dyDescent="0.2">
      <c r="A11451"/>
      <c r="B11451"/>
      <c r="C11451"/>
      <c r="D11451"/>
      <c r="E11451"/>
      <c r="F11451"/>
      <c r="G11451"/>
      <c r="H11451"/>
      <c r="I11451"/>
      <c r="J11451"/>
      <c r="K11451" s="1"/>
      <c r="L11451" s="2"/>
    </row>
    <row r="11452" spans="1:12" x14ac:dyDescent="0.2">
      <c r="A11452"/>
      <c r="B11452"/>
      <c r="C11452"/>
      <c r="D11452"/>
      <c r="E11452"/>
      <c r="F11452"/>
      <c r="G11452"/>
      <c r="H11452"/>
      <c r="I11452"/>
      <c r="J11452"/>
      <c r="K11452" s="1"/>
      <c r="L11452" s="2"/>
    </row>
    <row r="11453" spans="1:12" x14ac:dyDescent="0.2">
      <c r="A11453"/>
      <c r="B11453"/>
      <c r="C11453"/>
      <c r="D11453"/>
      <c r="E11453"/>
      <c r="F11453"/>
      <c r="G11453"/>
      <c r="H11453"/>
      <c r="I11453"/>
      <c r="J11453"/>
      <c r="K11453" s="1"/>
      <c r="L11453" s="2"/>
    </row>
    <row r="11454" spans="1:12" x14ac:dyDescent="0.2">
      <c r="A11454"/>
      <c r="B11454"/>
      <c r="C11454"/>
      <c r="D11454"/>
      <c r="E11454"/>
      <c r="F11454"/>
      <c r="G11454"/>
      <c r="H11454"/>
      <c r="I11454"/>
      <c r="J11454"/>
      <c r="K11454" s="1"/>
      <c r="L11454" s="2"/>
    </row>
    <row r="11455" spans="1:12" x14ac:dyDescent="0.2">
      <c r="A11455"/>
      <c r="B11455"/>
      <c r="C11455"/>
      <c r="D11455"/>
      <c r="E11455"/>
      <c r="F11455"/>
      <c r="G11455"/>
      <c r="H11455"/>
      <c r="I11455"/>
      <c r="J11455"/>
      <c r="K11455" s="1"/>
      <c r="L11455" s="2"/>
    </row>
    <row r="11456" spans="1:12" x14ac:dyDescent="0.2">
      <c r="A11456"/>
      <c r="B11456"/>
      <c r="C11456"/>
      <c r="D11456"/>
      <c r="E11456"/>
      <c r="F11456"/>
      <c r="G11456"/>
      <c r="H11456"/>
      <c r="I11456"/>
      <c r="J11456"/>
      <c r="K11456" s="1"/>
      <c r="L11456" s="2"/>
    </row>
    <row r="11457" spans="1:12" x14ac:dyDescent="0.2">
      <c r="A11457"/>
      <c r="B11457"/>
      <c r="C11457"/>
      <c r="D11457"/>
      <c r="E11457"/>
      <c r="F11457"/>
      <c r="G11457"/>
      <c r="H11457"/>
      <c r="I11457"/>
      <c r="J11457"/>
      <c r="K11457" s="1"/>
      <c r="L11457" s="2"/>
    </row>
    <row r="11458" spans="1:12" x14ac:dyDescent="0.2">
      <c r="A11458"/>
      <c r="B11458"/>
      <c r="C11458"/>
      <c r="D11458"/>
      <c r="E11458"/>
      <c r="F11458"/>
      <c r="G11458"/>
      <c r="H11458"/>
      <c r="I11458"/>
      <c r="J11458"/>
      <c r="K11458" s="1"/>
      <c r="L11458" s="2"/>
    </row>
    <row r="11459" spans="1:12" x14ac:dyDescent="0.2">
      <c r="A11459"/>
      <c r="B11459"/>
      <c r="C11459"/>
      <c r="D11459"/>
      <c r="E11459"/>
      <c r="F11459"/>
      <c r="G11459"/>
      <c r="H11459"/>
      <c r="I11459"/>
      <c r="J11459"/>
      <c r="K11459" s="1"/>
      <c r="L11459" s="2"/>
    </row>
    <row r="11460" spans="1:12" x14ac:dyDescent="0.2">
      <c r="A11460"/>
      <c r="B11460"/>
      <c r="C11460"/>
      <c r="D11460"/>
      <c r="E11460"/>
      <c r="F11460"/>
      <c r="G11460"/>
      <c r="H11460"/>
      <c r="I11460"/>
      <c r="J11460"/>
      <c r="K11460" s="1"/>
      <c r="L11460" s="2"/>
    </row>
    <row r="11461" spans="1:12" x14ac:dyDescent="0.2">
      <c r="A11461"/>
      <c r="B11461"/>
      <c r="C11461"/>
      <c r="D11461"/>
      <c r="E11461"/>
      <c r="F11461"/>
      <c r="G11461"/>
      <c r="H11461"/>
      <c r="I11461"/>
      <c r="J11461"/>
      <c r="K11461" s="1"/>
      <c r="L11461" s="2"/>
    </row>
    <row r="11462" spans="1:12" x14ac:dyDescent="0.2">
      <c r="A11462"/>
      <c r="B11462"/>
      <c r="C11462"/>
      <c r="D11462"/>
      <c r="E11462"/>
      <c r="F11462"/>
      <c r="G11462"/>
      <c r="H11462"/>
      <c r="I11462"/>
      <c r="J11462"/>
      <c r="K11462" s="1"/>
      <c r="L11462" s="2"/>
    </row>
    <row r="11463" spans="1:12" x14ac:dyDescent="0.2">
      <c r="A11463"/>
      <c r="B11463"/>
      <c r="C11463"/>
      <c r="D11463"/>
      <c r="E11463"/>
      <c r="F11463"/>
      <c r="G11463"/>
      <c r="H11463"/>
      <c r="I11463"/>
      <c r="J11463"/>
      <c r="K11463" s="1"/>
      <c r="L11463" s="2"/>
    </row>
    <row r="11464" spans="1:12" x14ac:dyDescent="0.2">
      <c r="A11464"/>
      <c r="B11464"/>
      <c r="C11464"/>
      <c r="D11464"/>
      <c r="E11464"/>
      <c r="F11464"/>
      <c r="G11464"/>
      <c r="H11464"/>
      <c r="I11464"/>
      <c r="J11464"/>
      <c r="K11464" s="1"/>
      <c r="L11464" s="2"/>
    </row>
    <row r="11465" spans="1:12" x14ac:dyDescent="0.2">
      <c r="A11465"/>
      <c r="B11465"/>
      <c r="C11465"/>
      <c r="D11465"/>
      <c r="E11465"/>
      <c r="F11465"/>
      <c r="G11465"/>
      <c r="H11465"/>
      <c r="I11465"/>
      <c r="J11465"/>
      <c r="K11465" s="1"/>
      <c r="L11465" s="2"/>
    </row>
    <row r="11466" spans="1:12" x14ac:dyDescent="0.2">
      <c r="A11466"/>
      <c r="B11466"/>
      <c r="C11466"/>
      <c r="D11466"/>
      <c r="E11466"/>
      <c r="F11466"/>
      <c r="G11466"/>
      <c r="H11466"/>
      <c r="I11466"/>
      <c r="J11466"/>
      <c r="K11466" s="1"/>
      <c r="L11466" s="2"/>
    </row>
    <row r="11467" spans="1:12" x14ac:dyDescent="0.2">
      <c r="A11467"/>
      <c r="B11467"/>
      <c r="C11467"/>
      <c r="D11467"/>
      <c r="E11467"/>
      <c r="F11467"/>
      <c r="G11467"/>
      <c r="H11467"/>
      <c r="I11467"/>
      <c r="J11467"/>
      <c r="K11467" s="1"/>
      <c r="L11467" s="2"/>
    </row>
    <row r="11468" spans="1:12" x14ac:dyDescent="0.2">
      <c r="A11468"/>
      <c r="B11468"/>
      <c r="C11468"/>
      <c r="D11468"/>
      <c r="E11468"/>
      <c r="F11468"/>
      <c r="G11468"/>
      <c r="H11468"/>
      <c r="I11468"/>
      <c r="J11468"/>
      <c r="K11468" s="1"/>
      <c r="L11468" s="2"/>
    </row>
    <row r="11469" spans="1:12" x14ac:dyDescent="0.2">
      <c r="A11469"/>
      <c r="B11469"/>
      <c r="C11469"/>
      <c r="D11469"/>
      <c r="E11469"/>
      <c r="F11469"/>
      <c r="G11469"/>
      <c r="H11469"/>
      <c r="I11469"/>
      <c r="J11469"/>
      <c r="K11469" s="1"/>
      <c r="L11469" s="2"/>
    </row>
    <row r="11470" spans="1:12" x14ac:dyDescent="0.2">
      <c r="A11470"/>
      <c r="B11470"/>
      <c r="C11470"/>
      <c r="D11470"/>
      <c r="E11470"/>
      <c r="F11470"/>
      <c r="G11470"/>
      <c r="H11470"/>
      <c r="I11470"/>
      <c r="J11470"/>
      <c r="K11470" s="1"/>
      <c r="L11470" s="2"/>
    </row>
    <row r="11471" spans="1:12" x14ac:dyDescent="0.2">
      <c r="A11471"/>
      <c r="B11471"/>
      <c r="C11471"/>
      <c r="D11471"/>
      <c r="E11471"/>
      <c r="F11471"/>
      <c r="G11471"/>
      <c r="H11471"/>
      <c r="I11471"/>
      <c r="J11471"/>
      <c r="K11471" s="1"/>
      <c r="L11471" s="2"/>
    </row>
    <row r="11472" spans="1:12" x14ac:dyDescent="0.2">
      <c r="A11472"/>
      <c r="B11472"/>
      <c r="C11472"/>
      <c r="D11472"/>
      <c r="E11472"/>
      <c r="F11472"/>
      <c r="G11472"/>
      <c r="H11472"/>
      <c r="I11472"/>
      <c r="J11472"/>
      <c r="K11472" s="1"/>
      <c r="L11472" s="2"/>
    </row>
    <row r="11473" spans="1:12" x14ac:dyDescent="0.2">
      <c r="A11473"/>
      <c r="B11473"/>
      <c r="C11473"/>
      <c r="D11473"/>
      <c r="E11473"/>
      <c r="F11473"/>
      <c r="G11473"/>
      <c r="H11473"/>
      <c r="I11473"/>
      <c r="J11473"/>
      <c r="K11473" s="1"/>
      <c r="L11473" s="2"/>
    </row>
    <row r="11474" spans="1:12" x14ac:dyDescent="0.2">
      <c r="A11474"/>
      <c r="B11474"/>
      <c r="C11474"/>
      <c r="D11474"/>
      <c r="E11474"/>
      <c r="F11474"/>
      <c r="G11474"/>
      <c r="H11474"/>
      <c r="I11474"/>
      <c r="J11474"/>
      <c r="K11474" s="1"/>
      <c r="L11474" s="2"/>
    </row>
    <row r="11475" spans="1:12" x14ac:dyDescent="0.2">
      <c r="A11475"/>
      <c r="B11475"/>
      <c r="C11475"/>
      <c r="D11475"/>
      <c r="E11475"/>
      <c r="F11475"/>
      <c r="G11475"/>
      <c r="H11475"/>
      <c r="I11475"/>
      <c r="J11475"/>
      <c r="K11475" s="1"/>
      <c r="L11475" s="2"/>
    </row>
    <row r="11476" spans="1:12" x14ac:dyDescent="0.2">
      <c r="A11476"/>
      <c r="B11476"/>
      <c r="C11476"/>
      <c r="D11476"/>
      <c r="E11476"/>
      <c r="F11476"/>
      <c r="G11476"/>
      <c r="H11476"/>
      <c r="I11476"/>
      <c r="J11476"/>
      <c r="K11476" s="1"/>
      <c r="L11476" s="2"/>
    </row>
    <row r="11477" spans="1:12" x14ac:dyDescent="0.2">
      <c r="A11477"/>
      <c r="B11477"/>
      <c r="C11477"/>
      <c r="D11477"/>
      <c r="E11477"/>
      <c r="F11477"/>
      <c r="G11477"/>
      <c r="H11477"/>
      <c r="I11477"/>
      <c r="J11477"/>
      <c r="K11477" s="1"/>
      <c r="L11477" s="2"/>
    </row>
    <row r="11478" spans="1:12" x14ac:dyDescent="0.2">
      <c r="A11478"/>
      <c r="B11478"/>
      <c r="C11478"/>
      <c r="D11478"/>
      <c r="E11478"/>
      <c r="F11478"/>
      <c r="G11478"/>
      <c r="H11478"/>
      <c r="I11478"/>
      <c r="J11478"/>
      <c r="K11478" s="1"/>
      <c r="L11478" s="2"/>
    </row>
    <row r="11479" spans="1:12" x14ac:dyDescent="0.2">
      <c r="A11479"/>
      <c r="B11479"/>
      <c r="C11479"/>
      <c r="D11479"/>
      <c r="E11479"/>
      <c r="F11479"/>
      <c r="G11479"/>
      <c r="H11479"/>
      <c r="I11479"/>
      <c r="J11479"/>
      <c r="K11479" s="1"/>
      <c r="L11479" s="2"/>
    </row>
    <row r="11480" spans="1:12" x14ac:dyDescent="0.2">
      <c r="A11480"/>
      <c r="B11480"/>
      <c r="C11480"/>
      <c r="D11480"/>
      <c r="E11480"/>
      <c r="F11480"/>
      <c r="G11480"/>
      <c r="H11480"/>
      <c r="I11480"/>
      <c r="J11480"/>
      <c r="K11480" s="1"/>
      <c r="L11480" s="2"/>
    </row>
    <row r="11481" spans="1:12" x14ac:dyDescent="0.2">
      <c r="A11481"/>
      <c r="B11481"/>
      <c r="C11481"/>
      <c r="D11481"/>
      <c r="E11481"/>
      <c r="F11481"/>
      <c r="G11481"/>
      <c r="H11481"/>
      <c r="I11481"/>
      <c r="J11481"/>
      <c r="K11481" s="1"/>
      <c r="L11481" s="2"/>
    </row>
    <row r="11482" spans="1:12" x14ac:dyDescent="0.2">
      <c r="A11482"/>
      <c r="B11482"/>
      <c r="C11482"/>
      <c r="D11482"/>
      <c r="E11482"/>
      <c r="F11482"/>
      <c r="G11482"/>
      <c r="H11482"/>
      <c r="I11482"/>
      <c r="J11482"/>
      <c r="K11482" s="1"/>
      <c r="L11482" s="2"/>
    </row>
    <row r="11483" spans="1:12" x14ac:dyDescent="0.2">
      <c r="A11483"/>
      <c r="B11483"/>
      <c r="C11483"/>
      <c r="D11483"/>
      <c r="E11483"/>
      <c r="F11483"/>
      <c r="G11483"/>
      <c r="H11483"/>
      <c r="I11483"/>
      <c r="J11483"/>
      <c r="K11483" s="1"/>
      <c r="L11483" s="2"/>
    </row>
    <row r="11484" spans="1:12" x14ac:dyDescent="0.2">
      <c r="A11484"/>
      <c r="B11484"/>
      <c r="C11484"/>
      <c r="D11484"/>
      <c r="E11484"/>
      <c r="F11484"/>
      <c r="G11484"/>
      <c r="H11484"/>
      <c r="I11484"/>
      <c r="J11484"/>
      <c r="K11484" s="1"/>
      <c r="L11484" s="2"/>
    </row>
    <row r="11485" spans="1:12" x14ac:dyDescent="0.2">
      <c r="A11485"/>
      <c r="B11485"/>
      <c r="C11485"/>
      <c r="D11485"/>
      <c r="E11485"/>
      <c r="F11485"/>
      <c r="G11485"/>
      <c r="H11485"/>
      <c r="I11485"/>
      <c r="J11485"/>
      <c r="K11485" s="1"/>
      <c r="L11485" s="2"/>
    </row>
    <row r="11486" spans="1:12" x14ac:dyDescent="0.2">
      <c r="A11486"/>
      <c r="B11486"/>
      <c r="C11486"/>
      <c r="D11486"/>
      <c r="E11486"/>
      <c r="F11486"/>
      <c r="G11486"/>
      <c r="H11486"/>
      <c r="I11486"/>
      <c r="J11486"/>
      <c r="K11486" s="1"/>
      <c r="L11486" s="2"/>
    </row>
    <row r="11487" spans="1:12" x14ac:dyDescent="0.2">
      <c r="A11487"/>
      <c r="B11487"/>
      <c r="C11487"/>
      <c r="D11487"/>
      <c r="E11487"/>
      <c r="F11487"/>
      <c r="G11487"/>
      <c r="H11487"/>
      <c r="I11487"/>
      <c r="J11487"/>
      <c r="K11487" s="1"/>
      <c r="L11487" s="2"/>
    </row>
    <row r="11488" spans="1:12" x14ac:dyDescent="0.2">
      <c r="A11488"/>
      <c r="B11488"/>
      <c r="C11488"/>
      <c r="D11488"/>
      <c r="E11488"/>
      <c r="F11488"/>
      <c r="G11488"/>
      <c r="H11488"/>
      <c r="I11488"/>
      <c r="J11488"/>
      <c r="K11488" s="1"/>
      <c r="L11488" s="2"/>
    </row>
    <row r="11489" spans="1:12" x14ac:dyDescent="0.2">
      <c r="A11489"/>
      <c r="B11489"/>
      <c r="C11489"/>
      <c r="D11489"/>
      <c r="E11489"/>
      <c r="F11489"/>
      <c r="G11489"/>
      <c r="H11489"/>
      <c r="I11489"/>
      <c r="J11489"/>
      <c r="K11489" s="1"/>
      <c r="L11489" s="2"/>
    </row>
    <row r="11490" spans="1:12" x14ac:dyDescent="0.2">
      <c r="A11490"/>
      <c r="B11490"/>
      <c r="C11490"/>
      <c r="D11490"/>
      <c r="E11490"/>
      <c r="F11490"/>
      <c r="G11490"/>
      <c r="H11490"/>
      <c r="I11490"/>
      <c r="J11490"/>
      <c r="K11490" s="1"/>
      <c r="L11490" s="2"/>
    </row>
    <row r="11491" spans="1:12" x14ac:dyDescent="0.2">
      <c r="A11491"/>
      <c r="B11491"/>
      <c r="C11491"/>
      <c r="D11491"/>
      <c r="E11491"/>
      <c r="F11491"/>
      <c r="G11491"/>
      <c r="H11491"/>
      <c r="I11491"/>
      <c r="J11491"/>
      <c r="K11491" s="1"/>
      <c r="L11491" s="2"/>
    </row>
    <row r="11492" spans="1:12" x14ac:dyDescent="0.2">
      <c r="A11492"/>
      <c r="B11492"/>
      <c r="C11492"/>
      <c r="D11492"/>
      <c r="E11492"/>
      <c r="F11492"/>
      <c r="G11492"/>
      <c r="H11492"/>
      <c r="I11492"/>
      <c r="J11492"/>
      <c r="K11492" s="1"/>
      <c r="L11492" s="2"/>
    </row>
    <row r="11493" spans="1:12" x14ac:dyDescent="0.2">
      <c r="A11493"/>
      <c r="B11493"/>
      <c r="C11493"/>
      <c r="D11493"/>
      <c r="E11493"/>
      <c r="F11493"/>
      <c r="G11493"/>
      <c r="H11493"/>
      <c r="I11493"/>
      <c r="J11493"/>
      <c r="K11493" s="1"/>
      <c r="L11493" s="2"/>
    </row>
    <row r="11494" spans="1:12" x14ac:dyDescent="0.2">
      <c r="A11494"/>
      <c r="B11494"/>
      <c r="C11494"/>
      <c r="D11494"/>
      <c r="E11494"/>
      <c r="F11494"/>
      <c r="G11494"/>
      <c r="H11494"/>
      <c r="I11494"/>
      <c r="J11494"/>
      <c r="K11494" s="1"/>
      <c r="L11494" s="2"/>
    </row>
    <row r="11495" spans="1:12" x14ac:dyDescent="0.2">
      <c r="A11495"/>
      <c r="B11495"/>
      <c r="C11495"/>
      <c r="D11495"/>
      <c r="E11495"/>
      <c r="F11495"/>
      <c r="G11495"/>
      <c r="H11495"/>
      <c r="I11495"/>
      <c r="J11495"/>
      <c r="K11495" s="1"/>
      <c r="L11495" s="2"/>
    </row>
    <row r="11496" spans="1:12" x14ac:dyDescent="0.2">
      <c r="A11496"/>
      <c r="B11496"/>
      <c r="C11496"/>
      <c r="D11496"/>
      <c r="E11496"/>
      <c r="F11496"/>
      <c r="G11496"/>
      <c r="H11496"/>
      <c r="I11496"/>
      <c r="J11496"/>
      <c r="K11496" s="1"/>
      <c r="L11496" s="2"/>
    </row>
    <row r="11497" spans="1:12" x14ac:dyDescent="0.2">
      <c r="A11497"/>
      <c r="B11497"/>
      <c r="C11497"/>
      <c r="D11497"/>
      <c r="E11497"/>
      <c r="F11497"/>
      <c r="G11497"/>
      <c r="H11497"/>
      <c r="I11497"/>
      <c r="J11497"/>
      <c r="K11497" s="1"/>
      <c r="L11497" s="2"/>
    </row>
    <row r="11498" spans="1:12" x14ac:dyDescent="0.2">
      <c r="A11498"/>
      <c r="B11498"/>
      <c r="C11498"/>
      <c r="D11498"/>
      <c r="E11498"/>
      <c r="F11498"/>
      <c r="G11498"/>
      <c r="H11498"/>
      <c r="I11498"/>
      <c r="J11498"/>
      <c r="K11498" s="1"/>
      <c r="L11498" s="2"/>
    </row>
    <row r="11499" spans="1:12" x14ac:dyDescent="0.2">
      <c r="A11499"/>
      <c r="B11499"/>
      <c r="C11499"/>
      <c r="D11499"/>
      <c r="E11499"/>
      <c r="F11499"/>
      <c r="G11499"/>
      <c r="H11499"/>
      <c r="I11499"/>
      <c r="J11499"/>
      <c r="K11499" s="1"/>
      <c r="L11499" s="2"/>
    </row>
    <row r="11500" spans="1:12" x14ac:dyDescent="0.2">
      <c r="A11500"/>
      <c r="B11500"/>
      <c r="C11500"/>
      <c r="D11500"/>
      <c r="E11500"/>
      <c r="F11500"/>
      <c r="G11500"/>
      <c r="H11500"/>
      <c r="I11500"/>
      <c r="J11500"/>
      <c r="K11500" s="1"/>
      <c r="L11500" s="2"/>
    </row>
    <row r="11501" spans="1:12" x14ac:dyDescent="0.2">
      <c r="A11501"/>
      <c r="B11501"/>
      <c r="C11501"/>
      <c r="D11501"/>
      <c r="E11501"/>
      <c r="F11501"/>
      <c r="G11501"/>
      <c r="H11501"/>
      <c r="I11501"/>
      <c r="J11501"/>
      <c r="K11501" s="1"/>
      <c r="L11501" s="2"/>
    </row>
    <row r="11502" spans="1:12" x14ac:dyDescent="0.2">
      <c r="A11502"/>
      <c r="B11502"/>
      <c r="C11502"/>
      <c r="D11502"/>
      <c r="E11502"/>
      <c r="F11502"/>
      <c r="G11502"/>
      <c r="H11502"/>
      <c r="I11502"/>
      <c r="J11502"/>
      <c r="K11502" s="1"/>
      <c r="L11502" s="2"/>
    </row>
    <row r="11503" spans="1:12" x14ac:dyDescent="0.2">
      <c r="A11503"/>
      <c r="B11503"/>
      <c r="C11503"/>
      <c r="D11503"/>
      <c r="E11503"/>
      <c r="F11503"/>
      <c r="G11503"/>
      <c r="H11503"/>
      <c r="I11503"/>
      <c r="J11503"/>
      <c r="K11503" s="1"/>
      <c r="L11503" s="2"/>
    </row>
    <row r="11504" spans="1:12" x14ac:dyDescent="0.2">
      <c r="A11504"/>
      <c r="B11504"/>
      <c r="C11504"/>
      <c r="D11504"/>
      <c r="E11504"/>
      <c r="F11504"/>
      <c r="G11504"/>
      <c r="H11504"/>
      <c r="I11504"/>
      <c r="J11504"/>
      <c r="K11504" s="1"/>
      <c r="L11504" s="2"/>
    </row>
    <row r="11505" spans="1:12" x14ac:dyDescent="0.2">
      <c r="A11505"/>
      <c r="B11505"/>
      <c r="C11505"/>
      <c r="D11505"/>
      <c r="E11505"/>
      <c r="F11505"/>
      <c r="G11505"/>
      <c r="H11505"/>
      <c r="I11505"/>
      <c r="J11505"/>
      <c r="K11505" s="1"/>
      <c r="L11505" s="2"/>
    </row>
    <row r="11506" spans="1:12" x14ac:dyDescent="0.2">
      <c r="A11506"/>
      <c r="B11506"/>
      <c r="C11506"/>
      <c r="D11506"/>
      <c r="E11506"/>
      <c r="F11506"/>
      <c r="G11506"/>
      <c r="H11506"/>
      <c r="I11506"/>
      <c r="J11506"/>
      <c r="K11506" s="1"/>
      <c r="L11506" s="2"/>
    </row>
    <row r="11507" spans="1:12" x14ac:dyDescent="0.2">
      <c r="A11507"/>
      <c r="B11507"/>
      <c r="C11507"/>
      <c r="D11507"/>
      <c r="E11507"/>
      <c r="F11507"/>
      <c r="G11507"/>
      <c r="H11507"/>
      <c r="I11507"/>
      <c r="J11507"/>
      <c r="K11507" s="1"/>
      <c r="L11507" s="2"/>
    </row>
    <row r="11508" spans="1:12" x14ac:dyDescent="0.2">
      <c r="A11508"/>
      <c r="B11508"/>
      <c r="C11508"/>
      <c r="D11508"/>
      <c r="E11508"/>
      <c r="F11508"/>
      <c r="G11508"/>
      <c r="H11508"/>
      <c r="I11508"/>
      <c r="J11508"/>
      <c r="K11508" s="1"/>
      <c r="L11508" s="2"/>
    </row>
    <row r="11509" spans="1:12" x14ac:dyDescent="0.2">
      <c r="A11509"/>
      <c r="B11509"/>
      <c r="C11509"/>
      <c r="D11509"/>
      <c r="E11509"/>
      <c r="F11509"/>
      <c r="G11509"/>
      <c r="H11509"/>
      <c r="I11509"/>
      <c r="J11509"/>
      <c r="K11509" s="1"/>
      <c r="L11509" s="2"/>
    </row>
    <row r="11510" spans="1:12" x14ac:dyDescent="0.2">
      <c r="A11510"/>
      <c r="B11510"/>
      <c r="C11510"/>
      <c r="D11510"/>
      <c r="E11510"/>
      <c r="F11510"/>
      <c r="G11510"/>
      <c r="H11510"/>
      <c r="I11510"/>
      <c r="J11510"/>
      <c r="K11510" s="1"/>
      <c r="L11510" s="2"/>
    </row>
    <row r="11511" spans="1:12" x14ac:dyDescent="0.2">
      <c r="A11511"/>
      <c r="B11511"/>
      <c r="C11511"/>
      <c r="D11511"/>
      <c r="E11511"/>
      <c r="F11511"/>
      <c r="G11511"/>
      <c r="H11511"/>
      <c r="I11511"/>
      <c r="J11511"/>
      <c r="K11511" s="1"/>
      <c r="L11511" s="2"/>
    </row>
    <row r="11512" spans="1:12" x14ac:dyDescent="0.2">
      <c r="A11512"/>
      <c r="B11512"/>
      <c r="C11512"/>
      <c r="D11512"/>
      <c r="E11512"/>
      <c r="F11512"/>
      <c r="G11512"/>
      <c r="H11512"/>
      <c r="I11512"/>
      <c r="J11512"/>
      <c r="K11512" s="1"/>
      <c r="L11512" s="2"/>
    </row>
    <row r="11513" spans="1:12" x14ac:dyDescent="0.2">
      <c r="A11513"/>
      <c r="B11513"/>
      <c r="C11513"/>
      <c r="D11513"/>
      <c r="E11513"/>
      <c r="F11513"/>
      <c r="G11513"/>
      <c r="H11513"/>
      <c r="I11513"/>
      <c r="J11513"/>
      <c r="K11513" s="1"/>
      <c r="L11513" s="2"/>
    </row>
    <row r="11514" spans="1:12" x14ac:dyDescent="0.2">
      <c r="A11514"/>
      <c r="B11514"/>
      <c r="C11514"/>
      <c r="D11514"/>
      <c r="E11514"/>
      <c r="F11514"/>
      <c r="G11514"/>
      <c r="H11514"/>
      <c r="I11514"/>
      <c r="J11514"/>
      <c r="K11514" s="1"/>
      <c r="L11514" s="2"/>
    </row>
    <row r="11515" spans="1:12" x14ac:dyDescent="0.2">
      <c r="A11515"/>
      <c r="B11515"/>
      <c r="C11515"/>
      <c r="D11515"/>
      <c r="E11515"/>
      <c r="F11515"/>
      <c r="G11515"/>
      <c r="H11515"/>
      <c r="I11515"/>
      <c r="J11515"/>
      <c r="K11515" s="1"/>
      <c r="L11515" s="2"/>
    </row>
    <row r="11516" spans="1:12" x14ac:dyDescent="0.2">
      <c r="A11516"/>
      <c r="B11516"/>
      <c r="C11516"/>
      <c r="D11516"/>
      <c r="E11516"/>
      <c r="F11516"/>
      <c r="G11516"/>
      <c r="H11516"/>
      <c r="I11516"/>
      <c r="J11516"/>
      <c r="K11516" s="1"/>
      <c r="L11516" s="2"/>
    </row>
    <row r="11517" spans="1:12" x14ac:dyDescent="0.2">
      <c r="A11517"/>
      <c r="B11517"/>
      <c r="C11517"/>
      <c r="D11517"/>
      <c r="E11517"/>
      <c r="F11517"/>
      <c r="G11517"/>
      <c r="H11517"/>
      <c r="I11517"/>
      <c r="J11517"/>
      <c r="K11517" s="1"/>
      <c r="L11517" s="2"/>
    </row>
    <row r="11518" spans="1:12" x14ac:dyDescent="0.2">
      <c r="A11518"/>
      <c r="B11518"/>
      <c r="C11518"/>
      <c r="D11518"/>
      <c r="E11518"/>
      <c r="F11518"/>
      <c r="G11518"/>
      <c r="H11518"/>
      <c r="I11518"/>
      <c r="J11518"/>
      <c r="K11518" s="1"/>
      <c r="L11518" s="2"/>
    </row>
    <row r="11519" spans="1:12" x14ac:dyDescent="0.2">
      <c r="A11519"/>
      <c r="B11519"/>
      <c r="C11519"/>
      <c r="D11519"/>
      <c r="E11519"/>
      <c r="F11519"/>
      <c r="G11519"/>
      <c r="H11519"/>
      <c r="I11519"/>
      <c r="J11519"/>
      <c r="K11519" s="1"/>
      <c r="L11519" s="2"/>
    </row>
    <row r="11520" spans="1:12" x14ac:dyDescent="0.2">
      <c r="A11520"/>
      <c r="B11520"/>
      <c r="C11520"/>
      <c r="D11520"/>
      <c r="E11520"/>
      <c r="F11520"/>
      <c r="G11520"/>
      <c r="H11520"/>
      <c r="I11520"/>
      <c r="J11520"/>
      <c r="K11520" s="1"/>
      <c r="L11520" s="2"/>
    </row>
    <row r="11521" spans="1:12" x14ac:dyDescent="0.2">
      <c r="A11521"/>
      <c r="B11521"/>
      <c r="C11521"/>
      <c r="D11521"/>
      <c r="E11521"/>
      <c r="F11521"/>
      <c r="G11521"/>
      <c r="H11521"/>
      <c r="I11521"/>
      <c r="J11521"/>
      <c r="K11521" s="1"/>
      <c r="L11521" s="2"/>
    </row>
    <row r="11522" spans="1:12" x14ac:dyDescent="0.2">
      <c r="A11522"/>
      <c r="B11522"/>
      <c r="C11522"/>
      <c r="D11522"/>
      <c r="E11522"/>
      <c r="F11522"/>
      <c r="G11522"/>
      <c r="H11522"/>
      <c r="I11522"/>
      <c r="J11522"/>
      <c r="K11522" s="1"/>
      <c r="L11522" s="2"/>
    </row>
    <row r="11523" spans="1:12" x14ac:dyDescent="0.2">
      <c r="A11523"/>
      <c r="B11523"/>
      <c r="C11523"/>
      <c r="D11523"/>
      <c r="E11523"/>
      <c r="F11523"/>
      <c r="G11523"/>
      <c r="H11523"/>
      <c r="I11523"/>
      <c r="J11523"/>
      <c r="K11523" s="1"/>
      <c r="L11523" s="2"/>
    </row>
    <row r="11524" spans="1:12" x14ac:dyDescent="0.2">
      <c r="A11524"/>
      <c r="B11524"/>
      <c r="C11524"/>
      <c r="D11524"/>
      <c r="E11524"/>
      <c r="F11524"/>
      <c r="G11524"/>
      <c r="H11524"/>
      <c r="I11524"/>
      <c r="J11524"/>
      <c r="K11524" s="1"/>
      <c r="L11524" s="2"/>
    </row>
    <row r="11525" spans="1:12" x14ac:dyDescent="0.2">
      <c r="A11525"/>
      <c r="B11525"/>
      <c r="C11525"/>
      <c r="D11525"/>
      <c r="E11525"/>
      <c r="F11525"/>
      <c r="G11525"/>
      <c r="H11525"/>
      <c r="I11525"/>
      <c r="J11525"/>
      <c r="K11525" s="1"/>
      <c r="L11525" s="2"/>
    </row>
    <row r="11526" spans="1:12" x14ac:dyDescent="0.2">
      <c r="A11526"/>
      <c r="B11526"/>
      <c r="C11526"/>
      <c r="D11526"/>
      <c r="E11526"/>
      <c r="F11526"/>
      <c r="G11526"/>
      <c r="H11526"/>
      <c r="I11526"/>
      <c r="J11526"/>
      <c r="K11526" s="1"/>
      <c r="L11526" s="2"/>
    </row>
    <row r="11527" spans="1:12" x14ac:dyDescent="0.2">
      <c r="A11527"/>
      <c r="B11527"/>
      <c r="C11527"/>
      <c r="D11527"/>
      <c r="E11527"/>
      <c r="F11527"/>
      <c r="G11527"/>
      <c r="H11527"/>
      <c r="I11527"/>
      <c r="J11527"/>
      <c r="K11527" s="1"/>
      <c r="L11527" s="2"/>
    </row>
    <row r="11528" spans="1:12" x14ac:dyDescent="0.2">
      <c r="A11528"/>
      <c r="B11528"/>
      <c r="C11528"/>
      <c r="D11528"/>
      <c r="E11528"/>
      <c r="F11528"/>
      <c r="G11528"/>
      <c r="H11528"/>
      <c r="I11528"/>
      <c r="J11528"/>
      <c r="K11528" s="1"/>
      <c r="L11528" s="2"/>
    </row>
    <row r="11529" spans="1:12" x14ac:dyDescent="0.2">
      <c r="A11529"/>
      <c r="B11529"/>
      <c r="C11529"/>
      <c r="D11529"/>
      <c r="E11529"/>
      <c r="F11529"/>
      <c r="G11529"/>
      <c r="H11529"/>
      <c r="I11529"/>
      <c r="J11529"/>
      <c r="K11529" s="1"/>
      <c r="L11529" s="2"/>
    </row>
    <row r="11530" spans="1:12" x14ac:dyDescent="0.2">
      <c r="A11530"/>
      <c r="B11530"/>
      <c r="C11530"/>
      <c r="D11530"/>
      <c r="E11530"/>
      <c r="F11530"/>
      <c r="G11530"/>
      <c r="H11530"/>
      <c r="I11530"/>
      <c r="J11530"/>
      <c r="K11530" s="1"/>
      <c r="L11530" s="2"/>
    </row>
    <row r="11531" spans="1:12" x14ac:dyDescent="0.2">
      <c r="A11531"/>
      <c r="B11531"/>
      <c r="C11531"/>
      <c r="D11531"/>
      <c r="E11531"/>
      <c r="F11531"/>
      <c r="G11531"/>
      <c r="H11531"/>
      <c r="I11531"/>
      <c r="J11531"/>
      <c r="K11531" s="1"/>
      <c r="L11531" s="2"/>
    </row>
    <row r="11532" spans="1:12" x14ac:dyDescent="0.2">
      <c r="A11532"/>
      <c r="B11532"/>
      <c r="C11532"/>
      <c r="D11532"/>
      <c r="E11532"/>
      <c r="F11532"/>
      <c r="G11532"/>
      <c r="H11532"/>
      <c r="I11532"/>
      <c r="J11532"/>
      <c r="K11532" s="1"/>
      <c r="L11532" s="2"/>
    </row>
    <row r="11533" spans="1:12" x14ac:dyDescent="0.2">
      <c r="A11533"/>
      <c r="B11533"/>
      <c r="C11533"/>
      <c r="D11533"/>
      <c r="E11533"/>
      <c r="F11533"/>
      <c r="G11533"/>
      <c r="H11533"/>
      <c r="I11533"/>
      <c r="J11533"/>
      <c r="K11533" s="1"/>
      <c r="L11533" s="2"/>
    </row>
    <row r="11534" spans="1:12" x14ac:dyDescent="0.2">
      <c r="A11534"/>
      <c r="B11534"/>
      <c r="C11534"/>
      <c r="D11534"/>
      <c r="E11534"/>
      <c r="F11534"/>
      <c r="G11534"/>
      <c r="H11534"/>
      <c r="I11534"/>
      <c r="J11534"/>
      <c r="K11534" s="1"/>
      <c r="L11534" s="2"/>
    </row>
    <row r="11535" spans="1:12" x14ac:dyDescent="0.2">
      <c r="A11535"/>
      <c r="B11535"/>
      <c r="C11535"/>
      <c r="D11535"/>
      <c r="E11535"/>
      <c r="F11535"/>
      <c r="G11535"/>
      <c r="H11535"/>
      <c r="I11535"/>
      <c r="J11535"/>
      <c r="K11535" s="1"/>
      <c r="L11535" s="2"/>
    </row>
    <row r="11536" spans="1:12" x14ac:dyDescent="0.2">
      <c r="A11536"/>
      <c r="B11536"/>
      <c r="C11536"/>
      <c r="D11536"/>
      <c r="E11536"/>
      <c r="F11536"/>
      <c r="G11536"/>
      <c r="H11536"/>
      <c r="I11536"/>
      <c r="J11536"/>
      <c r="K11536" s="1"/>
      <c r="L11536" s="2"/>
    </row>
    <row r="11537" spans="1:12" x14ac:dyDescent="0.2">
      <c r="A11537"/>
      <c r="B11537"/>
      <c r="C11537"/>
      <c r="D11537"/>
      <c r="E11537"/>
      <c r="F11537"/>
      <c r="G11537"/>
      <c r="H11537"/>
      <c r="I11537"/>
      <c r="J11537"/>
      <c r="K11537" s="1"/>
      <c r="L11537" s="2"/>
    </row>
    <row r="11538" spans="1:12" x14ac:dyDescent="0.2">
      <c r="A11538"/>
      <c r="B11538"/>
      <c r="C11538"/>
      <c r="D11538"/>
      <c r="E11538"/>
      <c r="F11538"/>
      <c r="G11538"/>
      <c r="H11538"/>
      <c r="I11538"/>
      <c r="J11538"/>
      <c r="K11538" s="1"/>
      <c r="L11538" s="2"/>
    </row>
    <row r="11539" spans="1:12" x14ac:dyDescent="0.2">
      <c r="A11539"/>
      <c r="B11539"/>
      <c r="C11539"/>
      <c r="D11539"/>
      <c r="E11539"/>
      <c r="F11539"/>
      <c r="G11539"/>
      <c r="H11539"/>
      <c r="I11539"/>
      <c r="J11539"/>
      <c r="K11539" s="1"/>
      <c r="L11539" s="2"/>
    </row>
    <row r="11540" spans="1:12" x14ac:dyDescent="0.2">
      <c r="A11540"/>
      <c r="B11540"/>
      <c r="C11540"/>
      <c r="D11540"/>
      <c r="E11540"/>
      <c r="F11540"/>
      <c r="G11540"/>
      <c r="H11540"/>
      <c r="I11540"/>
      <c r="J11540"/>
      <c r="K11540" s="1"/>
      <c r="L11540" s="2"/>
    </row>
    <row r="11541" spans="1:12" x14ac:dyDescent="0.2">
      <c r="A11541"/>
      <c r="B11541"/>
      <c r="C11541"/>
      <c r="D11541"/>
      <c r="E11541"/>
      <c r="F11541"/>
      <c r="G11541"/>
      <c r="H11541"/>
      <c r="I11541"/>
      <c r="J11541"/>
      <c r="K11541" s="1"/>
      <c r="L11541" s="2"/>
    </row>
    <row r="11542" spans="1:12" x14ac:dyDescent="0.2">
      <c r="A11542"/>
      <c r="B11542"/>
      <c r="C11542"/>
      <c r="D11542"/>
      <c r="E11542"/>
      <c r="F11542"/>
      <c r="G11542"/>
      <c r="H11542"/>
      <c r="I11542"/>
      <c r="J11542"/>
      <c r="K11542" s="1"/>
      <c r="L11542" s="2"/>
    </row>
    <row r="11543" spans="1:12" x14ac:dyDescent="0.2">
      <c r="A11543"/>
      <c r="B11543"/>
      <c r="C11543"/>
      <c r="D11543"/>
      <c r="E11543"/>
      <c r="F11543"/>
      <c r="G11543"/>
      <c r="H11543"/>
      <c r="I11543"/>
      <c r="J11543"/>
      <c r="K11543" s="1"/>
      <c r="L11543" s="2"/>
    </row>
    <row r="11544" spans="1:12" x14ac:dyDescent="0.2">
      <c r="A11544"/>
      <c r="B11544"/>
      <c r="C11544"/>
      <c r="D11544"/>
      <c r="E11544"/>
      <c r="F11544"/>
      <c r="G11544"/>
      <c r="H11544"/>
      <c r="I11544"/>
      <c r="J11544"/>
      <c r="K11544" s="1"/>
      <c r="L11544" s="2"/>
    </row>
    <row r="11545" spans="1:12" x14ac:dyDescent="0.2">
      <c r="A11545"/>
      <c r="B11545"/>
      <c r="C11545"/>
      <c r="D11545"/>
      <c r="E11545"/>
      <c r="F11545"/>
      <c r="G11545"/>
      <c r="H11545"/>
      <c r="I11545"/>
      <c r="J11545"/>
      <c r="K11545" s="1"/>
      <c r="L11545" s="2"/>
    </row>
    <row r="11546" spans="1:12" x14ac:dyDescent="0.2">
      <c r="A11546"/>
      <c r="B11546"/>
      <c r="C11546"/>
      <c r="D11546"/>
      <c r="E11546"/>
      <c r="F11546"/>
      <c r="G11546"/>
      <c r="H11546"/>
      <c r="I11546"/>
      <c r="J11546"/>
      <c r="K11546" s="1"/>
      <c r="L11546" s="2"/>
    </row>
    <row r="11547" spans="1:12" x14ac:dyDescent="0.2">
      <c r="A11547"/>
      <c r="B11547"/>
      <c r="C11547"/>
      <c r="D11547"/>
      <c r="E11547"/>
      <c r="F11547"/>
      <c r="G11547"/>
      <c r="H11547"/>
      <c r="I11547"/>
      <c r="J11547"/>
      <c r="K11547" s="1"/>
      <c r="L11547" s="2"/>
    </row>
    <row r="11548" spans="1:12" x14ac:dyDescent="0.2">
      <c r="A11548"/>
      <c r="B11548"/>
      <c r="C11548"/>
      <c r="D11548"/>
      <c r="E11548"/>
      <c r="F11548"/>
      <c r="G11548"/>
      <c r="H11548"/>
      <c r="I11548"/>
      <c r="J11548"/>
      <c r="K11548" s="1"/>
      <c r="L11548" s="2"/>
    </row>
    <row r="11549" spans="1:12" x14ac:dyDescent="0.2">
      <c r="A11549"/>
      <c r="B11549"/>
      <c r="C11549"/>
      <c r="D11549"/>
      <c r="E11549"/>
      <c r="F11549"/>
      <c r="G11549"/>
      <c r="H11549"/>
      <c r="I11549"/>
      <c r="J11549"/>
      <c r="K11549" s="1"/>
      <c r="L11549" s="2"/>
    </row>
    <row r="11550" spans="1:12" x14ac:dyDescent="0.2">
      <c r="A11550"/>
      <c r="B11550"/>
      <c r="C11550"/>
      <c r="D11550"/>
      <c r="E11550"/>
      <c r="F11550"/>
      <c r="G11550"/>
      <c r="H11550"/>
      <c r="I11550"/>
      <c r="J11550"/>
      <c r="K11550" s="1"/>
      <c r="L11550" s="2"/>
    </row>
    <row r="11551" spans="1:12" x14ac:dyDescent="0.2">
      <c r="A11551"/>
      <c r="B11551"/>
      <c r="C11551"/>
      <c r="D11551"/>
      <c r="E11551"/>
      <c r="F11551"/>
      <c r="G11551"/>
      <c r="H11551"/>
      <c r="I11551"/>
      <c r="J11551"/>
      <c r="K11551" s="1"/>
      <c r="L11551" s="2"/>
    </row>
    <row r="11552" spans="1:12" x14ac:dyDescent="0.2">
      <c r="A11552"/>
      <c r="B11552"/>
      <c r="C11552"/>
      <c r="D11552"/>
      <c r="E11552"/>
      <c r="F11552"/>
      <c r="G11552"/>
      <c r="H11552"/>
      <c r="I11552"/>
      <c r="J11552"/>
      <c r="K11552" s="1"/>
      <c r="L11552" s="2"/>
    </row>
    <row r="11553" spans="1:12" x14ac:dyDescent="0.2">
      <c r="A11553"/>
      <c r="B11553"/>
      <c r="C11553"/>
      <c r="D11553"/>
      <c r="E11553"/>
      <c r="F11553"/>
      <c r="G11553"/>
      <c r="H11553"/>
      <c r="I11553"/>
      <c r="J11553"/>
      <c r="K11553" s="1"/>
      <c r="L11553" s="2"/>
    </row>
    <row r="11554" spans="1:12" x14ac:dyDescent="0.2">
      <c r="A11554"/>
      <c r="B11554"/>
      <c r="C11554"/>
      <c r="D11554"/>
      <c r="E11554"/>
      <c r="F11554"/>
      <c r="G11554"/>
      <c r="H11554"/>
      <c r="I11554"/>
      <c r="J11554"/>
      <c r="K11554" s="1"/>
      <c r="L11554" s="2"/>
    </row>
    <row r="11555" spans="1:12" x14ac:dyDescent="0.2">
      <c r="A11555"/>
      <c r="B11555"/>
      <c r="C11555"/>
      <c r="D11555"/>
      <c r="E11555"/>
      <c r="F11555"/>
      <c r="G11555"/>
      <c r="H11555"/>
      <c r="I11555"/>
      <c r="J11555"/>
      <c r="K11555" s="1"/>
      <c r="L11555" s="2"/>
    </row>
    <row r="11556" spans="1:12" x14ac:dyDescent="0.2">
      <c r="A11556"/>
      <c r="B11556"/>
      <c r="C11556"/>
      <c r="D11556"/>
      <c r="E11556"/>
      <c r="F11556"/>
      <c r="G11556"/>
      <c r="H11556"/>
      <c r="I11556"/>
      <c r="J11556"/>
      <c r="K11556" s="1"/>
      <c r="L11556" s="2"/>
    </row>
    <row r="11557" spans="1:12" x14ac:dyDescent="0.2">
      <c r="A11557"/>
      <c r="B11557"/>
      <c r="C11557"/>
      <c r="D11557"/>
      <c r="E11557"/>
      <c r="F11557"/>
      <c r="G11557"/>
      <c r="H11557"/>
      <c r="I11557"/>
      <c r="J11557"/>
      <c r="K11557" s="1"/>
      <c r="L11557" s="2"/>
    </row>
    <row r="11558" spans="1:12" x14ac:dyDescent="0.2">
      <c r="A11558"/>
      <c r="B11558"/>
      <c r="C11558"/>
      <c r="D11558"/>
      <c r="E11558"/>
      <c r="F11558"/>
      <c r="G11558"/>
      <c r="H11558"/>
      <c r="I11558"/>
      <c r="J11558"/>
      <c r="K11558" s="1"/>
      <c r="L11558" s="2"/>
    </row>
    <row r="11559" spans="1:12" x14ac:dyDescent="0.2">
      <c r="A11559"/>
      <c r="B11559"/>
      <c r="C11559"/>
      <c r="D11559"/>
      <c r="E11559"/>
      <c r="F11559"/>
      <c r="G11559"/>
      <c r="H11559"/>
      <c r="I11559"/>
      <c r="J11559"/>
      <c r="K11559" s="1"/>
      <c r="L11559" s="2"/>
    </row>
    <row r="11560" spans="1:12" x14ac:dyDescent="0.2">
      <c r="A11560"/>
      <c r="B11560"/>
      <c r="C11560"/>
      <c r="D11560"/>
      <c r="E11560"/>
      <c r="F11560"/>
      <c r="G11560"/>
      <c r="H11560"/>
      <c r="I11560"/>
      <c r="J11560"/>
      <c r="K11560" s="1"/>
      <c r="L11560" s="2"/>
    </row>
    <row r="11561" spans="1:12" x14ac:dyDescent="0.2">
      <c r="A11561"/>
      <c r="B11561"/>
      <c r="C11561"/>
      <c r="D11561"/>
      <c r="E11561"/>
      <c r="F11561"/>
      <c r="G11561"/>
      <c r="H11561"/>
      <c r="I11561"/>
      <c r="J11561"/>
      <c r="K11561" s="1"/>
      <c r="L11561" s="2"/>
    </row>
    <row r="11562" spans="1:12" x14ac:dyDescent="0.2">
      <c r="A11562"/>
      <c r="B11562"/>
      <c r="C11562"/>
      <c r="D11562"/>
      <c r="E11562"/>
      <c r="F11562"/>
      <c r="G11562"/>
      <c r="H11562"/>
      <c r="I11562"/>
      <c r="J11562"/>
      <c r="K11562" s="1"/>
      <c r="L11562" s="2"/>
    </row>
    <row r="11563" spans="1:12" x14ac:dyDescent="0.2">
      <c r="A11563"/>
      <c r="B11563"/>
      <c r="C11563"/>
      <c r="D11563"/>
      <c r="E11563"/>
      <c r="F11563"/>
      <c r="G11563"/>
      <c r="H11563"/>
      <c r="I11563"/>
      <c r="J11563"/>
      <c r="K11563" s="1"/>
      <c r="L11563" s="2"/>
    </row>
    <row r="11564" spans="1:12" x14ac:dyDescent="0.2">
      <c r="A11564"/>
      <c r="B11564"/>
      <c r="C11564"/>
      <c r="D11564"/>
      <c r="E11564"/>
      <c r="F11564"/>
      <c r="G11564"/>
      <c r="H11564"/>
      <c r="I11564"/>
      <c r="J11564"/>
      <c r="K11564" s="1"/>
      <c r="L11564" s="2"/>
    </row>
    <row r="11565" spans="1:12" x14ac:dyDescent="0.2">
      <c r="A11565"/>
      <c r="B11565"/>
      <c r="C11565"/>
      <c r="D11565"/>
      <c r="E11565"/>
      <c r="F11565"/>
      <c r="G11565"/>
      <c r="H11565"/>
      <c r="I11565"/>
      <c r="J11565"/>
      <c r="K11565" s="1"/>
      <c r="L11565" s="2"/>
    </row>
    <row r="11566" spans="1:12" x14ac:dyDescent="0.2">
      <c r="A11566"/>
      <c r="B11566"/>
      <c r="C11566"/>
      <c r="D11566"/>
      <c r="E11566"/>
      <c r="F11566"/>
      <c r="G11566"/>
      <c r="H11566"/>
      <c r="I11566"/>
      <c r="J11566"/>
      <c r="K11566" s="1"/>
      <c r="L11566" s="2"/>
    </row>
    <row r="11567" spans="1:12" x14ac:dyDescent="0.2">
      <c r="A11567"/>
      <c r="B11567"/>
      <c r="C11567"/>
      <c r="D11567"/>
      <c r="E11567"/>
      <c r="F11567"/>
      <c r="G11567"/>
      <c r="H11567"/>
      <c r="I11567"/>
      <c r="J11567"/>
      <c r="K11567" s="1"/>
      <c r="L11567" s="2"/>
    </row>
    <row r="11568" spans="1:12" x14ac:dyDescent="0.2">
      <c r="A11568"/>
      <c r="B11568"/>
      <c r="C11568"/>
      <c r="D11568"/>
      <c r="E11568"/>
      <c r="F11568"/>
      <c r="G11568"/>
      <c r="H11568"/>
      <c r="I11568"/>
      <c r="J11568"/>
      <c r="K11568" s="1"/>
      <c r="L11568" s="2"/>
    </row>
    <row r="11569" spans="1:12" x14ac:dyDescent="0.2">
      <c r="A11569"/>
      <c r="B11569"/>
      <c r="C11569"/>
      <c r="D11569"/>
      <c r="E11569"/>
      <c r="F11569"/>
      <c r="G11569"/>
      <c r="H11569"/>
      <c r="I11569"/>
      <c r="J11569"/>
      <c r="K11569" s="1"/>
      <c r="L11569" s="2"/>
    </row>
    <row r="11570" spans="1:12" x14ac:dyDescent="0.2">
      <c r="A11570"/>
      <c r="B11570"/>
      <c r="C11570"/>
      <c r="D11570"/>
      <c r="E11570"/>
      <c r="F11570"/>
      <c r="G11570"/>
      <c r="H11570"/>
      <c r="I11570"/>
      <c r="J11570"/>
      <c r="K11570" s="1"/>
      <c r="L11570" s="2"/>
    </row>
    <row r="11571" spans="1:12" x14ac:dyDescent="0.2">
      <c r="A11571"/>
      <c r="B11571"/>
      <c r="C11571"/>
      <c r="D11571"/>
      <c r="E11571"/>
      <c r="F11571"/>
      <c r="G11571"/>
      <c r="H11571"/>
      <c r="I11571"/>
      <c r="J11571"/>
      <c r="K11571" s="1"/>
      <c r="L11571" s="2"/>
    </row>
    <row r="11572" spans="1:12" x14ac:dyDescent="0.2">
      <c r="A11572"/>
      <c r="B11572"/>
      <c r="C11572"/>
      <c r="D11572"/>
      <c r="E11572"/>
      <c r="F11572"/>
      <c r="G11572"/>
      <c r="H11572"/>
      <c r="I11572"/>
      <c r="J11572"/>
      <c r="K11572" s="1"/>
      <c r="L11572" s="2"/>
    </row>
    <row r="11573" spans="1:12" x14ac:dyDescent="0.2">
      <c r="A11573"/>
      <c r="B11573"/>
      <c r="C11573"/>
      <c r="D11573"/>
      <c r="E11573"/>
      <c r="F11573"/>
      <c r="G11573"/>
      <c r="H11573"/>
      <c r="I11573"/>
      <c r="J11573"/>
      <c r="K11573" s="1"/>
      <c r="L11573" s="2"/>
    </row>
    <row r="11574" spans="1:12" x14ac:dyDescent="0.2">
      <c r="A11574"/>
      <c r="B11574"/>
      <c r="C11574"/>
      <c r="D11574"/>
      <c r="E11574"/>
      <c r="F11574"/>
      <c r="G11574"/>
      <c r="H11574"/>
      <c r="I11574"/>
      <c r="J11574"/>
      <c r="K11574" s="1"/>
      <c r="L11574" s="2"/>
    </row>
    <row r="11575" spans="1:12" x14ac:dyDescent="0.2">
      <c r="A11575"/>
      <c r="B11575"/>
      <c r="C11575"/>
      <c r="D11575"/>
      <c r="E11575"/>
      <c r="F11575"/>
      <c r="G11575"/>
      <c r="H11575"/>
      <c r="I11575"/>
      <c r="J11575"/>
      <c r="K11575" s="1"/>
      <c r="L11575" s="2"/>
    </row>
    <row r="11576" spans="1:12" x14ac:dyDescent="0.2">
      <c r="A11576"/>
      <c r="B11576"/>
      <c r="C11576"/>
      <c r="D11576"/>
      <c r="E11576"/>
      <c r="F11576"/>
      <c r="G11576"/>
      <c r="H11576"/>
      <c r="I11576"/>
      <c r="J11576"/>
      <c r="K11576" s="1"/>
      <c r="L11576" s="2"/>
    </row>
    <row r="11577" spans="1:12" x14ac:dyDescent="0.2">
      <c r="A11577"/>
      <c r="B11577"/>
      <c r="C11577"/>
      <c r="D11577"/>
      <c r="E11577"/>
      <c r="F11577"/>
      <c r="G11577"/>
      <c r="H11577"/>
      <c r="I11577"/>
      <c r="J11577"/>
      <c r="K11577" s="1"/>
      <c r="L11577" s="2"/>
    </row>
    <row r="11578" spans="1:12" x14ac:dyDescent="0.2">
      <c r="A11578"/>
      <c r="B11578"/>
      <c r="C11578"/>
      <c r="D11578"/>
      <c r="E11578"/>
      <c r="F11578"/>
      <c r="G11578"/>
      <c r="H11578"/>
      <c r="I11578"/>
      <c r="J11578"/>
      <c r="K11578" s="1"/>
      <c r="L11578" s="2"/>
    </row>
    <row r="11579" spans="1:12" x14ac:dyDescent="0.2">
      <c r="A11579"/>
      <c r="B11579"/>
      <c r="C11579"/>
      <c r="D11579"/>
      <c r="E11579"/>
      <c r="F11579"/>
      <c r="G11579"/>
      <c r="H11579"/>
      <c r="I11579"/>
      <c r="J11579"/>
      <c r="K11579" s="1"/>
      <c r="L11579" s="2"/>
    </row>
    <row r="11580" spans="1:12" x14ac:dyDescent="0.2">
      <c r="A11580"/>
      <c r="B11580"/>
      <c r="C11580"/>
      <c r="D11580"/>
      <c r="E11580"/>
      <c r="F11580"/>
      <c r="G11580"/>
      <c r="H11580"/>
      <c r="I11580"/>
      <c r="J11580"/>
      <c r="K11580" s="1"/>
      <c r="L11580" s="2"/>
    </row>
    <row r="11581" spans="1:12" x14ac:dyDescent="0.2">
      <c r="A11581"/>
      <c r="B11581"/>
      <c r="C11581"/>
      <c r="D11581"/>
      <c r="E11581"/>
      <c r="F11581"/>
      <c r="G11581"/>
      <c r="H11581"/>
      <c r="I11581"/>
      <c r="J11581"/>
      <c r="K11581" s="1"/>
      <c r="L11581" s="2"/>
    </row>
    <row r="11582" spans="1:12" x14ac:dyDescent="0.2">
      <c r="A11582"/>
      <c r="B11582"/>
      <c r="C11582"/>
      <c r="D11582"/>
      <c r="E11582"/>
      <c r="F11582"/>
      <c r="G11582"/>
      <c r="H11582"/>
      <c r="I11582"/>
      <c r="J11582"/>
      <c r="K11582" s="1"/>
      <c r="L11582" s="2"/>
    </row>
    <row r="11583" spans="1:12" x14ac:dyDescent="0.2">
      <c r="A11583"/>
      <c r="B11583"/>
      <c r="C11583"/>
      <c r="D11583"/>
      <c r="E11583"/>
      <c r="F11583"/>
      <c r="G11583"/>
      <c r="H11583"/>
      <c r="I11583"/>
      <c r="J11583"/>
      <c r="K11583" s="1"/>
      <c r="L11583" s="2"/>
    </row>
    <row r="11584" spans="1:12" x14ac:dyDescent="0.2">
      <c r="A11584"/>
      <c r="B11584"/>
      <c r="C11584"/>
      <c r="D11584"/>
      <c r="E11584"/>
      <c r="F11584"/>
      <c r="G11584"/>
      <c r="H11584"/>
      <c r="I11584"/>
      <c r="J11584"/>
      <c r="K11584" s="1"/>
      <c r="L11584" s="2"/>
    </row>
    <row r="11585" spans="1:12" x14ac:dyDescent="0.2">
      <c r="A11585"/>
      <c r="B11585"/>
      <c r="C11585"/>
      <c r="D11585"/>
      <c r="E11585"/>
      <c r="F11585"/>
      <c r="G11585"/>
      <c r="H11585"/>
      <c r="I11585"/>
      <c r="J11585"/>
      <c r="K11585" s="1"/>
      <c r="L11585" s="2"/>
    </row>
    <row r="11586" spans="1:12" x14ac:dyDescent="0.2">
      <c r="A11586"/>
      <c r="B11586"/>
      <c r="C11586"/>
      <c r="D11586"/>
      <c r="E11586"/>
      <c r="F11586"/>
      <c r="G11586"/>
      <c r="H11586"/>
      <c r="I11586"/>
      <c r="J11586"/>
      <c r="K11586" s="1"/>
      <c r="L11586" s="2"/>
    </row>
    <row r="11587" spans="1:12" x14ac:dyDescent="0.2">
      <c r="A11587"/>
      <c r="B11587"/>
      <c r="C11587"/>
      <c r="D11587"/>
      <c r="E11587"/>
      <c r="F11587"/>
      <c r="G11587"/>
      <c r="H11587"/>
      <c r="I11587"/>
      <c r="J11587"/>
      <c r="K11587" s="1"/>
      <c r="L11587" s="2"/>
    </row>
    <row r="11588" spans="1:12" x14ac:dyDescent="0.2">
      <c r="A11588"/>
      <c r="B11588"/>
      <c r="C11588"/>
      <c r="D11588"/>
      <c r="E11588"/>
      <c r="F11588"/>
      <c r="G11588"/>
      <c r="H11588"/>
      <c r="I11588"/>
      <c r="J11588"/>
      <c r="K11588" s="1"/>
      <c r="L11588" s="2"/>
    </row>
    <row r="11589" spans="1:12" x14ac:dyDescent="0.2">
      <c r="A11589"/>
      <c r="B11589"/>
      <c r="C11589"/>
      <c r="D11589"/>
      <c r="E11589"/>
      <c r="F11589"/>
      <c r="G11589"/>
      <c r="H11589"/>
      <c r="I11589"/>
      <c r="J11589"/>
      <c r="K11589" s="1"/>
      <c r="L11589" s="2"/>
    </row>
    <row r="11590" spans="1:12" x14ac:dyDescent="0.2">
      <c r="A11590"/>
      <c r="B11590"/>
      <c r="C11590"/>
      <c r="D11590"/>
      <c r="E11590"/>
      <c r="F11590"/>
      <c r="G11590"/>
      <c r="H11590"/>
      <c r="I11590"/>
      <c r="J11590"/>
      <c r="K11590" s="1"/>
      <c r="L11590" s="2"/>
    </row>
    <row r="11591" spans="1:12" x14ac:dyDescent="0.2">
      <c r="A11591"/>
      <c r="B11591"/>
      <c r="C11591"/>
      <c r="D11591"/>
      <c r="E11591"/>
      <c r="F11591"/>
      <c r="G11591"/>
      <c r="H11591"/>
      <c r="I11591"/>
      <c r="J11591"/>
      <c r="K11591" s="1"/>
      <c r="L11591" s="2"/>
    </row>
    <row r="11592" spans="1:12" x14ac:dyDescent="0.2">
      <c r="A11592"/>
      <c r="B11592"/>
      <c r="C11592"/>
      <c r="D11592"/>
      <c r="E11592"/>
      <c r="F11592"/>
      <c r="G11592"/>
      <c r="H11592"/>
      <c r="I11592"/>
      <c r="J11592"/>
      <c r="K11592" s="1"/>
      <c r="L11592" s="2"/>
    </row>
    <row r="11593" spans="1:12" x14ac:dyDescent="0.2">
      <c r="A11593"/>
      <c r="B11593"/>
      <c r="C11593"/>
      <c r="D11593"/>
      <c r="E11593"/>
      <c r="F11593"/>
      <c r="G11593"/>
      <c r="H11593"/>
      <c r="I11593"/>
      <c r="J11593"/>
      <c r="K11593" s="1"/>
      <c r="L11593" s="2"/>
    </row>
    <row r="11594" spans="1:12" x14ac:dyDescent="0.2">
      <c r="A11594"/>
      <c r="B11594"/>
      <c r="C11594"/>
      <c r="D11594"/>
      <c r="E11594"/>
      <c r="F11594"/>
      <c r="G11594"/>
      <c r="H11594"/>
      <c r="I11594"/>
      <c r="J11594"/>
      <c r="K11594" s="1"/>
      <c r="L11594" s="2"/>
    </row>
    <row r="11595" spans="1:12" x14ac:dyDescent="0.2">
      <c r="A11595"/>
      <c r="B11595"/>
      <c r="C11595"/>
      <c r="D11595"/>
      <c r="E11595"/>
      <c r="F11595"/>
      <c r="G11595"/>
      <c r="H11595"/>
      <c r="I11595"/>
      <c r="J11595"/>
      <c r="K11595" s="1"/>
      <c r="L11595" s="2"/>
    </row>
    <row r="11596" spans="1:12" x14ac:dyDescent="0.2">
      <c r="A11596"/>
      <c r="B11596"/>
      <c r="C11596"/>
      <c r="D11596"/>
      <c r="E11596"/>
      <c r="F11596"/>
      <c r="G11596"/>
      <c r="H11596"/>
      <c r="I11596"/>
      <c r="J11596"/>
      <c r="K11596" s="1"/>
      <c r="L11596" s="2"/>
    </row>
    <row r="11597" spans="1:12" x14ac:dyDescent="0.2">
      <c r="A11597"/>
      <c r="B11597"/>
      <c r="C11597"/>
      <c r="D11597"/>
      <c r="E11597"/>
      <c r="F11597"/>
      <c r="G11597"/>
      <c r="H11597"/>
      <c r="I11597"/>
      <c r="J11597"/>
      <c r="K11597" s="1"/>
      <c r="L11597" s="2"/>
    </row>
    <row r="11598" spans="1:12" x14ac:dyDescent="0.2">
      <c r="A11598"/>
      <c r="B11598"/>
      <c r="C11598"/>
      <c r="D11598"/>
      <c r="E11598"/>
      <c r="F11598"/>
      <c r="G11598"/>
      <c r="H11598"/>
      <c r="I11598"/>
      <c r="J11598"/>
      <c r="K11598" s="1"/>
      <c r="L11598" s="2"/>
    </row>
    <row r="11599" spans="1:12" x14ac:dyDescent="0.2">
      <c r="A11599"/>
      <c r="B11599"/>
      <c r="C11599"/>
      <c r="D11599"/>
      <c r="E11599"/>
      <c r="F11599"/>
      <c r="G11599"/>
      <c r="H11599"/>
      <c r="I11599"/>
      <c r="J11599"/>
      <c r="K11599" s="1"/>
      <c r="L11599" s="2"/>
    </row>
    <row r="11600" spans="1:12" x14ac:dyDescent="0.2">
      <c r="A11600"/>
      <c r="B11600"/>
      <c r="C11600"/>
      <c r="D11600"/>
      <c r="E11600"/>
      <c r="F11600"/>
      <c r="G11600"/>
      <c r="H11600"/>
      <c r="I11600"/>
      <c r="J11600"/>
      <c r="K11600" s="1"/>
      <c r="L11600" s="2"/>
    </row>
    <row r="11601" spans="1:12" x14ac:dyDescent="0.2">
      <c r="A11601"/>
      <c r="B11601"/>
      <c r="C11601"/>
      <c r="D11601"/>
      <c r="E11601"/>
      <c r="F11601"/>
      <c r="G11601"/>
      <c r="H11601"/>
      <c r="I11601"/>
      <c r="J11601"/>
      <c r="K11601" s="1"/>
      <c r="L11601" s="2"/>
    </row>
    <row r="11602" spans="1:12" x14ac:dyDescent="0.2">
      <c r="A11602"/>
      <c r="B11602"/>
      <c r="C11602"/>
      <c r="D11602"/>
      <c r="E11602"/>
      <c r="F11602"/>
      <c r="G11602"/>
      <c r="H11602"/>
      <c r="I11602"/>
      <c r="J11602"/>
      <c r="K11602" s="1"/>
      <c r="L11602" s="2"/>
    </row>
    <row r="11603" spans="1:12" x14ac:dyDescent="0.2">
      <c r="A11603"/>
      <c r="B11603"/>
      <c r="C11603"/>
      <c r="D11603"/>
      <c r="E11603"/>
      <c r="F11603"/>
      <c r="G11603"/>
      <c r="H11603"/>
      <c r="I11603"/>
      <c r="J11603"/>
      <c r="K11603" s="1"/>
      <c r="L11603" s="2"/>
    </row>
    <row r="11604" spans="1:12" x14ac:dyDescent="0.2">
      <c r="A11604"/>
      <c r="B11604"/>
      <c r="C11604"/>
      <c r="D11604"/>
      <c r="E11604"/>
      <c r="F11604"/>
      <c r="G11604"/>
      <c r="H11604"/>
      <c r="I11604"/>
      <c r="J11604"/>
      <c r="K11604" s="1"/>
      <c r="L11604" s="2"/>
    </row>
    <row r="11605" spans="1:12" x14ac:dyDescent="0.2">
      <c r="A11605"/>
      <c r="B11605"/>
      <c r="C11605"/>
      <c r="D11605"/>
      <c r="E11605"/>
      <c r="F11605"/>
      <c r="G11605"/>
      <c r="H11605"/>
      <c r="I11605"/>
      <c r="J11605"/>
      <c r="K11605" s="1"/>
      <c r="L11605" s="2"/>
    </row>
    <row r="11606" spans="1:12" x14ac:dyDescent="0.2">
      <c r="A11606"/>
      <c r="B11606"/>
      <c r="C11606"/>
      <c r="D11606"/>
      <c r="E11606"/>
      <c r="F11606"/>
      <c r="G11606"/>
      <c r="H11606"/>
      <c r="I11606"/>
      <c r="J11606"/>
      <c r="K11606" s="1"/>
      <c r="L11606" s="2"/>
    </row>
    <row r="11607" spans="1:12" x14ac:dyDescent="0.2">
      <c r="A11607"/>
      <c r="B11607"/>
      <c r="C11607"/>
      <c r="D11607"/>
      <c r="E11607"/>
      <c r="F11607"/>
      <c r="G11607"/>
      <c r="H11607"/>
      <c r="I11607"/>
      <c r="J11607"/>
      <c r="K11607" s="1"/>
      <c r="L11607" s="2"/>
    </row>
    <row r="11608" spans="1:12" x14ac:dyDescent="0.2">
      <c r="A11608"/>
      <c r="B11608"/>
      <c r="C11608"/>
      <c r="D11608"/>
      <c r="E11608"/>
      <c r="F11608"/>
      <c r="G11608"/>
      <c r="H11608"/>
      <c r="I11608"/>
      <c r="J11608"/>
      <c r="K11608" s="1"/>
      <c r="L11608" s="2"/>
    </row>
    <row r="11609" spans="1:12" x14ac:dyDescent="0.2">
      <c r="A11609"/>
      <c r="B11609"/>
      <c r="C11609"/>
      <c r="D11609"/>
      <c r="E11609"/>
      <c r="F11609"/>
      <c r="G11609"/>
      <c r="H11609"/>
      <c r="I11609"/>
      <c r="J11609"/>
      <c r="K11609" s="1"/>
      <c r="L11609" s="2"/>
    </row>
    <row r="11610" spans="1:12" x14ac:dyDescent="0.2">
      <c r="A11610"/>
      <c r="B11610"/>
      <c r="C11610"/>
      <c r="D11610"/>
      <c r="E11610"/>
      <c r="F11610"/>
      <c r="G11610"/>
      <c r="H11610"/>
      <c r="I11610"/>
      <c r="J11610"/>
      <c r="K11610" s="1"/>
      <c r="L11610" s="2"/>
    </row>
    <row r="11611" spans="1:12" x14ac:dyDescent="0.2">
      <c r="A11611"/>
      <c r="B11611"/>
      <c r="C11611"/>
      <c r="D11611"/>
      <c r="E11611"/>
      <c r="F11611"/>
      <c r="G11611"/>
      <c r="H11611"/>
      <c r="I11611"/>
      <c r="J11611"/>
      <c r="K11611" s="1"/>
      <c r="L11611" s="2"/>
    </row>
    <row r="11612" spans="1:12" x14ac:dyDescent="0.2">
      <c r="A11612"/>
      <c r="B11612"/>
      <c r="C11612"/>
      <c r="D11612"/>
      <c r="E11612"/>
      <c r="F11612"/>
      <c r="G11612"/>
      <c r="H11612"/>
      <c r="I11612"/>
      <c r="J11612"/>
      <c r="K11612" s="1"/>
      <c r="L11612" s="2"/>
    </row>
    <row r="11613" spans="1:12" x14ac:dyDescent="0.2">
      <c r="A11613"/>
      <c r="B11613"/>
      <c r="C11613"/>
      <c r="D11613"/>
      <c r="E11613"/>
      <c r="F11613"/>
      <c r="G11613"/>
      <c r="H11613"/>
      <c r="I11613"/>
      <c r="J11613"/>
      <c r="K11613" s="1"/>
      <c r="L11613" s="2"/>
    </row>
    <row r="11614" spans="1:12" x14ac:dyDescent="0.2">
      <c r="A11614"/>
      <c r="B11614"/>
      <c r="C11614"/>
      <c r="D11614"/>
      <c r="E11614"/>
      <c r="F11614"/>
      <c r="G11614"/>
      <c r="H11614"/>
      <c r="I11614"/>
      <c r="J11614"/>
      <c r="K11614" s="1"/>
      <c r="L11614" s="2"/>
    </row>
    <row r="11615" spans="1:12" x14ac:dyDescent="0.2">
      <c r="A11615"/>
      <c r="B11615"/>
      <c r="C11615"/>
      <c r="D11615"/>
      <c r="E11615"/>
      <c r="F11615"/>
      <c r="G11615"/>
      <c r="H11615"/>
      <c r="I11615"/>
      <c r="J11615"/>
      <c r="K11615" s="1"/>
      <c r="L11615" s="2"/>
    </row>
    <row r="11616" spans="1:12" x14ac:dyDescent="0.2">
      <c r="A11616"/>
      <c r="B11616"/>
      <c r="C11616"/>
      <c r="D11616"/>
      <c r="E11616"/>
      <c r="F11616"/>
      <c r="G11616"/>
      <c r="H11616"/>
      <c r="I11616"/>
      <c r="J11616"/>
      <c r="K11616" s="1"/>
      <c r="L11616" s="2"/>
    </row>
    <row r="11617" spans="1:12" x14ac:dyDescent="0.2">
      <c r="A11617"/>
      <c r="B11617"/>
      <c r="C11617"/>
      <c r="D11617"/>
      <c r="E11617"/>
      <c r="F11617"/>
      <c r="G11617"/>
      <c r="H11617"/>
      <c r="I11617"/>
      <c r="J11617"/>
      <c r="K11617" s="1"/>
      <c r="L11617" s="2"/>
    </row>
    <row r="11618" spans="1:12" x14ac:dyDescent="0.2">
      <c r="A11618"/>
      <c r="B11618"/>
      <c r="C11618"/>
      <c r="D11618"/>
      <c r="E11618"/>
      <c r="F11618"/>
      <c r="G11618"/>
      <c r="H11618"/>
      <c r="I11618"/>
      <c r="J11618"/>
      <c r="K11618" s="1"/>
      <c r="L11618" s="2"/>
    </row>
    <row r="11619" spans="1:12" x14ac:dyDescent="0.2">
      <c r="A11619"/>
      <c r="B11619"/>
      <c r="C11619"/>
      <c r="D11619"/>
      <c r="E11619"/>
      <c r="F11619"/>
      <c r="G11619"/>
      <c r="H11619"/>
      <c r="I11619"/>
      <c r="J11619"/>
      <c r="K11619" s="1"/>
      <c r="L11619" s="2"/>
    </row>
    <row r="11620" spans="1:12" x14ac:dyDescent="0.2">
      <c r="A11620"/>
      <c r="B11620"/>
      <c r="C11620"/>
      <c r="D11620"/>
      <c r="E11620"/>
      <c r="F11620"/>
      <c r="G11620"/>
      <c r="H11620"/>
      <c r="I11620"/>
      <c r="J11620"/>
      <c r="K11620" s="1"/>
      <c r="L11620" s="2"/>
    </row>
    <row r="11621" spans="1:12" x14ac:dyDescent="0.2">
      <c r="A11621"/>
      <c r="B11621"/>
      <c r="C11621"/>
      <c r="D11621"/>
      <c r="E11621"/>
      <c r="F11621"/>
      <c r="G11621"/>
      <c r="H11621"/>
      <c r="I11621"/>
      <c r="J11621"/>
      <c r="K11621" s="1"/>
      <c r="L11621" s="2"/>
    </row>
    <row r="11622" spans="1:12" x14ac:dyDescent="0.2">
      <c r="A11622"/>
      <c r="B11622"/>
      <c r="C11622"/>
      <c r="D11622"/>
      <c r="E11622"/>
      <c r="F11622"/>
      <c r="G11622"/>
      <c r="H11622"/>
      <c r="I11622"/>
      <c r="J11622"/>
      <c r="K11622" s="1"/>
      <c r="L11622" s="2"/>
    </row>
    <row r="11623" spans="1:12" x14ac:dyDescent="0.2">
      <c r="A11623"/>
      <c r="B11623"/>
      <c r="C11623"/>
      <c r="D11623"/>
      <c r="E11623"/>
      <c r="F11623"/>
      <c r="G11623"/>
      <c r="H11623"/>
      <c r="I11623"/>
      <c r="J11623"/>
      <c r="K11623" s="1"/>
      <c r="L11623" s="2"/>
    </row>
    <row r="11624" spans="1:12" x14ac:dyDescent="0.2">
      <c r="A11624"/>
      <c r="B11624"/>
      <c r="C11624"/>
      <c r="D11624"/>
      <c r="E11624"/>
      <c r="F11624"/>
      <c r="G11624"/>
      <c r="H11624"/>
      <c r="I11624"/>
      <c r="J11624"/>
      <c r="K11624" s="1"/>
      <c r="L11624" s="2"/>
    </row>
    <row r="11625" spans="1:12" x14ac:dyDescent="0.2">
      <c r="A11625"/>
      <c r="B11625"/>
      <c r="C11625"/>
      <c r="D11625"/>
      <c r="E11625"/>
      <c r="F11625"/>
      <c r="G11625"/>
      <c r="H11625"/>
      <c r="I11625"/>
      <c r="J11625"/>
      <c r="K11625" s="1"/>
      <c r="L11625" s="2"/>
    </row>
    <row r="11626" spans="1:12" x14ac:dyDescent="0.2">
      <c r="A11626"/>
      <c r="B11626"/>
      <c r="C11626"/>
      <c r="D11626"/>
      <c r="E11626"/>
      <c r="F11626"/>
      <c r="G11626"/>
      <c r="H11626"/>
      <c r="I11626"/>
      <c r="J11626"/>
      <c r="K11626" s="1"/>
      <c r="L11626" s="2"/>
    </row>
    <row r="11627" spans="1:12" x14ac:dyDescent="0.2">
      <c r="A11627"/>
      <c r="B11627"/>
      <c r="C11627"/>
      <c r="D11627"/>
      <c r="E11627"/>
      <c r="F11627"/>
      <c r="G11627"/>
      <c r="H11627"/>
      <c r="I11627"/>
      <c r="J11627"/>
      <c r="K11627" s="1"/>
      <c r="L11627" s="2"/>
    </row>
    <row r="11628" spans="1:12" x14ac:dyDescent="0.2">
      <c r="A11628"/>
      <c r="B11628"/>
      <c r="C11628"/>
      <c r="D11628"/>
      <c r="E11628"/>
      <c r="F11628"/>
      <c r="G11628"/>
      <c r="H11628"/>
      <c r="I11628"/>
      <c r="J11628"/>
      <c r="K11628" s="1"/>
      <c r="L11628" s="2"/>
    </row>
    <row r="11629" spans="1:12" x14ac:dyDescent="0.2">
      <c r="A11629"/>
      <c r="B11629"/>
      <c r="C11629"/>
      <c r="D11629"/>
      <c r="E11629"/>
      <c r="F11629"/>
      <c r="G11629"/>
      <c r="H11629"/>
      <c r="I11629"/>
      <c r="J11629"/>
      <c r="K11629" s="1"/>
      <c r="L11629" s="2"/>
    </row>
    <row r="11630" spans="1:12" x14ac:dyDescent="0.2">
      <c r="A11630"/>
      <c r="B11630"/>
      <c r="C11630"/>
      <c r="D11630"/>
      <c r="E11630"/>
      <c r="F11630"/>
      <c r="G11630"/>
      <c r="H11630"/>
      <c r="I11630"/>
      <c r="J11630"/>
      <c r="K11630" s="1"/>
      <c r="L11630" s="2"/>
    </row>
    <row r="11631" spans="1:12" x14ac:dyDescent="0.2">
      <c r="A11631"/>
      <c r="B11631"/>
      <c r="C11631"/>
      <c r="D11631"/>
      <c r="E11631"/>
      <c r="F11631"/>
      <c r="G11631"/>
      <c r="H11631"/>
      <c r="I11631"/>
      <c r="J11631"/>
      <c r="K11631" s="1"/>
      <c r="L11631" s="2"/>
    </row>
    <row r="11632" spans="1:12" x14ac:dyDescent="0.2">
      <c r="A11632"/>
      <c r="B11632"/>
      <c r="C11632"/>
      <c r="D11632"/>
      <c r="E11632"/>
      <c r="F11632"/>
      <c r="G11632"/>
      <c r="H11632"/>
      <c r="I11632"/>
      <c r="J11632"/>
      <c r="K11632" s="1"/>
      <c r="L11632" s="2"/>
    </row>
    <row r="11633" spans="1:12" x14ac:dyDescent="0.2">
      <c r="A11633"/>
      <c r="B11633"/>
      <c r="C11633"/>
      <c r="D11633"/>
      <c r="E11633"/>
      <c r="F11633"/>
      <c r="G11633"/>
      <c r="H11633"/>
      <c r="I11633"/>
      <c r="J11633"/>
      <c r="K11633" s="1"/>
      <c r="L11633" s="2"/>
    </row>
    <row r="11634" spans="1:12" x14ac:dyDescent="0.2">
      <c r="A11634"/>
      <c r="B11634"/>
      <c r="C11634"/>
      <c r="D11634"/>
      <c r="E11634"/>
      <c r="F11634"/>
      <c r="G11634"/>
      <c r="H11634"/>
      <c r="I11634"/>
      <c r="J11634"/>
      <c r="K11634" s="1"/>
      <c r="L11634" s="2"/>
    </row>
    <row r="11635" spans="1:12" x14ac:dyDescent="0.2">
      <c r="A11635"/>
      <c r="B11635"/>
      <c r="C11635"/>
      <c r="D11635"/>
      <c r="E11635"/>
      <c r="F11635"/>
      <c r="G11635"/>
      <c r="H11635"/>
      <c r="I11635"/>
      <c r="J11635"/>
      <c r="K11635" s="1"/>
      <c r="L11635" s="2"/>
    </row>
    <row r="11636" spans="1:12" x14ac:dyDescent="0.2">
      <c r="A11636"/>
      <c r="B11636"/>
      <c r="C11636"/>
      <c r="D11636"/>
      <c r="E11636"/>
      <c r="F11636"/>
      <c r="G11636"/>
      <c r="H11636"/>
      <c r="I11636"/>
      <c r="J11636"/>
      <c r="K11636" s="1"/>
      <c r="L11636" s="2"/>
    </row>
    <row r="11637" spans="1:12" x14ac:dyDescent="0.2">
      <c r="A11637"/>
      <c r="B11637"/>
      <c r="C11637"/>
      <c r="D11637"/>
      <c r="E11637"/>
      <c r="F11637"/>
      <c r="G11637"/>
      <c r="H11637"/>
      <c r="I11637"/>
      <c r="J11637"/>
      <c r="K11637" s="1"/>
      <c r="L11637" s="2"/>
    </row>
    <row r="11638" spans="1:12" x14ac:dyDescent="0.2">
      <c r="A11638"/>
      <c r="B11638"/>
      <c r="C11638"/>
      <c r="D11638"/>
      <c r="E11638"/>
      <c r="F11638"/>
      <c r="G11638"/>
      <c r="H11638"/>
      <c r="I11638"/>
      <c r="J11638"/>
      <c r="K11638" s="1"/>
      <c r="L11638" s="2"/>
    </row>
    <row r="11639" spans="1:12" x14ac:dyDescent="0.2">
      <c r="A11639"/>
      <c r="B11639"/>
      <c r="C11639"/>
      <c r="D11639"/>
      <c r="E11639"/>
      <c r="F11639"/>
      <c r="G11639"/>
      <c r="H11639"/>
      <c r="I11639"/>
      <c r="J11639"/>
      <c r="K11639" s="1"/>
      <c r="L11639" s="2"/>
    </row>
    <row r="11640" spans="1:12" x14ac:dyDescent="0.2">
      <c r="A11640"/>
      <c r="B11640"/>
      <c r="C11640"/>
      <c r="D11640"/>
      <c r="E11640"/>
      <c r="F11640"/>
      <c r="G11640"/>
      <c r="H11640"/>
      <c r="I11640"/>
      <c r="J11640"/>
      <c r="K11640" s="1"/>
      <c r="L11640" s="2"/>
    </row>
    <row r="11641" spans="1:12" x14ac:dyDescent="0.2">
      <c r="A11641"/>
      <c r="B11641"/>
      <c r="C11641"/>
      <c r="D11641"/>
      <c r="E11641"/>
      <c r="F11641"/>
      <c r="G11641"/>
      <c r="H11641"/>
      <c r="I11641"/>
      <c r="J11641"/>
      <c r="K11641" s="1"/>
      <c r="L11641" s="2"/>
    </row>
    <row r="11642" spans="1:12" x14ac:dyDescent="0.2">
      <c r="A11642"/>
      <c r="B11642"/>
      <c r="C11642"/>
      <c r="D11642"/>
      <c r="E11642"/>
      <c r="F11642"/>
      <c r="G11642"/>
      <c r="H11642"/>
      <c r="I11642"/>
      <c r="J11642"/>
      <c r="K11642" s="1"/>
      <c r="L11642" s="2"/>
    </row>
    <row r="11643" spans="1:12" x14ac:dyDescent="0.2">
      <c r="A11643"/>
      <c r="B11643"/>
      <c r="C11643"/>
      <c r="D11643"/>
      <c r="E11643"/>
      <c r="F11643"/>
      <c r="G11643"/>
      <c r="H11643"/>
      <c r="I11643"/>
      <c r="J11643"/>
      <c r="K11643" s="1"/>
      <c r="L11643" s="2"/>
    </row>
    <row r="11644" spans="1:12" x14ac:dyDescent="0.2">
      <c r="A11644"/>
      <c r="B11644"/>
      <c r="C11644"/>
      <c r="D11644"/>
      <c r="E11644"/>
      <c r="F11644"/>
      <c r="G11644"/>
      <c r="H11644"/>
      <c r="I11644"/>
      <c r="J11644"/>
      <c r="K11644" s="1"/>
      <c r="L11644" s="2"/>
    </row>
    <row r="11645" spans="1:12" x14ac:dyDescent="0.2">
      <c r="A11645"/>
      <c r="B11645"/>
      <c r="C11645"/>
      <c r="D11645"/>
      <c r="E11645"/>
      <c r="F11645"/>
      <c r="G11645"/>
      <c r="H11645"/>
      <c r="I11645"/>
      <c r="J11645"/>
      <c r="K11645" s="1"/>
      <c r="L11645" s="2"/>
    </row>
    <row r="11646" spans="1:12" x14ac:dyDescent="0.2">
      <c r="A11646"/>
      <c r="B11646"/>
      <c r="C11646"/>
      <c r="D11646"/>
      <c r="E11646"/>
      <c r="F11646"/>
      <c r="G11646"/>
      <c r="H11646"/>
      <c r="I11646"/>
      <c r="J11646"/>
      <c r="K11646" s="1"/>
      <c r="L11646" s="2"/>
    </row>
    <row r="11647" spans="1:12" x14ac:dyDescent="0.2">
      <c r="A11647"/>
      <c r="B11647"/>
      <c r="C11647"/>
      <c r="D11647"/>
      <c r="E11647"/>
      <c r="F11647"/>
      <c r="G11647"/>
      <c r="H11647"/>
      <c r="I11647"/>
      <c r="J11647"/>
      <c r="K11647" s="1"/>
      <c r="L11647" s="2"/>
    </row>
    <row r="11648" spans="1:12" x14ac:dyDescent="0.2">
      <c r="A11648"/>
      <c r="B11648"/>
      <c r="C11648"/>
      <c r="D11648"/>
      <c r="E11648"/>
      <c r="F11648"/>
      <c r="G11648"/>
      <c r="H11648"/>
      <c r="I11648"/>
      <c r="J11648"/>
      <c r="K11648" s="1"/>
      <c r="L11648" s="2"/>
    </row>
    <row r="11649" spans="1:12" x14ac:dyDescent="0.2">
      <c r="A11649"/>
      <c r="B11649"/>
      <c r="C11649"/>
      <c r="D11649"/>
      <c r="E11649"/>
      <c r="F11649"/>
      <c r="G11649"/>
      <c r="H11649"/>
      <c r="I11649"/>
      <c r="J11649"/>
      <c r="K11649" s="1"/>
      <c r="L11649" s="2"/>
    </row>
    <row r="11650" spans="1:12" x14ac:dyDescent="0.2">
      <c r="A11650"/>
      <c r="B11650"/>
      <c r="C11650"/>
      <c r="D11650"/>
      <c r="E11650"/>
      <c r="F11650"/>
      <c r="G11650"/>
      <c r="H11650"/>
      <c r="I11650"/>
      <c r="J11650"/>
      <c r="K11650" s="1"/>
      <c r="L11650" s="2"/>
    </row>
    <row r="11651" spans="1:12" x14ac:dyDescent="0.2">
      <c r="A11651"/>
      <c r="B11651"/>
      <c r="C11651"/>
      <c r="D11651"/>
      <c r="E11651"/>
      <c r="F11651"/>
      <c r="G11651"/>
      <c r="H11651"/>
      <c r="I11651"/>
      <c r="J11651"/>
      <c r="K11651" s="1"/>
      <c r="L11651" s="2"/>
    </row>
    <row r="11652" spans="1:12" x14ac:dyDescent="0.2">
      <c r="A11652"/>
      <c r="B11652"/>
      <c r="C11652"/>
      <c r="D11652"/>
      <c r="E11652"/>
      <c r="F11652"/>
      <c r="G11652"/>
      <c r="H11652"/>
      <c r="I11652"/>
      <c r="J11652"/>
      <c r="K11652" s="1"/>
      <c r="L11652" s="2"/>
    </row>
    <row r="11653" spans="1:12" x14ac:dyDescent="0.2">
      <c r="A11653"/>
      <c r="B11653"/>
      <c r="C11653"/>
      <c r="D11653"/>
      <c r="E11653"/>
      <c r="F11653"/>
      <c r="G11653"/>
      <c r="H11653"/>
      <c r="I11653"/>
      <c r="J11653"/>
      <c r="K11653" s="1"/>
      <c r="L11653" s="2"/>
    </row>
    <row r="11654" spans="1:12" x14ac:dyDescent="0.2">
      <c r="A11654"/>
      <c r="B11654"/>
      <c r="C11654"/>
      <c r="D11654"/>
      <c r="E11654"/>
      <c r="F11654"/>
      <c r="G11654"/>
      <c r="H11654"/>
      <c r="I11654"/>
      <c r="J11654"/>
      <c r="K11654" s="1"/>
      <c r="L11654" s="2"/>
    </row>
    <row r="11655" spans="1:12" x14ac:dyDescent="0.2">
      <c r="A11655"/>
      <c r="B11655"/>
      <c r="C11655"/>
      <c r="D11655"/>
      <c r="E11655"/>
      <c r="F11655"/>
      <c r="G11655"/>
      <c r="H11655"/>
      <c r="I11655"/>
      <c r="J11655"/>
      <c r="K11655" s="1"/>
      <c r="L11655" s="2"/>
    </row>
    <row r="11656" spans="1:12" x14ac:dyDescent="0.2">
      <c r="A11656"/>
      <c r="B11656"/>
      <c r="C11656"/>
      <c r="D11656"/>
      <c r="E11656"/>
      <c r="F11656"/>
      <c r="G11656"/>
      <c r="H11656"/>
      <c r="I11656"/>
      <c r="J11656"/>
      <c r="K11656" s="1"/>
      <c r="L11656" s="2"/>
    </row>
    <row r="11657" spans="1:12" x14ac:dyDescent="0.2">
      <c r="A11657"/>
      <c r="B11657"/>
      <c r="C11657"/>
      <c r="D11657"/>
      <c r="E11657"/>
      <c r="F11657"/>
      <c r="G11657"/>
      <c r="H11657"/>
      <c r="I11657"/>
      <c r="J11657"/>
      <c r="K11657" s="1"/>
      <c r="L11657" s="2"/>
    </row>
    <row r="11658" spans="1:12" x14ac:dyDescent="0.2">
      <c r="A11658"/>
      <c r="B11658"/>
      <c r="C11658"/>
      <c r="D11658"/>
      <c r="E11658"/>
      <c r="F11658"/>
      <c r="G11658"/>
      <c r="H11658"/>
      <c r="I11658"/>
      <c r="J11658"/>
      <c r="K11658" s="1"/>
      <c r="L11658" s="2"/>
    </row>
    <row r="11659" spans="1:12" x14ac:dyDescent="0.2">
      <c r="A11659"/>
      <c r="B11659"/>
      <c r="C11659"/>
      <c r="D11659"/>
      <c r="E11659"/>
      <c r="F11659"/>
      <c r="G11659"/>
      <c r="H11659"/>
      <c r="I11659"/>
      <c r="J11659"/>
      <c r="K11659" s="1"/>
      <c r="L11659" s="2"/>
    </row>
    <row r="11660" spans="1:12" x14ac:dyDescent="0.2">
      <c r="A11660"/>
      <c r="B11660"/>
      <c r="C11660"/>
      <c r="D11660"/>
      <c r="E11660"/>
      <c r="F11660"/>
      <c r="G11660"/>
      <c r="H11660"/>
      <c r="I11660"/>
      <c r="J11660"/>
      <c r="K11660" s="1"/>
      <c r="L11660" s="2"/>
    </row>
    <row r="11661" spans="1:12" x14ac:dyDescent="0.2">
      <c r="A11661"/>
      <c r="B11661"/>
      <c r="C11661"/>
      <c r="D11661"/>
      <c r="E11661"/>
      <c r="F11661"/>
      <c r="G11661"/>
      <c r="H11661"/>
      <c r="I11661"/>
      <c r="J11661"/>
      <c r="K11661" s="1"/>
      <c r="L11661" s="2"/>
    </row>
    <row r="11662" spans="1:12" x14ac:dyDescent="0.2">
      <c r="A11662"/>
      <c r="B11662"/>
      <c r="C11662"/>
      <c r="D11662"/>
      <c r="E11662"/>
      <c r="F11662"/>
      <c r="G11662"/>
      <c r="H11662"/>
      <c r="I11662"/>
      <c r="J11662"/>
      <c r="K11662" s="1"/>
      <c r="L11662" s="2"/>
    </row>
    <row r="11663" spans="1:12" x14ac:dyDescent="0.2">
      <c r="A11663"/>
      <c r="B11663"/>
      <c r="C11663"/>
      <c r="D11663"/>
      <c r="E11663"/>
      <c r="F11663"/>
      <c r="G11663"/>
      <c r="H11663"/>
      <c r="I11663"/>
      <c r="J11663"/>
      <c r="K11663" s="1"/>
      <c r="L11663" s="2"/>
    </row>
    <row r="11664" spans="1:12" x14ac:dyDescent="0.2">
      <c r="A11664"/>
      <c r="B11664"/>
      <c r="C11664"/>
      <c r="D11664"/>
      <c r="E11664"/>
      <c r="F11664"/>
      <c r="G11664"/>
      <c r="H11664"/>
      <c r="I11664"/>
      <c r="J11664"/>
      <c r="K11664" s="1"/>
      <c r="L11664" s="2"/>
    </row>
    <row r="11665" spans="1:12" x14ac:dyDescent="0.2">
      <c r="A11665"/>
      <c r="B11665"/>
      <c r="C11665"/>
      <c r="D11665"/>
      <c r="E11665"/>
      <c r="F11665"/>
      <c r="G11665"/>
      <c r="H11665"/>
      <c r="I11665"/>
      <c r="J11665"/>
      <c r="K11665" s="1"/>
      <c r="L11665" s="2"/>
    </row>
    <row r="11666" spans="1:12" x14ac:dyDescent="0.2">
      <c r="A11666"/>
      <c r="B11666"/>
      <c r="C11666"/>
      <c r="D11666"/>
      <c r="E11666"/>
      <c r="F11666"/>
      <c r="G11666"/>
      <c r="H11666"/>
      <c r="I11666"/>
      <c r="J11666"/>
      <c r="K11666" s="1"/>
      <c r="L11666" s="2"/>
    </row>
    <row r="11667" spans="1:12" x14ac:dyDescent="0.2">
      <c r="A11667"/>
      <c r="B11667"/>
      <c r="C11667"/>
      <c r="D11667"/>
      <c r="E11667"/>
      <c r="F11667"/>
      <c r="G11667"/>
      <c r="H11667"/>
      <c r="I11667"/>
      <c r="J11667"/>
      <c r="K11667" s="1"/>
      <c r="L11667" s="2"/>
    </row>
    <row r="11668" spans="1:12" x14ac:dyDescent="0.2">
      <c r="A11668"/>
      <c r="B11668"/>
      <c r="C11668"/>
      <c r="D11668"/>
      <c r="E11668"/>
      <c r="F11668"/>
      <c r="G11668"/>
      <c r="H11668"/>
      <c r="I11668"/>
      <c r="J11668"/>
      <c r="K11668" s="1"/>
      <c r="L11668" s="2"/>
    </row>
    <row r="11669" spans="1:12" x14ac:dyDescent="0.2">
      <c r="A11669"/>
      <c r="B11669"/>
      <c r="C11669"/>
      <c r="D11669"/>
      <c r="E11669"/>
      <c r="F11669"/>
      <c r="G11669"/>
      <c r="H11669"/>
      <c r="I11669"/>
      <c r="J11669"/>
      <c r="K11669" s="1"/>
      <c r="L11669" s="2"/>
    </row>
    <row r="11670" spans="1:12" x14ac:dyDescent="0.2">
      <c r="A11670"/>
      <c r="B11670"/>
      <c r="C11670"/>
      <c r="D11670"/>
      <c r="E11670"/>
      <c r="F11670"/>
      <c r="G11670"/>
      <c r="H11670"/>
      <c r="I11670"/>
      <c r="J11670"/>
      <c r="K11670" s="1"/>
      <c r="L11670" s="2"/>
    </row>
    <row r="11671" spans="1:12" x14ac:dyDescent="0.2">
      <c r="A11671"/>
      <c r="B11671"/>
      <c r="C11671"/>
      <c r="D11671"/>
      <c r="E11671"/>
      <c r="F11671"/>
      <c r="G11671"/>
      <c r="H11671"/>
      <c r="I11671"/>
      <c r="J11671"/>
      <c r="K11671" s="1"/>
      <c r="L11671" s="2"/>
    </row>
    <row r="11672" spans="1:12" x14ac:dyDescent="0.2">
      <c r="A11672"/>
      <c r="B11672"/>
      <c r="C11672"/>
      <c r="D11672"/>
      <c r="E11672"/>
      <c r="F11672"/>
      <c r="G11672"/>
      <c r="H11672"/>
      <c r="I11672"/>
      <c r="J11672"/>
      <c r="K11672" s="1"/>
      <c r="L11672" s="2"/>
    </row>
    <row r="11673" spans="1:12" x14ac:dyDescent="0.2">
      <c r="A11673"/>
      <c r="B11673"/>
      <c r="C11673"/>
      <c r="D11673"/>
      <c r="E11673"/>
      <c r="F11673"/>
      <c r="G11673"/>
      <c r="H11673"/>
      <c r="I11673"/>
      <c r="J11673"/>
      <c r="K11673" s="1"/>
      <c r="L11673" s="2"/>
    </row>
    <row r="11674" spans="1:12" x14ac:dyDescent="0.2">
      <c r="A11674"/>
      <c r="B11674"/>
      <c r="C11674"/>
      <c r="D11674"/>
      <c r="E11674"/>
      <c r="F11674"/>
      <c r="G11674"/>
      <c r="H11674"/>
      <c r="I11674"/>
      <c r="J11674"/>
      <c r="K11674" s="1"/>
      <c r="L11674" s="2"/>
    </row>
    <row r="11675" spans="1:12" x14ac:dyDescent="0.2">
      <c r="A11675"/>
      <c r="B11675"/>
      <c r="C11675"/>
      <c r="D11675"/>
      <c r="E11675"/>
      <c r="F11675"/>
      <c r="G11675"/>
      <c r="H11675"/>
      <c r="I11675"/>
      <c r="J11675"/>
      <c r="K11675" s="1"/>
      <c r="L11675" s="2"/>
    </row>
    <row r="11676" spans="1:12" x14ac:dyDescent="0.2">
      <c r="A11676"/>
      <c r="B11676"/>
      <c r="C11676"/>
      <c r="D11676"/>
      <c r="E11676"/>
      <c r="F11676"/>
      <c r="G11676"/>
      <c r="H11676"/>
      <c r="I11676"/>
      <c r="J11676"/>
      <c r="K11676" s="1"/>
      <c r="L11676" s="2"/>
    </row>
    <row r="11677" spans="1:12" x14ac:dyDescent="0.2">
      <c r="A11677"/>
      <c r="B11677"/>
      <c r="C11677"/>
      <c r="D11677"/>
      <c r="E11677"/>
      <c r="F11677"/>
      <c r="G11677"/>
      <c r="H11677"/>
      <c r="I11677"/>
      <c r="J11677"/>
      <c r="K11677" s="1"/>
      <c r="L11677" s="2"/>
    </row>
    <row r="11678" spans="1:12" x14ac:dyDescent="0.2">
      <c r="A11678"/>
      <c r="B11678"/>
      <c r="C11678"/>
      <c r="D11678"/>
      <c r="E11678"/>
      <c r="F11678"/>
      <c r="G11678"/>
      <c r="H11678"/>
      <c r="I11678"/>
      <c r="J11678"/>
      <c r="K11678" s="1"/>
      <c r="L11678" s="2"/>
    </row>
    <row r="11679" spans="1:12" x14ac:dyDescent="0.2">
      <c r="A11679"/>
      <c r="B11679"/>
      <c r="C11679"/>
      <c r="D11679"/>
      <c r="E11679"/>
      <c r="F11679"/>
      <c r="G11679"/>
      <c r="H11679"/>
      <c r="I11679"/>
      <c r="J11679"/>
      <c r="K11679" s="1"/>
      <c r="L11679" s="2"/>
    </row>
    <row r="11680" spans="1:12" x14ac:dyDescent="0.2">
      <c r="A11680"/>
      <c r="B11680"/>
      <c r="C11680"/>
      <c r="D11680"/>
      <c r="E11680"/>
      <c r="F11680"/>
      <c r="G11680"/>
      <c r="H11680"/>
      <c r="I11680"/>
      <c r="J11680"/>
      <c r="K11680" s="1"/>
      <c r="L11680" s="2"/>
    </row>
    <row r="11681" spans="1:12" x14ac:dyDescent="0.2">
      <c r="A11681"/>
      <c r="B11681"/>
      <c r="C11681"/>
      <c r="D11681"/>
      <c r="E11681"/>
      <c r="F11681"/>
      <c r="G11681"/>
      <c r="H11681"/>
      <c r="I11681"/>
      <c r="J11681"/>
      <c r="K11681" s="1"/>
      <c r="L11681" s="2"/>
    </row>
    <row r="11682" spans="1:12" x14ac:dyDescent="0.2">
      <c r="A11682"/>
      <c r="B11682"/>
      <c r="C11682"/>
      <c r="D11682"/>
      <c r="E11682"/>
      <c r="F11682"/>
      <c r="G11682"/>
      <c r="H11682"/>
      <c r="I11682"/>
      <c r="J11682"/>
      <c r="K11682" s="1"/>
      <c r="L11682" s="2"/>
    </row>
    <row r="11683" spans="1:12" x14ac:dyDescent="0.2">
      <c r="A11683"/>
      <c r="B11683"/>
      <c r="C11683"/>
      <c r="D11683"/>
      <c r="E11683"/>
      <c r="F11683"/>
      <c r="G11683"/>
      <c r="H11683"/>
      <c r="I11683"/>
      <c r="J11683"/>
      <c r="K11683" s="1"/>
      <c r="L11683" s="2"/>
    </row>
    <row r="11684" spans="1:12" x14ac:dyDescent="0.2">
      <c r="A11684"/>
      <c r="B11684"/>
      <c r="C11684"/>
      <c r="D11684"/>
      <c r="E11684"/>
      <c r="F11684"/>
      <c r="G11684"/>
      <c r="H11684"/>
      <c r="I11684"/>
      <c r="J11684"/>
      <c r="K11684" s="1"/>
      <c r="L11684" s="2"/>
    </row>
    <row r="11685" spans="1:12" x14ac:dyDescent="0.2">
      <c r="A11685"/>
      <c r="B11685"/>
      <c r="C11685"/>
      <c r="D11685"/>
      <c r="E11685"/>
      <c r="F11685"/>
      <c r="G11685"/>
      <c r="H11685"/>
      <c r="I11685"/>
      <c r="J11685"/>
      <c r="K11685" s="1"/>
      <c r="L11685" s="2"/>
    </row>
    <row r="11686" spans="1:12" x14ac:dyDescent="0.2">
      <c r="A11686"/>
      <c r="B11686"/>
      <c r="C11686"/>
      <c r="D11686"/>
      <c r="E11686"/>
      <c r="F11686"/>
      <c r="G11686"/>
      <c r="H11686"/>
      <c r="I11686"/>
      <c r="J11686"/>
      <c r="K11686" s="1"/>
      <c r="L11686" s="2"/>
    </row>
    <row r="11687" spans="1:12" x14ac:dyDescent="0.2">
      <c r="A11687"/>
      <c r="B11687"/>
      <c r="C11687"/>
      <c r="D11687"/>
      <c r="E11687"/>
      <c r="F11687"/>
      <c r="G11687"/>
      <c r="H11687"/>
      <c r="I11687"/>
      <c r="J11687"/>
      <c r="K11687" s="1"/>
      <c r="L11687" s="2"/>
    </row>
    <row r="11688" spans="1:12" x14ac:dyDescent="0.2">
      <c r="A11688"/>
      <c r="B11688"/>
      <c r="C11688"/>
      <c r="D11688"/>
      <c r="E11688"/>
      <c r="F11688"/>
      <c r="G11688"/>
      <c r="H11688"/>
      <c r="I11688"/>
      <c r="J11688"/>
      <c r="K11688" s="1"/>
      <c r="L11688" s="2"/>
    </row>
    <row r="11689" spans="1:12" x14ac:dyDescent="0.2">
      <c r="A11689"/>
      <c r="B11689"/>
      <c r="C11689"/>
      <c r="D11689"/>
      <c r="E11689"/>
      <c r="F11689"/>
      <c r="G11689"/>
      <c r="H11689"/>
      <c r="I11689"/>
      <c r="J11689"/>
      <c r="K11689" s="1"/>
      <c r="L11689" s="2"/>
    </row>
    <row r="11690" spans="1:12" x14ac:dyDescent="0.2">
      <c r="A11690"/>
      <c r="B11690"/>
      <c r="C11690"/>
      <c r="D11690"/>
      <c r="E11690"/>
      <c r="F11690"/>
      <c r="G11690"/>
      <c r="H11690"/>
      <c r="I11690"/>
      <c r="J11690"/>
      <c r="K11690" s="1"/>
      <c r="L11690" s="2"/>
    </row>
    <row r="11691" spans="1:12" x14ac:dyDescent="0.2">
      <c r="A11691"/>
      <c r="B11691"/>
      <c r="C11691"/>
      <c r="D11691"/>
      <c r="E11691"/>
      <c r="F11691"/>
      <c r="G11691"/>
      <c r="H11691"/>
      <c r="I11691"/>
      <c r="J11691"/>
      <c r="K11691" s="1"/>
      <c r="L11691" s="2"/>
    </row>
    <row r="11692" spans="1:12" x14ac:dyDescent="0.2">
      <c r="A11692"/>
      <c r="B11692"/>
      <c r="C11692"/>
      <c r="D11692"/>
      <c r="E11692"/>
      <c r="F11692"/>
      <c r="G11692"/>
      <c r="H11692"/>
      <c r="I11692"/>
      <c r="J11692"/>
      <c r="K11692" s="1"/>
      <c r="L11692" s="2"/>
    </row>
    <row r="11693" spans="1:12" x14ac:dyDescent="0.2">
      <c r="A11693"/>
      <c r="B11693"/>
      <c r="C11693"/>
      <c r="D11693"/>
      <c r="E11693"/>
      <c r="F11693"/>
      <c r="G11693"/>
      <c r="H11693"/>
      <c r="I11693"/>
      <c r="J11693"/>
      <c r="K11693" s="1"/>
      <c r="L11693" s="2"/>
    </row>
    <row r="11694" spans="1:12" x14ac:dyDescent="0.2">
      <c r="A11694"/>
      <c r="B11694"/>
      <c r="C11694"/>
      <c r="D11694"/>
      <c r="E11694"/>
      <c r="F11694"/>
      <c r="G11694"/>
      <c r="H11694"/>
      <c r="I11694"/>
      <c r="J11694"/>
      <c r="K11694" s="1"/>
      <c r="L11694" s="2"/>
    </row>
    <row r="11695" spans="1:12" x14ac:dyDescent="0.2">
      <c r="A11695"/>
      <c r="B11695"/>
      <c r="C11695"/>
      <c r="D11695"/>
      <c r="E11695"/>
      <c r="F11695"/>
      <c r="G11695"/>
      <c r="H11695"/>
      <c r="I11695"/>
      <c r="J11695"/>
      <c r="K11695" s="1"/>
      <c r="L11695" s="2"/>
    </row>
    <row r="11696" spans="1:12" x14ac:dyDescent="0.2">
      <c r="A11696"/>
      <c r="B11696"/>
      <c r="C11696"/>
      <c r="D11696"/>
      <c r="E11696"/>
      <c r="F11696"/>
      <c r="G11696"/>
      <c r="H11696"/>
      <c r="I11696"/>
      <c r="J11696"/>
      <c r="K11696" s="1"/>
      <c r="L11696" s="2"/>
    </row>
    <row r="11697" spans="1:12" x14ac:dyDescent="0.2">
      <c r="A11697"/>
      <c r="B11697"/>
      <c r="C11697"/>
      <c r="D11697"/>
      <c r="E11697"/>
      <c r="F11697"/>
      <c r="G11697"/>
      <c r="H11697"/>
      <c r="I11697"/>
      <c r="J11697"/>
      <c r="K11697" s="1"/>
      <c r="L11697" s="2"/>
    </row>
    <row r="11698" spans="1:12" x14ac:dyDescent="0.2">
      <c r="A11698"/>
      <c r="B11698"/>
      <c r="C11698"/>
      <c r="D11698"/>
      <c r="E11698"/>
      <c r="F11698"/>
      <c r="G11698"/>
      <c r="H11698"/>
      <c r="I11698"/>
      <c r="J11698"/>
      <c r="K11698" s="1"/>
      <c r="L11698" s="2"/>
    </row>
    <row r="11699" spans="1:12" x14ac:dyDescent="0.2">
      <c r="A11699"/>
      <c r="B11699"/>
      <c r="C11699"/>
      <c r="D11699"/>
      <c r="E11699"/>
      <c r="F11699"/>
      <c r="G11699"/>
      <c r="H11699"/>
      <c r="I11699"/>
      <c r="J11699"/>
      <c r="K11699" s="1"/>
      <c r="L11699" s="2"/>
    </row>
    <row r="11700" spans="1:12" x14ac:dyDescent="0.2">
      <c r="A11700"/>
      <c r="B11700"/>
      <c r="C11700"/>
      <c r="D11700"/>
      <c r="E11700"/>
      <c r="F11700"/>
      <c r="G11700"/>
      <c r="H11700"/>
      <c r="I11700"/>
      <c r="J11700"/>
      <c r="K11700" s="1"/>
      <c r="L11700" s="2"/>
    </row>
    <row r="11701" spans="1:12" x14ac:dyDescent="0.2">
      <c r="A11701"/>
      <c r="B11701"/>
      <c r="C11701"/>
      <c r="D11701"/>
      <c r="E11701"/>
      <c r="F11701"/>
      <c r="G11701"/>
      <c r="H11701"/>
      <c r="I11701"/>
      <c r="J11701"/>
      <c r="K11701" s="1"/>
      <c r="L11701" s="2"/>
    </row>
    <row r="11702" spans="1:12" x14ac:dyDescent="0.2">
      <c r="A11702"/>
      <c r="B11702"/>
      <c r="C11702"/>
      <c r="D11702"/>
      <c r="E11702"/>
      <c r="F11702"/>
      <c r="G11702"/>
      <c r="H11702"/>
      <c r="I11702"/>
      <c r="J11702"/>
      <c r="K11702" s="1"/>
      <c r="L11702" s="2"/>
    </row>
    <row r="11703" spans="1:12" x14ac:dyDescent="0.2">
      <c r="A11703"/>
      <c r="B11703"/>
      <c r="C11703"/>
      <c r="D11703"/>
      <c r="E11703"/>
      <c r="F11703"/>
      <c r="G11703"/>
      <c r="H11703"/>
      <c r="I11703"/>
      <c r="J11703"/>
      <c r="K11703" s="1"/>
      <c r="L11703" s="2"/>
    </row>
    <row r="11704" spans="1:12" x14ac:dyDescent="0.2">
      <c r="A11704"/>
      <c r="B11704"/>
      <c r="C11704"/>
      <c r="D11704"/>
      <c r="E11704"/>
      <c r="F11704"/>
      <c r="G11704"/>
      <c r="H11704"/>
      <c r="I11704"/>
      <c r="J11704"/>
      <c r="K11704" s="1"/>
      <c r="L11704" s="2"/>
    </row>
    <row r="11705" spans="1:12" x14ac:dyDescent="0.2">
      <c r="A11705"/>
      <c r="B11705"/>
      <c r="C11705"/>
      <c r="D11705"/>
      <c r="E11705"/>
      <c r="F11705"/>
      <c r="G11705"/>
      <c r="H11705"/>
      <c r="I11705"/>
      <c r="J11705"/>
      <c r="K11705" s="1"/>
      <c r="L11705" s="2"/>
    </row>
    <row r="11706" spans="1:12" x14ac:dyDescent="0.2">
      <c r="A11706"/>
      <c r="B11706"/>
      <c r="C11706"/>
      <c r="D11706"/>
      <c r="E11706"/>
      <c r="F11706"/>
      <c r="G11706"/>
      <c r="H11706"/>
      <c r="I11706"/>
      <c r="J11706"/>
      <c r="K11706" s="1"/>
      <c r="L11706" s="2"/>
    </row>
    <row r="11707" spans="1:12" x14ac:dyDescent="0.2">
      <c r="A11707"/>
      <c r="B11707"/>
      <c r="C11707"/>
      <c r="D11707"/>
      <c r="E11707"/>
      <c r="F11707"/>
      <c r="G11707"/>
      <c r="H11707"/>
      <c r="I11707"/>
      <c r="J11707"/>
      <c r="K11707" s="1"/>
      <c r="L11707" s="2"/>
    </row>
    <row r="11708" spans="1:12" x14ac:dyDescent="0.2">
      <c r="A11708"/>
      <c r="B11708"/>
      <c r="C11708"/>
      <c r="D11708"/>
      <c r="E11708"/>
      <c r="F11708"/>
      <c r="G11708"/>
      <c r="H11708"/>
      <c r="I11708"/>
      <c r="J11708"/>
      <c r="K11708" s="1"/>
      <c r="L11708" s="2"/>
    </row>
    <row r="11709" spans="1:12" x14ac:dyDescent="0.2">
      <c r="A11709"/>
      <c r="B11709"/>
      <c r="C11709"/>
      <c r="D11709"/>
      <c r="E11709"/>
      <c r="F11709"/>
      <c r="G11709"/>
      <c r="H11709"/>
      <c r="I11709"/>
      <c r="J11709"/>
      <c r="K11709" s="1"/>
      <c r="L11709" s="2"/>
    </row>
    <row r="11710" spans="1:12" x14ac:dyDescent="0.2">
      <c r="A11710"/>
      <c r="B11710"/>
      <c r="C11710"/>
      <c r="D11710"/>
      <c r="E11710"/>
      <c r="F11710"/>
      <c r="G11710"/>
      <c r="H11710"/>
      <c r="I11710"/>
      <c r="J11710"/>
      <c r="K11710" s="1"/>
      <c r="L11710" s="2"/>
    </row>
    <row r="11711" spans="1:12" x14ac:dyDescent="0.2">
      <c r="A11711"/>
      <c r="B11711"/>
      <c r="C11711"/>
      <c r="D11711"/>
      <c r="E11711"/>
      <c r="F11711"/>
      <c r="G11711"/>
      <c r="H11711"/>
      <c r="I11711"/>
      <c r="J11711"/>
      <c r="K11711" s="1"/>
      <c r="L11711" s="2"/>
    </row>
    <row r="11712" spans="1:12" x14ac:dyDescent="0.2">
      <c r="A11712"/>
      <c r="B11712"/>
      <c r="C11712"/>
      <c r="D11712"/>
      <c r="E11712"/>
      <c r="F11712"/>
      <c r="G11712"/>
      <c r="H11712"/>
      <c r="I11712"/>
      <c r="J11712"/>
      <c r="K11712" s="1"/>
      <c r="L11712" s="2"/>
    </row>
    <row r="11713" spans="1:12" x14ac:dyDescent="0.2">
      <c r="A11713"/>
      <c r="B11713"/>
      <c r="C11713"/>
      <c r="D11713"/>
      <c r="E11713"/>
      <c r="F11713"/>
      <c r="G11713"/>
      <c r="H11713"/>
      <c r="I11713"/>
      <c r="J11713"/>
      <c r="K11713" s="1"/>
      <c r="L11713" s="2"/>
    </row>
    <row r="11714" spans="1:12" x14ac:dyDescent="0.2">
      <c r="A11714"/>
      <c r="B11714"/>
      <c r="C11714"/>
      <c r="D11714"/>
      <c r="E11714"/>
      <c r="F11714"/>
      <c r="G11714"/>
      <c r="H11714"/>
      <c r="I11714"/>
      <c r="J11714"/>
      <c r="K11714" s="1"/>
      <c r="L11714" s="2"/>
    </row>
    <row r="11715" spans="1:12" x14ac:dyDescent="0.2">
      <c r="A11715"/>
      <c r="B11715"/>
      <c r="C11715"/>
      <c r="D11715"/>
      <c r="E11715"/>
      <c r="F11715"/>
      <c r="G11715"/>
      <c r="H11715"/>
      <c r="I11715"/>
      <c r="J11715"/>
      <c r="K11715" s="1"/>
      <c r="L11715" s="2"/>
    </row>
    <row r="11716" spans="1:12" x14ac:dyDescent="0.2">
      <c r="A11716"/>
      <c r="B11716"/>
      <c r="C11716"/>
      <c r="D11716"/>
      <c r="E11716"/>
      <c r="F11716"/>
      <c r="G11716"/>
      <c r="H11716"/>
      <c r="I11716"/>
      <c r="J11716"/>
      <c r="K11716" s="1"/>
      <c r="L11716" s="2"/>
    </row>
    <row r="11717" spans="1:12" x14ac:dyDescent="0.2">
      <c r="A11717"/>
      <c r="B11717"/>
      <c r="C11717"/>
      <c r="D11717"/>
      <c r="E11717"/>
      <c r="F11717"/>
      <c r="G11717"/>
      <c r="H11717"/>
      <c r="I11717"/>
      <c r="J11717"/>
      <c r="K11717" s="1"/>
      <c r="L11717" s="2"/>
    </row>
    <row r="11718" spans="1:12" x14ac:dyDescent="0.2">
      <c r="A11718"/>
      <c r="B11718"/>
      <c r="C11718"/>
      <c r="D11718"/>
      <c r="E11718"/>
      <c r="F11718"/>
      <c r="G11718"/>
      <c r="H11718"/>
      <c r="I11718"/>
      <c r="J11718"/>
      <c r="K11718" s="1"/>
      <c r="L11718" s="2"/>
    </row>
    <row r="11719" spans="1:12" x14ac:dyDescent="0.2">
      <c r="A11719"/>
      <c r="B11719"/>
      <c r="C11719"/>
      <c r="D11719"/>
      <c r="E11719"/>
      <c r="F11719"/>
      <c r="G11719"/>
      <c r="H11719"/>
      <c r="I11719"/>
      <c r="J11719"/>
      <c r="K11719" s="1"/>
      <c r="L11719" s="2"/>
    </row>
    <row r="11720" spans="1:12" x14ac:dyDescent="0.2">
      <c r="A11720"/>
      <c r="B11720"/>
      <c r="C11720"/>
      <c r="D11720"/>
      <c r="E11720"/>
      <c r="F11720"/>
      <c r="G11720"/>
      <c r="H11720"/>
      <c r="I11720"/>
      <c r="J11720"/>
      <c r="K11720" s="1"/>
      <c r="L11720" s="2"/>
    </row>
    <row r="11721" spans="1:12" x14ac:dyDescent="0.2">
      <c r="A11721"/>
      <c r="B11721"/>
      <c r="C11721"/>
      <c r="D11721"/>
      <c r="E11721"/>
      <c r="F11721"/>
      <c r="G11721"/>
      <c r="H11721"/>
      <c r="I11721"/>
      <c r="J11721"/>
      <c r="K11721" s="1"/>
      <c r="L11721" s="2"/>
    </row>
    <row r="11722" spans="1:12" x14ac:dyDescent="0.2">
      <c r="A11722"/>
      <c r="B11722"/>
      <c r="C11722"/>
      <c r="D11722"/>
      <c r="E11722"/>
      <c r="F11722"/>
      <c r="G11722"/>
      <c r="H11722"/>
      <c r="I11722"/>
      <c r="J11722"/>
      <c r="K11722" s="1"/>
      <c r="L11722" s="2"/>
    </row>
    <row r="11723" spans="1:12" x14ac:dyDescent="0.2">
      <c r="A11723"/>
      <c r="B11723"/>
      <c r="C11723"/>
      <c r="D11723"/>
      <c r="E11723"/>
      <c r="F11723"/>
      <c r="G11723"/>
      <c r="H11723"/>
      <c r="I11723"/>
      <c r="J11723"/>
      <c r="K11723" s="1"/>
      <c r="L11723" s="2"/>
    </row>
    <row r="11724" spans="1:12" x14ac:dyDescent="0.2">
      <c r="A11724"/>
      <c r="B11724"/>
      <c r="C11724"/>
      <c r="D11724"/>
      <c r="E11724"/>
      <c r="F11724"/>
      <c r="G11724"/>
      <c r="H11724"/>
      <c r="I11724"/>
      <c r="J11724"/>
      <c r="K11724" s="1"/>
      <c r="L11724" s="2"/>
    </row>
    <row r="11725" spans="1:12" x14ac:dyDescent="0.2">
      <c r="A11725"/>
      <c r="B11725"/>
      <c r="C11725"/>
      <c r="D11725"/>
      <c r="E11725"/>
      <c r="F11725"/>
      <c r="G11725"/>
      <c r="H11725"/>
      <c r="I11725"/>
      <c r="J11725"/>
      <c r="K11725" s="1"/>
      <c r="L11725" s="2"/>
    </row>
    <row r="11726" spans="1:12" x14ac:dyDescent="0.2">
      <c r="A11726"/>
      <c r="B11726"/>
      <c r="C11726"/>
      <c r="D11726"/>
      <c r="E11726"/>
      <c r="F11726"/>
      <c r="G11726"/>
      <c r="H11726"/>
      <c r="I11726"/>
      <c r="J11726"/>
      <c r="K11726" s="1"/>
      <c r="L11726" s="2"/>
    </row>
    <row r="11727" spans="1:12" x14ac:dyDescent="0.2">
      <c r="A11727"/>
      <c r="B11727"/>
      <c r="C11727"/>
      <c r="D11727"/>
      <c r="E11727"/>
      <c r="F11727"/>
      <c r="G11727"/>
      <c r="H11727"/>
      <c r="I11727"/>
      <c r="J11727"/>
      <c r="K11727" s="1"/>
      <c r="L11727" s="2"/>
    </row>
    <row r="11728" spans="1:12" x14ac:dyDescent="0.2">
      <c r="A11728"/>
      <c r="B11728"/>
      <c r="C11728"/>
      <c r="D11728"/>
      <c r="E11728"/>
      <c r="F11728"/>
      <c r="G11728"/>
      <c r="H11728"/>
      <c r="I11728"/>
      <c r="J11728"/>
      <c r="K11728" s="1"/>
      <c r="L11728" s="2"/>
    </row>
    <row r="11729" spans="1:12" x14ac:dyDescent="0.2">
      <c r="A11729"/>
      <c r="B11729"/>
      <c r="C11729"/>
      <c r="D11729"/>
      <c r="E11729"/>
      <c r="F11729"/>
      <c r="G11729"/>
      <c r="H11729"/>
      <c r="I11729"/>
      <c r="J11729"/>
      <c r="K11729" s="1"/>
      <c r="L11729" s="2"/>
    </row>
    <row r="11730" spans="1:12" x14ac:dyDescent="0.2">
      <c r="A11730"/>
      <c r="B11730"/>
      <c r="C11730"/>
      <c r="D11730"/>
      <c r="E11730"/>
      <c r="F11730"/>
      <c r="G11730"/>
      <c r="H11730"/>
      <c r="I11730"/>
      <c r="J11730"/>
      <c r="K11730" s="1"/>
      <c r="L11730" s="2"/>
    </row>
    <row r="11731" spans="1:12" x14ac:dyDescent="0.2">
      <c r="A11731"/>
      <c r="B11731"/>
      <c r="C11731"/>
      <c r="D11731"/>
      <c r="E11731"/>
      <c r="F11731"/>
      <c r="G11731"/>
      <c r="H11731"/>
      <c r="I11731"/>
      <c r="J11731"/>
      <c r="K11731" s="1"/>
      <c r="L11731" s="2"/>
    </row>
    <row r="11732" spans="1:12" x14ac:dyDescent="0.2">
      <c r="A11732"/>
      <c r="B11732"/>
      <c r="C11732"/>
      <c r="D11732"/>
      <c r="E11732"/>
      <c r="F11732"/>
      <c r="G11732"/>
      <c r="H11732"/>
      <c r="I11732"/>
      <c r="J11732"/>
      <c r="K11732" s="1"/>
      <c r="L11732" s="2"/>
    </row>
    <row r="11733" spans="1:12" x14ac:dyDescent="0.2">
      <c r="A11733"/>
      <c r="B11733"/>
      <c r="C11733"/>
      <c r="D11733"/>
      <c r="E11733"/>
      <c r="F11733"/>
      <c r="G11733"/>
      <c r="H11733"/>
      <c r="I11733"/>
      <c r="J11733"/>
      <c r="K11733" s="1"/>
      <c r="L11733" s="2"/>
    </row>
    <row r="11734" spans="1:12" x14ac:dyDescent="0.2">
      <c r="A11734"/>
      <c r="B11734"/>
      <c r="C11734"/>
      <c r="D11734"/>
      <c r="E11734"/>
      <c r="F11734"/>
      <c r="G11734"/>
      <c r="H11734"/>
      <c r="I11734"/>
      <c r="J11734"/>
      <c r="K11734" s="1"/>
      <c r="L11734" s="2"/>
    </row>
    <row r="11735" spans="1:12" x14ac:dyDescent="0.2">
      <c r="A11735"/>
      <c r="B11735"/>
      <c r="C11735"/>
      <c r="D11735"/>
      <c r="E11735"/>
      <c r="F11735"/>
      <c r="G11735"/>
      <c r="H11735"/>
      <c r="I11735"/>
      <c r="J11735"/>
      <c r="K11735" s="1"/>
      <c r="L11735" s="2"/>
    </row>
    <row r="11736" spans="1:12" x14ac:dyDescent="0.2">
      <c r="A11736"/>
      <c r="B11736"/>
      <c r="C11736"/>
      <c r="D11736"/>
      <c r="E11736"/>
      <c r="F11736"/>
      <c r="G11736"/>
      <c r="H11736"/>
      <c r="I11736"/>
      <c r="J11736"/>
      <c r="K11736" s="1"/>
      <c r="L11736" s="2"/>
    </row>
    <row r="11737" spans="1:12" x14ac:dyDescent="0.2">
      <c r="A11737"/>
      <c r="B11737"/>
      <c r="C11737"/>
      <c r="D11737"/>
      <c r="E11737"/>
      <c r="F11737"/>
      <c r="G11737"/>
      <c r="H11737"/>
      <c r="I11737"/>
      <c r="J11737"/>
      <c r="K11737" s="1"/>
      <c r="L11737" s="2"/>
    </row>
    <row r="11738" spans="1:12" x14ac:dyDescent="0.2">
      <c r="A11738"/>
      <c r="B11738"/>
      <c r="C11738"/>
      <c r="D11738"/>
      <c r="E11738"/>
      <c r="F11738"/>
      <c r="G11738"/>
      <c r="H11738"/>
      <c r="I11738"/>
      <c r="J11738"/>
      <c r="K11738" s="1"/>
      <c r="L11738" s="2"/>
    </row>
    <row r="11739" spans="1:12" x14ac:dyDescent="0.2">
      <c r="A11739"/>
      <c r="B11739"/>
      <c r="C11739"/>
      <c r="D11739"/>
      <c r="E11739"/>
      <c r="F11739"/>
      <c r="G11739"/>
      <c r="H11739"/>
      <c r="I11739"/>
      <c r="J11739"/>
      <c r="K11739" s="1"/>
      <c r="L11739" s="2"/>
    </row>
    <row r="11740" spans="1:12" x14ac:dyDescent="0.2">
      <c r="A11740"/>
      <c r="B11740"/>
      <c r="C11740"/>
      <c r="D11740"/>
      <c r="E11740"/>
      <c r="F11740"/>
      <c r="G11740"/>
      <c r="H11740"/>
      <c r="I11740"/>
      <c r="J11740"/>
      <c r="K11740" s="1"/>
      <c r="L11740" s="2"/>
    </row>
    <row r="11741" spans="1:12" x14ac:dyDescent="0.2">
      <c r="A11741"/>
      <c r="B11741"/>
      <c r="C11741"/>
      <c r="D11741"/>
      <c r="E11741"/>
      <c r="F11741"/>
      <c r="G11741"/>
      <c r="H11741"/>
      <c r="I11741"/>
      <c r="J11741"/>
      <c r="K11741" s="1"/>
      <c r="L11741" s="2"/>
    </row>
    <row r="11742" spans="1:12" x14ac:dyDescent="0.2">
      <c r="A11742"/>
      <c r="B11742"/>
      <c r="C11742"/>
      <c r="D11742"/>
      <c r="E11742"/>
      <c r="F11742"/>
      <c r="G11742"/>
      <c r="H11742"/>
      <c r="I11742"/>
      <c r="J11742"/>
      <c r="K11742" s="1"/>
      <c r="L11742" s="2"/>
    </row>
    <row r="11743" spans="1:12" x14ac:dyDescent="0.2">
      <c r="A11743"/>
      <c r="B11743"/>
      <c r="C11743"/>
      <c r="D11743"/>
      <c r="E11743"/>
      <c r="F11743"/>
      <c r="G11743"/>
      <c r="H11743"/>
      <c r="I11743"/>
      <c r="J11743"/>
      <c r="K11743" s="1"/>
      <c r="L11743" s="2"/>
    </row>
    <row r="11744" spans="1:12" x14ac:dyDescent="0.2">
      <c r="A11744"/>
      <c r="B11744"/>
      <c r="C11744"/>
      <c r="D11744"/>
      <c r="E11744"/>
      <c r="F11744"/>
      <c r="G11744"/>
      <c r="H11744"/>
      <c r="I11744"/>
      <c r="J11744"/>
      <c r="K11744" s="1"/>
      <c r="L11744" s="2"/>
    </row>
    <row r="11745" spans="1:12" x14ac:dyDescent="0.2">
      <c r="A11745"/>
      <c r="B11745"/>
      <c r="C11745"/>
      <c r="D11745"/>
      <c r="E11745"/>
      <c r="F11745"/>
      <c r="G11745"/>
      <c r="H11745"/>
      <c r="I11745"/>
      <c r="J11745"/>
      <c r="K11745" s="1"/>
      <c r="L11745" s="2"/>
    </row>
    <row r="11746" spans="1:12" x14ac:dyDescent="0.2">
      <c r="A11746"/>
      <c r="B11746"/>
      <c r="C11746"/>
      <c r="D11746"/>
      <c r="E11746"/>
      <c r="F11746"/>
      <c r="G11746"/>
      <c r="H11746"/>
      <c r="I11746"/>
      <c r="J11746"/>
      <c r="K11746" s="1"/>
      <c r="L11746" s="2"/>
    </row>
    <row r="11747" spans="1:12" x14ac:dyDescent="0.2">
      <c r="A11747"/>
      <c r="B11747"/>
      <c r="C11747"/>
      <c r="D11747"/>
      <c r="E11747"/>
      <c r="F11747"/>
      <c r="G11747"/>
      <c r="H11747"/>
      <c r="I11747"/>
      <c r="J11747"/>
      <c r="K11747" s="1"/>
      <c r="L11747" s="2"/>
    </row>
    <row r="11748" spans="1:12" x14ac:dyDescent="0.2">
      <c r="A11748"/>
      <c r="B11748"/>
      <c r="C11748"/>
      <c r="D11748"/>
      <c r="E11748"/>
      <c r="F11748"/>
      <c r="G11748"/>
      <c r="H11748"/>
      <c r="I11748"/>
      <c r="J11748"/>
      <c r="K11748" s="1"/>
      <c r="L11748" s="2"/>
    </row>
    <row r="11749" spans="1:12" x14ac:dyDescent="0.2">
      <c r="A11749"/>
      <c r="B11749"/>
      <c r="C11749"/>
      <c r="D11749"/>
      <c r="E11749"/>
      <c r="F11749"/>
      <c r="G11749"/>
      <c r="H11749"/>
      <c r="I11749"/>
      <c r="J11749"/>
      <c r="K11749" s="1"/>
      <c r="L11749" s="2"/>
    </row>
    <row r="11750" spans="1:12" x14ac:dyDescent="0.2">
      <c r="A11750"/>
      <c r="B11750"/>
      <c r="C11750"/>
      <c r="D11750"/>
      <c r="E11750"/>
      <c r="F11750"/>
      <c r="G11750"/>
      <c r="H11750"/>
      <c r="I11750"/>
      <c r="J11750"/>
      <c r="K11750" s="1"/>
      <c r="L11750" s="2"/>
    </row>
    <row r="11751" spans="1:12" x14ac:dyDescent="0.2">
      <c r="A11751"/>
      <c r="B11751"/>
      <c r="C11751"/>
      <c r="D11751"/>
      <c r="E11751"/>
      <c r="F11751"/>
      <c r="G11751"/>
      <c r="H11751"/>
      <c r="I11751"/>
      <c r="J11751"/>
      <c r="K11751" s="1"/>
      <c r="L11751" s="2"/>
    </row>
    <row r="11752" spans="1:12" x14ac:dyDescent="0.2">
      <c r="A11752"/>
      <c r="B11752"/>
      <c r="C11752"/>
      <c r="D11752"/>
      <c r="E11752"/>
      <c r="F11752"/>
      <c r="G11752"/>
      <c r="H11752"/>
      <c r="I11752"/>
      <c r="J11752"/>
      <c r="K11752" s="1"/>
      <c r="L11752" s="2"/>
    </row>
    <row r="11753" spans="1:12" x14ac:dyDescent="0.2">
      <c r="A11753"/>
      <c r="B11753"/>
      <c r="C11753"/>
      <c r="D11753"/>
      <c r="E11753"/>
      <c r="F11753"/>
      <c r="G11753"/>
      <c r="H11753"/>
      <c r="I11753"/>
      <c r="J11753"/>
      <c r="K11753" s="1"/>
      <c r="L11753" s="2"/>
    </row>
    <row r="11754" spans="1:12" x14ac:dyDescent="0.2">
      <c r="A11754"/>
      <c r="B11754"/>
      <c r="C11754"/>
      <c r="D11754"/>
      <c r="E11754"/>
      <c r="F11754"/>
      <c r="G11754"/>
      <c r="H11754"/>
      <c r="I11754"/>
      <c r="J11754"/>
      <c r="K11754" s="1"/>
      <c r="L11754" s="2"/>
    </row>
    <row r="11755" spans="1:12" x14ac:dyDescent="0.2">
      <c r="A11755"/>
      <c r="B11755"/>
      <c r="C11755"/>
      <c r="D11755"/>
      <c r="E11755"/>
      <c r="F11755"/>
      <c r="G11755"/>
      <c r="H11755"/>
      <c r="I11755"/>
      <c r="J11755"/>
      <c r="K11755" s="1"/>
      <c r="L11755" s="2"/>
    </row>
    <row r="11756" spans="1:12" x14ac:dyDescent="0.2">
      <c r="A11756"/>
      <c r="B11756"/>
      <c r="C11756"/>
      <c r="D11756"/>
      <c r="E11756"/>
      <c r="F11756"/>
      <c r="G11756"/>
      <c r="H11756"/>
      <c r="I11756"/>
      <c r="J11756"/>
      <c r="K11756" s="1"/>
      <c r="L11756" s="2"/>
    </row>
    <row r="11757" spans="1:12" x14ac:dyDescent="0.2">
      <c r="A11757"/>
      <c r="B11757"/>
      <c r="C11757"/>
      <c r="D11757"/>
      <c r="E11757"/>
      <c r="F11757"/>
      <c r="G11757"/>
      <c r="H11757"/>
      <c r="I11757"/>
      <c r="J11757"/>
      <c r="K11757" s="1"/>
      <c r="L11757" s="2"/>
    </row>
    <row r="11758" spans="1:12" x14ac:dyDescent="0.2">
      <c r="A11758"/>
      <c r="B11758"/>
      <c r="C11758"/>
      <c r="D11758"/>
      <c r="E11758"/>
      <c r="F11758"/>
      <c r="G11758"/>
      <c r="H11758"/>
      <c r="I11758"/>
      <c r="J11758"/>
      <c r="K11758" s="1"/>
      <c r="L11758" s="2"/>
    </row>
    <row r="11759" spans="1:12" x14ac:dyDescent="0.2">
      <c r="A11759"/>
      <c r="B11759"/>
      <c r="C11759"/>
      <c r="D11759"/>
      <c r="E11759"/>
      <c r="F11759"/>
      <c r="G11759"/>
      <c r="H11759"/>
      <c r="I11759"/>
      <c r="J11759"/>
      <c r="K11759" s="1"/>
      <c r="L11759" s="2"/>
    </row>
    <row r="11760" spans="1:12" x14ac:dyDescent="0.2">
      <c r="A11760"/>
      <c r="B11760"/>
      <c r="C11760"/>
      <c r="D11760"/>
      <c r="E11760"/>
      <c r="F11760"/>
      <c r="G11760"/>
      <c r="H11760"/>
      <c r="I11760"/>
      <c r="J11760"/>
      <c r="K11760" s="1"/>
      <c r="L11760" s="2"/>
    </row>
    <row r="11761" spans="1:12" x14ac:dyDescent="0.2">
      <c r="A11761"/>
      <c r="B11761"/>
      <c r="C11761"/>
      <c r="D11761"/>
      <c r="E11761"/>
      <c r="F11761"/>
      <c r="G11761"/>
      <c r="H11761"/>
      <c r="I11761"/>
      <c r="J11761"/>
      <c r="K11761" s="1"/>
      <c r="L11761" s="2"/>
    </row>
    <row r="11762" spans="1:12" x14ac:dyDescent="0.2">
      <c r="A11762"/>
      <c r="B11762"/>
      <c r="C11762"/>
      <c r="D11762"/>
      <c r="E11762"/>
      <c r="F11762"/>
      <c r="G11762"/>
      <c r="H11762"/>
      <c r="I11762"/>
      <c r="J11762"/>
      <c r="K11762" s="1"/>
      <c r="L11762" s="2"/>
    </row>
    <row r="11763" spans="1:12" x14ac:dyDescent="0.2">
      <c r="A11763"/>
      <c r="B11763"/>
      <c r="C11763"/>
      <c r="D11763"/>
      <c r="E11763"/>
      <c r="F11763"/>
      <c r="G11763"/>
      <c r="H11763"/>
      <c r="I11763"/>
      <c r="J11763"/>
      <c r="K11763" s="1"/>
      <c r="L11763" s="2"/>
    </row>
    <row r="11764" spans="1:12" x14ac:dyDescent="0.2">
      <c r="A11764"/>
      <c r="B11764"/>
      <c r="C11764"/>
      <c r="D11764"/>
      <c r="E11764"/>
      <c r="F11764"/>
      <c r="G11764"/>
      <c r="H11764"/>
      <c r="I11764"/>
      <c r="J11764"/>
      <c r="K11764" s="1"/>
      <c r="L11764" s="2"/>
    </row>
    <row r="11765" spans="1:12" x14ac:dyDescent="0.2">
      <c r="A11765"/>
      <c r="B11765"/>
      <c r="C11765"/>
      <c r="D11765"/>
      <c r="E11765"/>
      <c r="F11765"/>
      <c r="G11765"/>
      <c r="H11765"/>
      <c r="I11765"/>
      <c r="J11765"/>
      <c r="K11765" s="1"/>
      <c r="L11765" s="2"/>
    </row>
    <row r="11766" spans="1:12" x14ac:dyDescent="0.2">
      <c r="A11766"/>
      <c r="B11766"/>
      <c r="C11766"/>
      <c r="D11766"/>
      <c r="E11766"/>
      <c r="F11766"/>
      <c r="G11766"/>
      <c r="H11766"/>
      <c r="I11766"/>
      <c r="J11766"/>
      <c r="K11766" s="1"/>
      <c r="L11766" s="2"/>
    </row>
    <row r="11767" spans="1:12" x14ac:dyDescent="0.2">
      <c r="A11767"/>
      <c r="B11767"/>
      <c r="C11767"/>
      <c r="D11767"/>
      <c r="E11767"/>
      <c r="F11767"/>
      <c r="G11767"/>
      <c r="H11767"/>
      <c r="I11767"/>
      <c r="J11767"/>
      <c r="K11767" s="1"/>
      <c r="L11767" s="2"/>
    </row>
    <row r="11768" spans="1:12" x14ac:dyDescent="0.2">
      <c r="A11768"/>
      <c r="B11768"/>
      <c r="C11768"/>
      <c r="D11768"/>
      <c r="E11768"/>
      <c r="F11768"/>
      <c r="G11768"/>
      <c r="H11768"/>
      <c r="I11768"/>
      <c r="J11768"/>
      <c r="K11768" s="1"/>
      <c r="L11768" s="2"/>
    </row>
    <row r="11769" spans="1:12" x14ac:dyDescent="0.2">
      <c r="A11769"/>
      <c r="B11769"/>
      <c r="C11769"/>
      <c r="D11769"/>
      <c r="E11769"/>
      <c r="F11769"/>
      <c r="G11769"/>
      <c r="H11769"/>
      <c r="I11769"/>
      <c r="J11769"/>
      <c r="K11769" s="1"/>
      <c r="L11769" s="2"/>
    </row>
    <row r="11770" spans="1:12" x14ac:dyDescent="0.2">
      <c r="A11770"/>
      <c r="B11770"/>
      <c r="C11770"/>
      <c r="D11770"/>
      <c r="E11770"/>
      <c r="F11770"/>
      <c r="G11770"/>
      <c r="H11770"/>
      <c r="I11770"/>
      <c r="J11770"/>
      <c r="K11770" s="1"/>
      <c r="L11770" s="2"/>
    </row>
    <row r="11771" spans="1:12" x14ac:dyDescent="0.2">
      <c r="A11771"/>
      <c r="B11771"/>
      <c r="C11771"/>
      <c r="D11771"/>
      <c r="E11771"/>
      <c r="F11771"/>
      <c r="G11771"/>
      <c r="H11771"/>
      <c r="I11771"/>
      <c r="J11771"/>
      <c r="K11771" s="1"/>
      <c r="L11771" s="2"/>
    </row>
    <row r="11772" spans="1:12" x14ac:dyDescent="0.2">
      <c r="A11772"/>
      <c r="B11772"/>
      <c r="C11772"/>
      <c r="D11772"/>
      <c r="E11772"/>
      <c r="F11772"/>
      <c r="G11772"/>
      <c r="H11772"/>
      <c r="I11772"/>
      <c r="J11772"/>
      <c r="K11772" s="1"/>
      <c r="L11772" s="2"/>
    </row>
    <row r="11773" spans="1:12" x14ac:dyDescent="0.2">
      <c r="A11773"/>
      <c r="B11773"/>
      <c r="C11773"/>
      <c r="D11773"/>
      <c r="E11773"/>
      <c r="F11773"/>
      <c r="G11773"/>
      <c r="H11773"/>
      <c r="I11773"/>
      <c r="J11773"/>
      <c r="K11773" s="1"/>
      <c r="L11773" s="2"/>
    </row>
    <row r="11774" spans="1:12" x14ac:dyDescent="0.2">
      <c r="A11774"/>
      <c r="B11774"/>
      <c r="C11774"/>
      <c r="D11774"/>
      <c r="E11774"/>
      <c r="F11774"/>
      <c r="G11774"/>
      <c r="H11774"/>
      <c r="I11774"/>
      <c r="J11774"/>
      <c r="K11774" s="1"/>
      <c r="L11774" s="2"/>
    </row>
    <row r="11775" spans="1:12" x14ac:dyDescent="0.2">
      <c r="A11775"/>
      <c r="B11775"/>
      <c r="C11775"/>
      <c r="D11775"/>
      <c r="E11775"/>
      <c r="F11775"/>
      <c r="G11775"/>
      <c r="H11775"/>
      <c r="I11775"/>
      <c r="J11775"/>
      <c r="K11775" s="1"/>
      <c r="L11775" s="2"/>
    </row>
    <row r="11776" spans="1:12" x14ac:dyDescent="0.2">
      <c r="A11776"/>
      <c r="B11776"/>
      <c r="C11776"/>
      <c r="D11776"/>
      <c r="E11776"/>
      <c r="F11776"/>
      <c r="G11776"/>
      <c r="H11776"/>
      <c r="I11776"/>
      <c r="J11776"/>
      <c r="K11776" s="1"/>
      <c r="L11776" s="2"/>
    </row>
    <row r="11777" spans="1:12" x14ac:dyDescent="0.2">
      <c r="A11777"/>
      <c r="B11777"/>
      <c r="C11777"/>
      <c r="D11777"/>
      <c r="E11777"/>
      <c r="F11777"/>
      <c r="G11777"/>
      <c r="H11777"/>
      <c r="I11777"/>
      <c r="J11777"/>
      <c r="K11777" s="1"/>
      <c r="L11777" s="2"/>
    </row>
    <row r="11778" spans="1:12" x14ac:dyDescent="0.2">
      <c r="A11778"/>
      <c r="B11778"/>
      <c r="C11778"/>
      <c r="D11778"/>
      <c r="E11778"/>
      <c r="F11778"/>
      <c r="G11778"/>
      <c r="H11778"/>
      <c r="I11778"/>
      <c r="J11778"/>
      <c r="K11778" s="1"/>
      <c r="L11778" s="2"/>
    </row>
    <row r="11779" spans="1:12" x14ac:dyDescent="0.2">
      <c r="A11779"/>
      <c r="B11779"/>
      <c r="C11779"/>
      <c r="D11779"/>
      <c r="E11779"/>
      <c r="F11779"/>
      <c r="G11779"/>
      <c r="H11779"/>
      <c r="I11779"/>
      <c r="J11779"/>
      <c r="K11779" s="1"/>
      <c r="L11779" s="2"/>
    </row>
    <row r="11780" spans="1:12" x14ac:dyDescent="0.2">
      <c r="A11780"/>
      <c r="B11780"/>
      <c r="C11780"/>
      <c r="D11780"/>
      <c r="E11780"/>
      <c r="F11780"/>
      <c r="G11780"/>
      <c r="H11780"/>
      <c r="I11780"/>
      <c r="J11780"/>
      <c r="K11780" s="1"/>
      <c r="L11780" s="2"/>
    </row>
    <row r="11781" spans="1:12" x14ac:dyDescent="0.2">
      <c r="A11781"/>
      <c r="B11781"/>
      <c r="C11781"/>
      <c r="D11781"/>
      <c r="E11781"/>
      <c r="F11781"/>
      <c r="G11781"/>
      <c r="H11781"/>
      <c r="I11781"/>
      <c r="J11781"/>
      <c r="K11781" s="1"/>
      <c r="L11781" s="2"/>
    </row>
    <row r="11782" spans="1:12" x14ac:dyDescent="0.2">
      <c r="A11782"/>
      <c r="B11782"/>
      <c r="C11782"/>
      <c r="D11782"/>
      <c r="E11782"/>
      <c r="F11782"/>
      <c r="G11782"/>
      <c r="H11782"/>
      <c r="I11782"/>
      <c r="J11782"/>
      <c r="K11782" s="1"/>
      <c r="L11782" s="2"/>
    </row>
    <row r="11783" spans="1:12" x14ac:dyDescent="0.2">
      <c r="A11783"/>
      <c r="B11783"/>
      <c r="C11783"/>
      <c r="D11783"/>
      <c r="E11783"/>
      <c r="F11783"/>
      <c r="G11783"/>
      <c r="H11783"/>
      <c r="I11783"/>
      <c r="J11783"/>
      <c r="K11783" s="1"/>
      <c r="L11783" s="2"/>
    </row>
    <row r="11784" spans="1:12" x14ac:dyDescent="0.2">
      <c r="A11784"/>
      <c r="B11784"/>
      <c r="C11784"/>
      <c r="D11784"/>
      <c r="E11784"/>
      <c r="F11784"/>
      <c r="G11784"/>
      <c r="H11784"/>
      <c r="I11784"/>
      <c r="J11784"/>
      <c r="K11784" s="1"/>
      <c r="L11784" s="2"/>
    </row>
    <row r="11785" spans="1:12" x14ac:dyDescent="0.2">
      <c r="A11785"/>
      <c r="B11785"/>
      <c r="C11785"/>
      <c r="D11785"/>
      <c r="E11785"/>
      <c r="F11785"/>
      <c r="G11785"/>
      <c r="H11785"/>
      <c r="I11785"/>
      <c r="J11785"/>
      <c r="K11785" s="1"/>
      <c r="L11785" s="2"/>
    </row>
    <row r="11786" spans="1:12" x14ac:dyDescent="0.2">
      <c r="A11786"/>
      <c r="B11786"/>
      <c r="C11786"/>
      <c r="D11786"/>
      <c r="E11786"/>
      <c r="F11786"/>
      <c r="G11786"/>
      <c r="H11786"/>
      <c r="I11786"/>
      <c r="J11786"/>
      <c r="K11786" s="1"/>
      <c r="L11786" s="2"/>
    </row>
    <row r="11787" spans="1:12" x14ac:dyDescent="0.2">
      <c r="A11787"/>
      <c r="B11787"/>
      <c r="C11787"/>
      <c r="D11787"/>
      <c r="E11787"/>
      <c r="F11787"/>
      <c r="G11787"/>
      <c r="H11787"/>
      <c r="I11787"/>
      <c r="J11787"/>
      <c r="K11787" s="1"/>
      <c r="L11787" s="2"/>
    </row>
    <row r="11788" spans="1:12" x14ac:dyDescent="0.2">
      <c r="A11788"/>
      <c r="B11788"/>
      <c r="C11788"/>
      <c r="D11788"/>
      <c r="E11788"/>
      <c r="F11788"/>
      <c r="G11788"/>
      <c r="H11788"/>
      <c r="I11788"/>
      <c r="J11788"/>
      <c r="K11788" s="1"/>
      <c r="L11788" s="2"/>
    </row>
    <row r="11789" spans="1:12" x14ac:dyDescent="0.2">
      <c r="A11789"/>
      <c r="B11789"/>
      <c r="C11789"/>
      <c r="D11789"/>
      <c r="E11789"/>
      <c r="F11789"/>
      <c r="G11789"/>
      <c r="H11789"/>
      <c r="I11789"/>
      <c r="J11789"/>
      <c r="K11789" s="1"/>
      <c r="L11789" s="2"/>
    </row>
    <row r="11790" spans="1:12" x14ac:dyDescent="0.2">
      <c r="A11790"/>
      <c r="B11790"/>
      <c r="C11790"/>
      <c r="D11790"/>
      <c r="E11790"/>
      <c r="F11790"/>
      <c r="G11790"/>
      <c r="H11790"/>
      <c r="I11790"/>
      <c r="J11790"/>
      <c r="K11790" s="1"/>
      <c r="L11790" s="2"/>
    </row>
    <row r="11791" spans="1:12" x14ac:dyDescent="0.2">
      <c r="A11791"/>
      <c r="B11791"/>
      <c r="C11791"/>
      <c r="D11791"/>
      <c r="E11791"/>
      <c r="F11791"/>
      <c r="G11791"/>
      <c r="H11791"/>
      <c r="I11791"/>
      <c r="J11791"/>
      <c r="K11791" s="1"/>
      <c r="L11791" s="2"/>
    </row>
    <row r="11792" spans="1:12" x14ac:dyDescent="0.2">
      <c r="A11792"/>
      <c r="B11792"/>
      <c r="C11792"/>
      <c r="D11792"/>
      <c r="E11792"/>
      <c r="F11792"/>
      <c r="G11792"/>
      <c r="H11792"/>
      <c r="I11792"/>
      <c r="J11792"/>
      <c r="K11792" s="1"/>
      <c r="L11792" s="2"/>
    </row>
    <row r="11793" spans="1:12" x14ac:dyDescent="0.2">
      <c r="A11793"/>
      <c r="B11793"/>
      <c r="C11793"/>
      <c r="D11793"/>
      <c r="E11793"/>
      <c r="F11793"/>
      <c r="G11793"/>
      <c r="H11793"/>
      <c r="I11793"/>
      <c r="J11793"/>
      <c r="K11793" s="1"/>
      <c r="L11793" s="2"/>
    </row>
    <row r="11794" spans="1:12" x14ac:dyDescent="0.2">
      <c r="A11794"/>
      <c r="B11794"/>
      <c r="C11794"/>
      <c r="D11794"/>
      <c r="E11794"/>
      <c r="F11794"/>
      <c r="G11794"/>
      <c r="H11794"/>
      <c r="I11794"/>
      <c r="J11794"/>
      <c r="K11794" s="1"/>
      <c r="L11794" s="2"/>
    </row>
    <row r="11795" spans="1:12" x14ac:dyDescent="0.2">
      <c r="A11795"/>
      <c r="B11795"/>
      <c r="C11795"/>
      <c r="D11795"/>
      <c r="E11795"/>
      <c r="F11795"/>
      <c r="G11795"/>
      <c r="H11795"/>
      <c r="I11795"/>
      <c r="J11795"/>
      <c r="K11795" s="1"/>
      <c r="L11795" s="2"/>
    </row>
    <row r="11796" spans="1:12" x14ac:dyDescent="0.2">
      <c r="A11796"/>
      <c r="B11796"/>
      <c r="C11796"/>
      <c r="D11796"/>
      <c r="E11796"/>
      <c r="F11796"/>
      <c r="G11796"/>
      <c r="H11796"/>
      <c r="I11796"/>
      <c r="J11796"/>
      <c r="K11796" s="1"/>
      <c r="L11796" s="2"/>
    </row>
    <row r="11797" spans="1:12" x14ac:dyDescent="0.2">
      <c r="A11797"/>
      <c r="B11797"/>
      <c r="C11797"/>
      <c r="D11797"/>
      <c r="E11797"/>
      <c r="F11797"/>
      <c r="G11797"/>
      <c r="H11797"/>
      <c r="I11797"/>
      <c r="J11797"/>
      <c r="K11797" s="1"/>
      <c r="L11797" s="2"/>
    </row>
    <row r="11798" spans="1:12" x14ac:dyDescent="0.2">
      <c r="A11798"/>
      <c r="B11798"/>
      <c r="C11798"/>
      <c r="D11798"/>
      <c r="E11798"/>
      <c r="F11798"/>
      <c r="G11798"/>
      <c r="H11798"/>
      <c r="I11798"/>
      <c r="J11798"/>
      <c r="K11798" s="1"/>
      <c r="L11798" s="2"/>
    </row>
    <row r="11799" spans="1:12" x14ac:dyDescent="0.2">
      <c r="A11799"/>
      <c r="B11799"/>
      <c r="C11799"/>
      <c r="D11799"/>
      <c r="E11799"/>
      <c r="F11799"/>
      <c r="G11799"/>
      <c r="H11799"/>
      <c r="I11799"/>
      <c r="J11799"/>
      <c r="K11799" s="1"/>
      <c r="L11799" s="2"/>
    </row>
    <row r="11800" spans="1:12" x14ac:dyDescent="0.2">
      <c r="A11800"/>
      <c r="B11800"/>
      <c r="C11800"/>
      <c r="D11800"/>
      <c r="E11800"/>
      <c r="F11800"/>
      <c r="G11800"/>
      <c r="H11800"/>
      <c r="I11800"/>
      <c r="J11800"/>
      <c r="K11800" s="1"/>
      <c r="L11800" s="2"/>
    </row>
    <row r="11801" spans="1:12" x14ac:dyDescent="0.2">
      <c r="A11801"/>
      <c r="B11801"/>
      <c r="C11801"/>
      <c r="D11801"/>
      <c r="E11801"/>
      <c r="F11801"/>
      <c r="G11801"/>
      <c r="H11801"/>
      <c r="I11801"/>
      <c r="J11801"/>
      <c r="K11801" s="1"/>
      <c r="L11801" s="2"/>
    </row>
    <row r="11802" spans="1:12" x14ac:dyDescent="0.2">
      <c r="A11802"/>
      <c r="B11802"/>
      <c r="C11802"/>
      <c r="D11802"/>
      <c r="E11802"/>
      <c r="F11802"/>
      <c r="G11802"/>
      <c r="H11802"/>
      <c r="I11802"/>
      <c r="J11802"/>
      <c r="K11802" s="1"/>
      <c r="L11802" s="2"/>
    </row>
    <row r="11803" spans="1:12" x14ac:dyDescent="0.2">
      <c r="A11803"/>
      <c r="B11803"/>
      <c r="C11803"/>
      <c r="D11803"/>
      <c r="E11803"/>
      <c r="F11803"/>
      <c r="G11803"/>
      <c r="H11803"/>
      <c r="I11803"/>
      <c r="J11803"/>
      <c r="K11803" s="1"/>
      <c r="L11803" s="2"/>
    </row>
    <row r="11804" spans="1:12" x14ac:dyDescent="0.2">
      <c r="A11804"/>
      <c r="B11804"/>
      <c r="C11804"/>
      <c r="D11804"/>
      <c r="E11804"/>
      <c r="F11804"/>
      <c r="G11804"/>
      <c r="H11804"/>
      <c r="I11804"/>
      <c r="J11804"/>
      <c r="K11804" s="1"/>
      <c r="L11804" s="2"/>
    </row>
    <row r="11805" spans="1:12" x14ac:dyDescent="0.2">
      <c r="A11805"/>
      <c r="B11805"/>
      <c r="C11805"/>
      <c r="D11805"/>
      <c r="E11805"/>
      <c r="F11805"/>
      <c r="G11805"/>
      <c r="H11805"/>
      <c r="I11805"/>
      <c r="J11805"/>
      <c r="K11805" s="1"/>
      <c r="L11805" s="2"/>
    </row>
    <row r="11806" spans="1:12" x14ac:dyDescent="0.2">
      <c r="A11806"/>
      <c r="B11806"/>
      <c r="C11806"/>
      <c r="D11806"/>
      <c r="E11806"/>
      <c r="F11806"/>
      <c r="G11806"/>
      <c r="H11806"/>
      <c r="I11806"/>
      <c r="J11806"/>
      <c r="K11806" s="1"/>
      <c r="L11806" s="2"/>
    </row>
    <row r="11807" spans="1:12" x14ac:dyDescent="0.2">
      <c r="A11807"/>
      <c r="B11807"/>
      <c r="C11807"/>
      <c r="D11807"/>
      <c r="E11807"/>
      <c r="F11807"/>
      <c r="G11807"/>
      <c r="H11807"/>
      <c r="I11807"/>
      <c r="J11807"/>
      <c r="K11807" s="1"/>
      <c r="L11807" s="2"/>
    </row>
    <row r="11808" spans="1:12" x14ac:dyDescent="0.2">
      <c r="A11808"/>
      <c r="B11808"/>
      <c r="C11808"/>
      <c r="D11808"/>
      <c r="E11808"/>
      <c r="F11808"/>
      <c r="G11808"/>
      <c r="H11808"/>
      <c r="I11808"/>
      <c r="J11808"/>
      <c r="K11808" s="1"/>
      <c r="L11808" s="2"/>
    </row>
    <row r="11809" spans="1:12" x14ac:dyDescent="0.2">
      <c r="A11809"/>
      <c r="B11809"/>
      <c r="C11809"/>
      <c r="D11809"/>
      <c r="E11809"/>
      <c r="F11809"/>
      <c r="G11809"/>
      <c r="H11809"/>
      <c r="I11809"/>
      <c r="J11809"/>
      <c r="K11809" s="1"/>
      <c r="L11809" s="2"/>
    </row>
    <row r="11810" spans="1:12" x14ac:dyDescent="0.2">
      <c r="A11810"/>
      <c r="B11810"/>
      <c r="C11810"/>
      <c r="D11810"/>
      <c r="E11810"/>
      <c r="F11810"/>
      <c r="G11810"/>
      <c r="H11810"/>
      <c r="I11810"/>
      <c r="J11810"/>
      <c r="K11810" s="1"/>
      <c r="L11810" s="2"/>
    </row>
    <row r="11811" spans="1:12" x14ac:dyDescent="0.2">
      <c r="A11811"/>
      <c r="B11811"/>
      <c r="C11811"/>
      <c r="D11811"/>
      <c r="E11811"/>
      <c r="F11811"/>
      <c r="G11811"/>
      <c r="H11811"/>
      <c r="I11811"/>
      <c r="J11811"/>
      <c r="K11811" s="1"/>
      <c r="L11811" s="2"/>
    </row>
    <row r="11812" spans="1:12" x14ac:dyDescent="0.2">
      <c r="A11812"/>
      <c r="B11812"/>
      <c r="C11812"/>
      <c r="D11812"/>
      <c r="E11812"/>
      <c r="F11812"/>
      <c r="G11812"/>
      <c r="H11812"/>
      <c r="I11812"/>
      <c r="J11812"/>
      <c r="K11812" s="1"/>
      <c r="L11812" s="2"/>
    </row>
    <row r="11813" spans="1:12" x14ac:dyDescent="0.2">
      <c r="A11813"/>
      <c r="B11813"/>
      <c r="C11813"/>
      <c r="D11813"/>
      <c r="E11813"/>
      <c r="F11813"/>
      <c r="G11813"/>
      <c r="H11813"/>
      <c r="I11813"/>
      <c r="J11813"/>
      <c r="K11813" s="1"/>
      <c r="L11813" s="2"/>
    </row>
    <row r="11814" spans="1:12" x14ac:dyDescent="0.2">
      <c r="A11814"/>
      <c r="B11814"/>
      <c r="C11814"/>
      <c r="D11814"/>
      <c r="E11814"/>
      <c r="F11814"/>
      <c r="G11814"/>
      <c r="H11814"/>
      <c r="I11814"/>
      <c r="J11814"/>
      <c r="K11814" s="1"/>
      <c r="L11814" s="2"/>
    </row>
    <row r="11815" spans="1:12" x14ac:dyDescent="0.2">
      <c r="A11815"/>
      <c r="B11815"/>
      <c r="C11815"/>
      <c r="D11815"/>
      <c r="E11815"/>
      <c r="F11815"/>
      <c r="G11815"/>
      <c r="H11815"/>
      <c r="I11815"/>
      <c r="J11815"/>
      <c r="K11815" s="1"/>
      <c r="L11815" s="2"/>
    </row>
    <row r="11816" spans="1:12" x14ac:dyDescent="0.2">
      <c r="A11816"/>
      <c r="B11816"/>
      <c r="C11816"/>
      <c r="D11816"/>
      <c r="E11816"/>
      <c r="F11816"/>
      <c r="G11816"/>
      <c r="H11816"/>
      <c r="I11816"/>
      <c r="J11816"/>
      <c r="K11816" s="1"/>
      <c r="L11816" s="2"/>
    </row>
    <row r="11817" spans="1:12" x14ac:dyDescent="0.2">
      <c r="A11817"/>
      <c r="B11817"/>
      <c r="C11817"/>
      <c r="D11817"/>
      <c r="E11817"/>
      <c r="F11817"/>
      <c r="G11817"/>
      <c r="H11817"/>
      <c r="I11817"/>
      <c r="J11817"/>
      <c r="K11817" s="1"/>
      <c r="L11817" s="2"/>
    </row>
    <row r="11818" spans="1:12" x14ac:dyDescent="0.2">
      <c r="A11818"/>
      <c r="B11818"/>
      <c r="C11818"/>
      <c r="D11818"/>
      <c r="E11818"/>
      <c r="F11818"/>
      <c r="G11818"/>
      <c r="H11818"/>
      <c r="I11818"/>
      <c r="J11818"/>
      <c r="K11818" s="1"/>
      <c r="L11818" s="2"/>
    </row>
    <row r="11819" spans="1:12" x14ac:dyDescent="0.2">
      <c r="A11819"/>
      <c r="B11819"/>
      <c r="C11819"/>
      <c r="D11819"/>
      <c r="E11819"/>
      <c r="F11819"/>
      <c r="G11819"/>
      <c r="H11819"/>
      <c r="I11819"/>
      <c r="J11819"/>
      <c r="K11819" s="1"/>
      <c r="L11819" s="2"/>
    </row>
    <row r="11820" spans="1:12" x14ac:dyDescent="0.2">
      <c r="A11820"/>
      <c r="B11820"/>
      <c r="C11820"/>
      <c r="D11820"/>
      <c r="E11820"/>
      <c r="F11820"/>
      <c r="G11820"/>
      <c r="H11820"/>
      <c r="I11820"/>
      <c r="J11820"/>
      <c r="K11820" s="1"/>
      <c r="L11820" s="2"/>
    </row>
    <row r="11821" spans="1:12" x14ac:dyDescent="0.2">
      <c r="A11821"/>
      <c r="B11821"/>
      <c r="C11821"/>
      <c r="D11821"/>
      <c r="E11821"/>
      <c r="F11821"/>
      <c r="G11821"/>
      <c r="H11821"/>
      <c r="I11821"/>
      <c r="J11821"/>
      <c r="K11821" s="1"/>
      <c r="L11821" s="2"/>
    </row>
    <row r="11822" spans="1:12" x14ac:dyDescent="0.2">
      <c r="A11822"/>
      <c r="B11822"/>
      <c r="C11822"/>
      <c r="D11822"/>
      <c r="E11822"/>
      <c r="F11822"/>
      <c r="G11822"/>
      <c r="H11822"/>
      <c r="I11822"/>
      <c r="J11822"/>
      <c r="K11822" s="1"/>
      <c r="L11822" s="2"/>
    </row>
    <row r="11823" spans="1:12" x14ac:dyDescent="0.2">
      <c r="A11823"/>
      <c r="B11823"/>
      <c r="C11823"/>
      <c r="D11823"/>
      <c r="E11823"/>
      <c r="F11823"/>
      <c r="G11823"/>
      <c r="H11823"/>
      <c r="I11823"/>
      <c r="J11823"/>
      <c r="K11823" s="1"/>
      <c r="L11823" s="2"/>
    </row>
    <row r="11824" spans="1:12" x14ac:dyDescent="0.2">
      <c r="A11824"/>
      <c r="B11824"/>
      <c r="C11824"/>
      <c r="D11824"/>
      <c r="E11824"/>
      <c r="F11824"/>
      <c r="G11824"/>
      <c r="H11824"/>
      <c r="I11824"/>
      <c r="J11824"/>
      <c r="K11824" s="1"/>
      <c r="L11824" s="2"/>
    </row>
    <row r="11825" spans="1:12" x14ac:dyDescent="0.2">
      <c r="A11825"/>
      <c r="B11825"/>
      <c r="C11825"/>
      <c r="D11825"/>
      <c r="E11825"/>
      <c r="F11825"/>
      <c r="G11825"/>
      <c r="H11825"/>
      <c r="I11825"/>
      <c r="J11825"/>
      <c r="K11825" s="1"/>
      <c r="L11825" s="2"/>
    </row>
    <row r="11826" spans="1:12" x14ac:dyDescent="0.2">
      <c r="A11826"/>
      <c r="B11826"/>
      <c r="C11826"/>
      <c r="D11826"/>
      <c r="E11826"/>
      <c r="F11826"/>
      <c r="G11826"/>
      <c r="H11826"/>
      <c r="I11826"/>
      <c r="J11826"/>
      <c r="K11826" s="1"/>
      <c r="L11826" s="2"/>
    </row>
    <row r="11827" spans="1:12" x14ac:dyDescent="0.2">
      <c r="A11827"/>
      <c r="B11827"/>
      <c r="C11827"/>
      <c r="D11827"/>
      <c r="E11827"/>
      <c r="F11827"/>
      <c r="G11827"/>
      <c r="H11827"/>
      <c r="I11827"/>
      <c r="J11827"/>
      <c r="K11827" s="1"/>
      <c r="L11827" s="2"/>
    </row>
    <row r="11828" spans="1:12" x14ac:dyDescent="0.2">
      <c r="A11828"/>
      <c r="B11828"/>
      <c r="C11828"/>
      <c r="D11828"/>
      <c r="E11828"/>
      <c r="F11828"/>
      <c r="G11828"/>
      <c r="H11828"/>
      <c r="I11828"/>
      <c r="J11828"/>
      <c r="K11828" s="1"/>
      <c r="L11828" s="2"/>
    </row>
    <row r="11829" spans="1:12" x14ac:dyDescent="0.2">
      <c r="A11829"/>
      <c r="B11829"/>
      <c r="C11829"/>
      <c r="D11829"/>
      <c r="E11829"/>
      <c r="F11829"/>
      <c r="G11829"/>
      <c r="H11829"/>
      <c r="I11829"/>
      <c r="J11829"/>
      <c r="K11829" s="1"/>
      <c r="L11829" s="2"/>
    </row>
    <row r="11830" spans="1:12" x14ac:dyDescent="0.2">
      <c r="A11830"/>
      <c r="B11830"/>
      <c r="C11830"/>
      <c r="D11830"/>
      <c r="E11830"/>
      <c r="F11830"/>
      <c r="G11830"/>
      <c r="H11830"/>
      <c r="I11830"/>
      <c r="J11830"/>
      <c r="K11830" s="1"/>
      <c r="L11830" s="2"/>
    </row>
    <row r="11831" spans="1:12" x14ac:dyDescent="0.2">
      <c r="A11831"/>
      <c r="B11831"/>
      <c r="C11831"/>
      <c r="D11831"/>
      <c r="E11831"/>
      <c r="F11831"/>
      <c r="G11831"/>
      <c r="H11831"/>
      <c r="I11831"/>
      <c r="J11831"/>
      <c r="K11831" s="1"/>
      <c r="L11831" s="2"/>
    </row>
    <row r="11832" spans="1:12" x14ac:dyDescent="0.2">
      <c r="A11832"/>
      <c r="B11832"/>
      <c r="C11832"/>
      <c r="D11832"/>
      <c r="E11832"/>
      <c r="F11832"/>
      <c r="G11832"/>
      <c r="H11832"/>
      <c r="I11832"/>
      <c r="J11832"/>
      <c r="K11832" s="1"/>
      <c r="L11832" s="2"/>
    </row>
    <row r="11833" spans="1:12" x14ac:dyDescent="0.2">
      <c r="A11833"/>
      <c r="B11833"/>
      <c r="C11833"/>
      <c r="D11833"/>
      <c r="E11833"/>
      <c r="F11833"/>
      <c r="G11833"/>
      <c r="H11833"/>
      <c r="I11833"/>
      <c r="J11833"/>
      <c r="K11833" s="1"/>
      <c r="L11833" s="2"/>
    </row>
    <row r="11834" spans="1:12" x14ac:dyDescent="0.2">
      <c r="A11834"/>
      <c r="B11834"/>
      <c r="C11834"/>
      <c r="D11834"/>
      <c r="E11834"/>
      <c r="F11834"/>
      <c r="G11834"/>
      <c r="H11834"/>
      <c r="I11834"/>
      <c r="J11834"/>
      <c r="K11834" s="1"/>
      <c r="L11834" s="2"/>
    </row>
    <row r="11835" spans="1:12" x14ac:dyDescent="0.2">
      <c r="A11835"/>
      <c r="B11835"/>
      <c r="C11835"/>
      <c r="D11835"/>
      <c r="E11835"/>
      <c r="F11835"/>
      <c r="G11835"/>
      <c r="H11835"/>
      <c r="I11835"/>
      <c r="J11835"/>
      <c r="K11835" s="1"/>
      <c r="L11835" s="2"/>
    </row>
    <row r="11836" spans="1:12" x14ac:dyDescent="0.2">
      <c r="A11836"/>
      <c r="B11836"/>
      <c r="C11836"/>
      <c r="D11836"/>
      <c r="E11836"/>
      <c r="F11836"/>
      <c r="G11836"/>
      <c r="H11836"/>
      <c r="I11836"/>
      <c r="J11836"/>
      <c r="K11836" s="1"/>
      <c r="L11836" s="2"/>
    </row>
    <row r="11837" spans="1:12" x14ac:dyDescent="0.2">
      <c r="A11837"/>
      <c r="B11837"/>
      <c r="C11837"/>
      <c r="D11837"/>
      <c r="E11837"/>
      <c r="F11837"/>
      <c r="G11837"/>
      <c r="H11837"/>
      <c r="I11837"/>
      <c r="J11837"/>
      <c r="K11837" s="1"/>
      <c r="L11837" s="2"/>
    </row>
    <row r="11838" spans="1:12" x14ac:dyDescent="0.2">
      <c r="A11838"/>
      <c r="B11838"/>
      <c r="C11838"/>
      <c r="D11838"/>
      <c r="E11838"/>
      <c r="F11838"/>
      <c r="G11838"/>
      <c r="H11838"/>
      <c r="I11838"/>
      <c r="J11838"/>
      <c r="K11838" s="1"/>
      <c r="L11838" s="2"/>
    </row>
    <row r="11839" spans="1:12" x14ac:dyDescent="0.2">
      <c r="A11839"/>
      <c r="B11839"/>
      <c r="C11839"/>
      <c r="D11839"/>
      <c r="E11839"/>
      <c r="F11839"/>
      <c r="G11839"/>
      <c r="H11839"/>
      <c r="I11839"/>
      <c r="J11839"/>
      <c r="K11839" s="1"/>
      <c r="L11839" s="2"/>
    </row>
    <row r="11840" spans="1:12" x14ac:dyDescent="0.2">
      <c r="A11840"/>
      <c r="B11840"/>
      <c r="C11840"/>
      <c r="D11840"/>
      <c r="E11840"/>
      <c r="F11840"/>
      <c r="G11840"/>
      <c r="H11840"/>
      <c r="I11840"/>
      <c r="J11840"/>
      <c r="K11840" s="1"/>
      <c r="L11840" s="2"/>
    </row>
    <row r="11841" spans="1:12" x14ac:dyDescent="0.2">
      <c r="A11841"/>
      <c r="B11841"/>
      <c r="C11841"/>
      <c r="D11841"/>
      <c r="E11841"/>
      <c r="F11841"/>
      <c r="G11841"/>
      <c r="H11841"/>
      <c r="I11841"/>
      <c r="J11841"/>
      <c r="K11841" s="1"/>
      <c r="L11841" s="2"/>
    </row>
    <row r="11842" spans="1:12" x14ac:dyDescent="0.2">
      <c r="A11842"/>
      <c r="B11842"/>
      <c r="C11842"/>
      <c r="D11842"/>
      <c r="E11842"/>
      <c r="F11842"/>
      <c r="G11842"/>
      <c r="H11842"/>
      <c r="I11842"/>
      <c r="J11842"/>
      <c r="K11842" s="1"/>
      <c r="L11842" s="2"/>
    </row>
    <row r="11843" spans="1:12" x14ac:dyDescent="0.2">
      <c r="A11843"/>
      <c r="B11843"/>
      <c r="C11843"/>
      <c r="D11843"/>
      <c r="E11843"/>
      <c r="F11843"/>
      <c r="G11843"/>
      <c r="H11843"/>
      <c r="I11843"/>
      <c r="J11843"/>
      <c r="K11843" s="1"/>
      <c r="L11843" s="2"/>
    </row>
    <row r="11844" spans="1:12" x14ac:dyDescent="0.2">
      <c r="A11844"/>
      <c r="B11844"/>
      <c r="C11844"/>
      <c r="D11844"/>
      <c r="E11844"/>
      <c r="F11844"/>
      <c r="G11844"/>
      <c r="H11844"/>
      <c r="I11844"/>
      <c r="J11844"/>
      <c r="K11844" s="1"/>
      <c r="L11844" s="2"/>
    </row>
    <row r="11845" spans="1:12" x14ac:dyDescent="0.2">
      <c r="A11845"/>
      <c r="B11845"/>
      <c r="C11845"/>
      <c r="D11845"/>
      <c r="E11845"/>
      <c r="F11845"/>
      <c r="G11845"/>
      <c r="H11845"/>
      <c r="I11845"/>
      <c r="J11845"/>
      <c r="K11845" s="1"/>
      <c r="L11845" s="2"/>
    </row>
    <row r="11846" spans="1:12" x14ac:dyDescent="0.2">
      <c r="A11846"/>
      <c r="B11846"/>
      <c r="C11846"/>
      <c r="D11846"/>
      <c r="E11846"/>
      <c r="F11846"/>
      <c r="G11846"/>
      <c r="H11846"/>
      <c r="I11846"/>
      <c r="J11846"/>
      <c r="K11846" s="1"/>
      <c r="L11846" s="2"/>
    </row>
    <row r="11847" spans="1:12" x14ac:dyDescent="0.2">
      <c r="A11847"/>
      <c r="B11847"/>
      <c r="C11847"/>
      <c r="D11847"/>
      <c r="E11847"/>
      <c r="F11847"/>
      <c r="G11847"/>
      <c r="H11847"/>
      <c r="I11847"/>
      <c r="J11847"/>
      <c r="K11847" s="1"/>
      <c r="L11847" s="2"/>
    </row>
    <row r="11848" spans="1:12" x14ac:dyDescent="0.2">
      <c r="A11848"/>
      <c r="B11848"/>
      <c r="C11848"/>
      <c r="D11848"/>
      <c r="E11848"/>
      <c r="F11848"/>
      <c r="G11848"/>
      <c r="H11848"/>
      <c r="I11848"/>
      <c r="J11848"/>
      <c r="K11848" s="1"/>
      <c r="L11848" s="2"/>
    </row>
    <row r="11849" spans="1:12" x14ac:dyDescent="0.2">
      <c r="A11849"/>
      <c r="B11849"/>
      <c r="C11849"/>
      <c r="D11849"/>
      <c r="E11849"/>
      <c r="F11849"/>
      <c r="G11849"/>
      <c r="H11849"/>
      <c r="I11849"/>
      <c r="J11849"/>
      <c r="K11849" s="1"/>
      <c r="L11849" s="2"/>
    </row>
    <row r="11850" spans="1:12" x14ac:dyDescent="0.2">
      <c r="A11850"/>
      <c r="B11850"/>
      <c r="C11850"/>
      <c r="D11850"/>
      <c r="E11850"/>
      <c r="F11850"/>
      <c r="G11850"/>
      <c r="H11850"/>
      <c r="I11850"/>
      <c r="J11850"/>
      <c r="K11850" s="1"/>
      <c r="L11850" s="2"/>
    </row>
    <row r="11851" spans="1:12" x14ac:dyDescent="0.2">
      <c r="A11851"/>
      <c r="B11851"/>
      <c r="C11851"/>
      <c r="D11851"/>
      <c r="E11851"/>
      <c r="F11851"/>
      <c r="G11851"/>
      <c r="H11851"/>
      <c r="I11851"/>
      <c r="J11851"/>
      <c r="K11851" s="1"/>
      <c r="L11851" s="2"/>
    </row>
    <row r="11852" spans="1:12" x14ac:dyDescent="0.2">
      <c r="A11852"/>
      <c r="B11852"/>
      <c r="C11852"/>
      <c r="D11852"/>
      <c r="E11852"/>
      <c r="F11852"/>
      <c r="G11852"/>
      <c r="H11852"/>
      <c r="I11852"/>
      <c r="J11852"/>
      <c r="K11852" s="1"/>
      <c r="L11852" s="2"/>
    </row>
    <row r="11853" spans="1:12" x14ac:dyDescent="0.2">
      <c r="A11853"/>
      <c r="B11853"/>
      <c r="C11853"/>
      <c r="D11853"/>
      <c r="E11853"/>
      <c r="F11853"/>
      <c r="G11853"/>
      <c r="H11853"/>
      <c r="I11853"/>
      <c r="J11853"/>
      <c r="K11853" s="1"/>
      <c r="L11853" s="2"/>
    </row>
    <row r="11854" spans="1:12" x14ac:dyDescent="0.2">
      <c r="A11854"/>
      <c r="B11854"/>
      <c r="C11854"/>
      <c r="D11854"/>
      <c r="E11854"/>
      <c r="F11854"/>
      <c r="G11854"/>
      <c r="H11854"/>
      <c r="I11854"/>
      <c r="J11854"/>
      <c r="K11854" s="1"/>
      <c r="L11854" s="2"/>
    </row>
    <row r="11855" spans="1:12" x14ac:dyDescent="0.2">
      <c r="A11855"/>
      <c r="B11855"/>
      <c r="C11855"/>
      <c r="D11855"/>
      <c r="E11855"/>
      <c r="F11855"/>
      <c r="G11855"/>
      <c r="H11855"/>
      <c r="I11855"/>
      <c r="J11855"/>
      <c r="K11855" s="1"/>
      <c r="L11855" s="2"/>
    </row>
    <row r="11856" spans="1:12" x14ac:dyDescent="0.2">
      <c r="A11856"/>
      <c r="B11856"/>
      <c r="C11856"/>
      <c r="D11856"/>
      <c r="E11856"/>
      <c r="F11856"/>
      <c r="G11856"/>
      <c r="H11856"/>
      <c r="I11856"/>
      <c r="J11856"/>
      <c r="K11856" s="1"/>
      <c r="L11856" s="2"/>
    </row>
    <row r="11857" spans="1:12" x14ac:dyDescent="0.2">
      <c r="A11857"/>
      <c r="B11857"/>
      <c r="C11857"/>
      <c r="D11857"/>
      <c r="E11857"/>
      <c r="F11857"/>
      <c r="G11857"/>
      <c r="H11857"/>
      <c r="I11857"/>
      <c r="J11857"/>
      <c r="K11857" s="1"/>
      <c r="L11857" s="2"/>
    </row>
    <row r="11858" spans="1:12" x14ac:dyDescent="0.2">
      <c r="A11858"/>
      <c r="B11858"/>
      <c r="C11858"/>
      <c r="D11858"/>
      <c r="E11858"/>
      <c r="F11858"/>
      <c r="G11858"/>
      <c r="H11858"/>
      <c r="I11858"/>
      <c r="J11858"/>
      <c r="K11858" s="1"/>
      <c r="L11858" s="2"/>
    </row>
    <row r="11859" spans="1:12" x14ac:dyDescent="0.2">
      <c r="A11859"/>
      <c r="B11859"/>
      <c r="C11859"/>
      <c r="D11859"/>
      <c r="E11859"/>
      <c r="F11859"/>
      <c r="G11859"/>
      <c r="H11859"/>
      <c r="I11859"/>
      <c r="J11859"/>
      <c r="K11859" s="1"/>
      <c r="L11859" s="2"/>
    </row>
    <row r="11860" spans="1:12" x14ac:dyDescent="0.2">
      <c r="A11860"/>
      <c r="B11860"/>
      <c r="C11860"/>
      <c r="D11860"/>
      <c r="E11860"/>
      <c r="F11860"/>
      <c r="G11860"/>
      <c r="H11860"/>
      <c r="I11860"/>
      <c r="J11860"/>
      <c r="K11860" s="1"/>
      <c r="L11860" s="2"/>
    </row>
    <row r="11861" spans="1:12" x14ac:dyDescent="0.2">
      <c r="A11861"/>
      <c r="B11861"/>
      <c r="C11861"/>
      <c r="D11861"/>
      <c r="E11861"/>
      <c r="F11861"/>
      <c r="G11861"/>
      <c r="H11861"/>
      <c r="I11861"/>
      <c r="J11861"/>
      <c r="K11861" s="1"/>
      <c r="L11861" s="2"/>
    </row>
    <row r="11862" spans="1:12" x14ac:dyDescent="0.2">
      <c r="A11862"/>
      <c r="B11862"/>
      <c r="C11862"/>
      <c r="D11862"/>
      <c r="E11862"/>
      <c r="F11862"/>
      <c r="G11862"/>
      <c r="H11862"/>
      <c r="I11862"/>
      <c r="J11862"/>
      <c r="K11862" s="1"/>
      <c r="L11862" s="2"/>
    </row>
    <row r="11863" spans="1:12" x14ac:dyDescent="0.2">
      <c r="A11863"/>
      <c r="B11863"/>
      <c r="C11863"/>
      <c r="D11863"/>
      <c r="E11863"/>
      <c r="F11863"/>
      <c r="G11863"/>
      <c r="H11863"/>
      <c r="I11863"/>
      <c r="J11863"/>
      <c r="K11863" s="1"/>
      <c r="L11863" s="2"/>
    </row>
    <row r="11864" spans="1:12" x14ac:dyDescent="0.2">
      <c r="A11864"/>
      <c r="B11864"/>
      <c r="C11864"/>
      <c r="D11864"/>
      <c r="E11864"/>
      <c r="F11864"/>
      <c r="G11864"/>
      <c r="H11864"/>
      <c r="I11864"/>
      <c r="J11864"/>
      <c r="K11864" s="1"/>
      <c r="L11864" s="2"/>
    </row>
    <row r="11865" spans="1:12" x14ac:dyDescent="0.2">
      <c r="A11865"/>
      <c r="B11865"/>
      <c r="C11865"/>
      <c r="D11865"/>
      <c r="E11865"/>
      <c r="F11865"/>
      <c r="G11865"/>
      <c r="H11865"/>
      <c r="I11865"/>
      <c r="J11865"/>
      <c r="K11865" s="1"/>
      <c r="L11865" s="2"/>
    </row>
    <row r="11866" spans="1:12" x14ac:dyDescent="0.2">
      <c r="A11866"/>
      <c r="B11866"/>
      <c r="C11866"/>
      <c r="D11866"/>
      <c r="E11866"/>
      <c r="F11866"/>
      <c r="G11866"/>
      <c r="H11866"/>
      <c r="I11866"/>
      <c r="J11866"/>
      <c r="K11866" s="1"/>
      <c r="L11866" s="2"/>
    </row>
    <row r="11867" spans="1:12" x14ac:dyDescent="0.2">
      <c r="A11867"/>
      <c r="B11867"/>
      <c r="C11867"/>
      <c r="D11867"/>
      <c r="E11867"/>
      <c r="F11867"/>
      <c r="G11867"/>
      <c r="H11867"/>
      <c r="I11867"/>
      <c r="J11867"/>
      <c r="K11867" s="1"/>
      <c r="L11867" s="2"/>
    </row>
    <row r="11868" spans="1:12" x14ac:dyDescent="0.2">
      <c r="A11868"/>
      <c r="B11868"/>
      <c r="C11868"/>
      <c r="D11868"/>
      <c r="E11868"/>
      <c r="F11868"/>
      <c r="G11868"/>
      <c r="H11868"/>
      <c r="I11868"/>
      <c r="J11868"/>
      <c r="K11868" s="1"/>
      <c r="L11868" s="2"/>
    </row>
    <row r="11869" spans="1:12" x14ac:dyDescent="0.2">
      <c r="A11869"/>
      <c r="B11869"/>
      <c r="C11869"/>
      <c r="D11869"/>
      <c r="E11869"/>
      <c r="F11869"/>
      <c r="G11869"/>
      <c r="H11869"/>
      <c r="I11869"/>
      <c r="J11869"/>
      <c r="K11869" s="1"/>
      <c r="L11869" s="2"/>
    </row>
    <row r="11870" spans="1:12" x14ac:dyDescent="0.2">
      <c r="A11870"/>
      <c r="B11870"/>
      <c r="C11870"/>
      <c r="D11870"/>
      <c r="E11870"/>
      <c r="F11870"/>
      <c r="G11870"/>
      <c r="H11870"/>
      <c r="I11870"/>
      <c r="J11870"/>
      <c r="K11870" s="1"/>
      <c r="L11870" s="2"/>
    </row>
    <row r="11871" spans="1:12" x14ac:dyDescent="0.2">
      <c r="A11871"/>
      <c r="B11871"/>
      <c r="C11871"/>
      <c r="D11871"/>
      <c r="E11871"/>
      <c r="F11871"/>
      <c r="G11871"/>
      <c r="H11871"/>
      <c r="I11871"/>
      <c r="J11871"/>
      <c r="K11871" s="1"/>
      <c r="L11871" s="2"/>
    </row>
    <row r="11872" spans="1:12" x14ac:dyDescent="0.2">
      <c r="A11872"/>
      <c r="B11872"/>
      <c r="C11872"/>
      <c r="D11872"/>
      <c r="E11872"/>
      <c r="F11872"/>
      <c r="G11872"/>
      <c r="H11872"/>
      <c r="I11872"/>
      <c r="J11872"/>
      <c r="K11872" s="1"/>
      <c r="L11872" s="2"/>
    </row>
    <row r="11873" spans="1:12" x14ac:dyDescent="0.2">
      <c r="A11873"/>
      <c r="B11873"/>
      <c r="C11873"/>
      <c r="D11873"/>
      <c r="E11873"/>
      <c r="F11873"/>
      <c r="G11873"/>
      <c r="H11873"/>
      <c r="I11873"/>
      <c r="J11873"/>
      <c r="K11873" s="1"/>
      <c r="L11873" s="2"/>
    </row>
    <row r="11874" spans="1:12" x14ac:dyDescent="0.2">
      <c r="A11874"/>
      <c r="B11874"/>
      <c r="C11874"/>
      <c r="D11874"/>
      <c r="E11874"/>
      <c r="F11874"/>
      <c r="G11874"/>
      <c r="H11874"/>
      <c r="I11874"/>
      <c r="J11874"/>
      <c r="K11874" s="1"/>
      <c r="L11874" s="2"/>
    </row>
    <row r="11875" spans="1:12" x14ac:dyDescent="0.2">
      <c r="A11875"/>
      <c r="B11875"/>
      <c r="C11875"/>
      <c r="D11875"/>
      <c r="E11875"/>
      <c r="F11875"/>
      <c r="G11875"/>
      <c r="H11875"/>
      <c r="I11875"/>
      <c r="J11875"/>
      <c r="K11875" s="1"/>
      <c r="L11875" s="2"/>
    </row>
    <row r="11876" spans="1:12" x14ac:dyDescent="0.2">
      <c r="A11876"/>
      <c r="B11876"/>
      <c r="C11876"/>
      <c r="D11876"/>
      <c r="E11876"/>
      <c r="F11876"/>
      <c r="G11876"/>
      <c r="H11876"/>
      <c r="I11876"/>
      <c r="J11876"/>
      <c r="K11876" s="1"/>
      <c r="L11876" s="2"/>
    </row>
    <row r="11877" spans="1:12" x14ac:dyDescent="0.2">
      <c r="A11877"/>
      <c r="B11877"/>
      <c r="C11877"/>
      <c r="D11877"/>
      <c r="E11877"/>
      <c r="F11877"/>
      <c r="G11877"/>
      <c r="H11877"/>
      <c r="I11877"/>
      <c r="J11877"/>
      <c r="K11877" s="1"/>
      <c r="L11877" s="2"/>
    </row>
    <row r="11878" spans="1:12" x14ac:dyDescent="0.2">
      <c r="A11878"/>
      <c r="B11878"/>
      <c r="C11878"/>
      <c r="D11878"/>
      <c r="E11878"/>
      <c r="F11878"/>
      <c r="G11878"/>
      <c r="H11878"/>
      <c r="I11878"/>
      <c r="J11878"/>
      <c r="K11878" s="1"/>
      <c r="L11878" s="2"/>
    </row>
    <row r="11879" spans="1:12" x14ac:dyDescent="0.2">
      <c r="A11879"/>
      <c r="B11879"/>
      <c r="C11879"/>
      <c r="D11879"/>
      <c r="E11879"/>
      <c r="F11879"/>
      <c r="G11879"/>
      <c r="H11879"/>
      <c r="I11879"/>
      <c r="J11879"/>
      <c r="K11879" s="1"/>
      <c r="L11879" s="2"/>
    </row>
    <row r="11880" spans="1:12" x14ac:dyDescent="0.2">
      <c r="A11880"/>
      <c r="B11880"/>
      <c r="C11880"/>
      <c r="D11880"/>
      <c r="E11880"/>
      <c r="F11880"/>
      <c r="G11880"/>
      <c r="H11880"/>
      <c r="I11880"/>
      <c r="J11880"/>
      <c r="K11880" s="1"/>
      <c r="L11880" s="2"/>
    </row>
    <row r="11881" spans="1:12" x14ac:dyDescent="0.2">
      <c r="A11881"/>
      <c r="B11881"/>
      <c r="C11881"/>
      <c r="D11881"/>
      <c r="E11881"/>
      <c r="F11881"/>
      <c r="G11881"/>
      <c r="H11881"/>
      <c r="I11881"/>
      <c r="J11881"/>
      <c r="K11881" s="1"/>
      <c r="L11881" s="2"/>
    </row>
    <row r="11882" spans="1:12" x14ac:dyDescent="0.2">
      <c r="A11882"/>
      <c r="B11882"/>
      <c r="C11882"/>
      <c r="D11882"/>
      <c r="E11882"/>
      <c r="F11882"/>
      <c r="G11882"/>
      <c r="H11882"/>
      <c r="I11882"/>
      <c r="J11882"/>
      <c r="K11882" s="1"/>
      <c r="L11882" s="2"/>
    </row>
    <row r="11883" spans="1:12" x14ac:dyDescent="0.2">
      <c r="A11883"/>
      <c r="B11883"/>
      <c r="C11883"/>
      <c r="D11883"/>
      <c r="E11883"/>
      <c r="F11883"/>
      <c r="G11883"/>
      <c r="H11883"/>
      <c r="I11883"/>
      <c r="J11883"/>
      <c r="K11883" s="1"/>
      <c r="L11883" s="2"/>
    </row>
    <row r="11884" spans="1:12" x14ac:dyDescent="0.2">
      <c r="A11884"/>
      <c r="B11884"/>
      <c r="C11884"/>
      <c r="D11884"/>
      <c r="E11884"/>
      <c r="F11884"/>
      <c r="G11884"/>
      <c r="H11884"/>
      <c r="I11884"/>
      <c r="J11884"/>
      <c r="K11884" s="1"/>
      <c r="L11884" s="2"/>
    </row>
    <row r="11885" spans="1:12" x14ac:dyDescent="0.2">
      <c r="A11885"/>
      <c r="B11885"/>
      <c r="C11885"/>
      <c r="D11885"/>
      <c r="E11885"/>
      <c r="F11885"/>
      <c r="G11885"/>
      <c r="H11885"/>
      <c r="I11885"/>
      <c r="J11885"/>
      <c r="K11885" s="1"/>
      <c r="L11885" s="2"/>
    </row>
    <row r="11886" spans="1:12" x14ac:dyDescent="0.2">
      <c r="A11886"/>
      <c r="B11886"/>
      <c r="C11886"/>
      <c r="D11886"/>
      <c r="E11886"/>
      <c r="F11886"/>
      <c r="G11886"/>
      <c r="H11886"/>
      <c r="I11886"/>
      <c r="J11886"/>
      <c r="K11886" s="1"/>
      <c r="L11886" s="2"/>
    </row>
    <row r="11887" spans="1:12" x14ac:dyDescent="0.2">
      <c r="A11887"/>
      <c r="B11887"/>
      <c r="C11887"/>
      <c r="D11887"/>
      <c r="E11887"/>
      <c r="F11887"/>
      <c r="G11887"/>
      <c r="H11887"/>
      <c r="I11887"/>
      <c r="J11887"/>
      <c r="K11887" s="1"/>
      <c r="L11887" s="2"/>
    </row>
    <row r="11888" spans="1:12" x14ac:dyDescent="0.2">
      <c r="A11888"/>
      <c r="B11888"/>
      <c r="C11888"/>
      <c r="D11888"/>
      <c r="E11888"/>
      <c r="F11888"/>
      <c r="G11888"/>
      <c r="H11888"/>
      <c r="I11888"/>
      <c r="J11888"/>
      <c r="K11888" s="1"/>
      <c r="L11888" s="2"/>
    </row>
    <row r="11889" spans="1:12" x14ac:dyDescent="0.2">
      <c r="A11889"/>
      <c r="B11889"/>
      <c r="C11889"/>
      <c r="D11889"/>
      <c r="E11889"/>
      <c r="F11889"/>
      <c r="G11889"/>
      <c r="H11889"/>
      <c r="I11889"/>
      <c r="J11889"/>
      <c r="K11889" s="1"/>
      <c r="L11889" s="2"/>
    </row>
    <row r="11890" spans="1:12" x14ac:dyDescent="0.2">
      <c r="A11890"/>
      <c r="B11890"/>
      <c r="C11890"/>
      <c r="D11890"/>
      <c r="E11890"/>
      <c r="F11890"/>
      <c r="G11890"/>
      <c r="H11890"/>
      <c r="I11890"/>
      <c r="J11890"/>
      <c r="K11890" s="1"/>
      <c r="L11890" s="2"/>
    </row>
    <row r="11891" spans="1:12" x14ac:dyDescent="0.2">
      <c r="A11891"/>
      <c r="B11891"/>
      <c r="C11891"/>
      <c r="D11891"/>
      <c r="E11891"/>
      <c r="F11891"/>
      <c r="G11891"/>
      <c r="H11891"/>
      <c r="I11891"/>
      <c r="J11891"/>
      <c r="K11891" s="1"/>
      <c r="L11891" s="2"/>
    </row>
    <row r="11892" spans="1:12" x14ac:dyDescent="0.2">
      <c r="A11892"/>
      <c r="B11892"/>
      <c r="C11892"/>
      <c r="D11892"/>
      <c r="E11892"/>
      <c r="F11892"/>
      <c r="G11892"/>
      <c r="H11892"/>
      <c r="I11892"/>
      <c r="J11892"/>
      <c r="K11892" s="1"/>
      <c r="L11892" s="2"/>
    </row>
    <row r="11893" spans="1:12" x14ac:dyDescent="0.2">
      <c r="A11893"/>
      <c r="B11893"/>
      <c r="C11893"/>
      <c r="D11893"/>
      <c r="E11893"/>
      <c r="F11893"/>
      <c r="G11893"/>
      <c r="H11893"/>
      <c r="I11893"/>
      <c r="J11893"/>
      <c r="K11893" s="1"/>
      <c r="L11893" s="2"/>
    </row>
    <row r="11894" spans="1:12" x14ac:dyDescent="0.2">
      <c r="A11894"/>
      <c r="B11894"/>
      <c r="C11894"/>
      <c r="D11894"/>
      <c r="E11894"/>
      <c r="F11894"/>
      <c r="G11894"/>
      <c r="H11894"/>
      <c r="I11894"/>
      <c r="J11894"/>
      <c r="K11894" s="1"/>
      <c r="L11894" s="2"/>
    </row>
    <row r="11895" spans="1:12" x14ac:dyDescent="0.2">
      <c r="A11895"/>
      <c r="B11895"/>
      <c r="C11895"/>
      <c r="D11895"/>
      <c r="E11895"/>
      <c r="F11895"/>
      <c r="G11895"/>
      <c r="H11895"/>
      <c r="I11895"/>
      <c r="J11895"/>
      <c r="K11895" s="1"/>
      <c r="L11895" s="2"/>
    </row>
    <row r="11896" spans="1:12" x14ac:dyDescent="0.2">
      <c r="A11896"/>
      <c r="B11896"/>
      <c r="C11896"/>
      <c r="D11896"/>
      <c r="E11896"/>
      <c r="F11896"/>
      <c r="G11896"/>
      <c r="H11896"/>
      <c r="I11896"/>
      <c r="J11896"/>
      <c r="K11896" s="1"/>
      <c r="L11896" s="2"/>
    </row>
    <row r="11897" spans="1:12" x14ac:dyDescent="0.2">
      <c r="A11897"/>
      <c r="B11897"/>
      <c r="C11897"/>
      <c r="D11897"/>
      <c r="E11897"/>
      <c r="F11897"/>
      <c r="G11897"/>
      <c r="H11897"/>
      <c r="I11897"/>
      <c r="J11897"/>
      <c r="K11897" s="1"/>
      <c r="L11897" s="2"/>
    </row>
    <row r="11898" spans="1:12" x14ac:dyDescent="0.2">
      <c r="A11898"/>
      <c r="B11898"/>
      <c r="C11898"/>
      <c r="D11898"/>
      <c r="E11898"/>
      <c r="F11898"/>
      <c r="G11898"/>
      <c r="H11898"/>
      <c r="I11898"/>
      <c r="J11898"/>
      <c r="K11898" s="1"/>
      <c r="L11898" s="2"/>
    </row>
    <row r="11899" spans="1:12" x14ac:dyDescent="0.2">
      <c r="A11899"/>
      <c r="B11899"/>
      <c r="C11899"/>
      <c r="D11899"/>
      <c r="E11899"/>
      <c r="F11899"/>
      <c r="G11899"/>
      <c r="H11899"/>
      <c r="I11899"/>
      <c r="J11899"/>
      <c r="K11899" s="1"/>
      <c r="L11899" s="2"/>
    </row>
    <row r="11900" spans="1:12" x14ac:dyDescent="0.2">
      <c r="A11900"/>
      <c r="B11900"/>
      <c r="C11900"/>
      <c r="D11900"/>
      <c r="E11900"/>
      <c r="F11900"/>
      <c r="G11900"/>
      <c r="H11900"/>
      <c r="I11900"/>
      <c r="J11900"/>
      <c r="K11900" s="1"/>
      <c r="L11900" s="2"/>
    </row>
    <row r="11901" spans="1:12" x14ac:dyDescent="0.2">
      <c r="A11901"/>
      <c r="B11901"/>
      <c r="C11901"/>
      <c r="D11901"/>
      <c r="E11901"/>
      <c r="F11901"/>
      <c r="G11901"/>
      <c r="H11901"/>
      <c r="I11901"/>
      <c r="J11901"/>
      <c r="K11901" s="1"/>
      <c r="L11901" s="2"/>
    </row>
    <row r="11902" spans="1:12" x14ac:dyDescent="0.2">
      <c r="A11902"/>
      <c r="B11902"/>
      <c r="C11902"/>
      <c r="D11902"/>
      <c r="E11902"/>
      <c r="F11902"/>
      <c r="G11902"/>
      <c r="H11902"/>
      <c r="I11902"/>
      <c r="J11902"/>
      <c r="K11902" s="1"/>
      <c r="L11902" s="2"/>
    </row>
    <row r="11903" spans="1:12" x14ac:dyDescent="0.2">
      <c r="A11903"/>
      <c r="B11903"/>
      <c r="C11903"/>
      <c r="D11903"/>
      <c r="E11903"/>
      <c r="F11903"/>
      <c r="G11903"/>
      <c r="H11903"/>
      <c r="I11903"/>
      <c r="J11903"/>
      <c r="K11903" s="1"/>
      <c r="L11903" s="2"/>
    </row>
    <row r="11904" spans="1:12" x14ac:dyDescent="0.2">
      <c r="A11904"/>
      <c r="B11904"/>
      <c r="C11904"/>
      <c r="D11904"/>
      <c r="E11904"/>
      <c r="F11904"/>
      <c r="G11904"/>
      <c r="H11904"/>
      <c r="I11904"/>
      <c r="J11904"/>
      <c r="K11904" s="1"/>
      <c r="L11904" s="2"/>
    </row>
    <row r="11905" spans="1:12" x14ac:dyDescent="0.2">
      <c r="A11905"/>
      <c r="B11905"/>
      <c r="C11905"/>
      <c r="D11905"/>
      <c r="E11905"/>
      <c r="F11905"/>
      <c r="G11905"/>
      <c r="H11905"/>
      <c r="I11905"/>
      <c r="J11905"/>
      <c r="K11905" s="1"/>
      <c r="L11905" s="2"/>
    </row>
    <row r="11906" spans="1:12" x14ac:dyDescent="0.2">
      <c r="A11906"/>
      <c r="B11906"/>
      <c r="C11906"/>
      <c r="D11906"/>
      <c r="E11906"/>
      <c r="F11906"/>
      <c r="G11906"/>
      <c r="H11906"/>
      <c r="I11906"/>
      <c r="J11906"/>
      <c r="K11906" s="1"/>
      <c r="L11906" s="2"/>
    </row>
    <row r="11907" spans="1:12" x14ac:dyDescent="0.2">
      <c r="A11907"/>
      <c r="B11907"/>
      <c r="C11907"/>
      <c r="D11907"/>
      <c r="E11907"/>
      <c r="F11907"/>
      <c r="G11907"/>
      <c r="H11907"/>
      <c r="I11907"/>
      <c r="J11907"/>
      <c r="K11907" s="1"/>
      <c r="L11907" s="2"/>
    </row>
    <row r="11908" spans="1:12" x14ac:dyDescent="0.2">
      <c r="A11908"/>
      <c r="B11908"/>
      <c r="C11908"/>
      <c r="D11908"/>
      <c r="E11908"/>
      <c r="F11908"/>
      <c r="G11908"/>
      <c r="H11908"/>
      <c r="I11908"/>
      <c r="J11908"/>
      <c r="K11908" s="1"/>
      <c r="L11908" s="2"/>
    </row>
    <row r="11909" spans="1:12" x14ac:dyDescent="0.2">
      <c r="A11909"/>
      <c r="B11909"/>
      <c r="C11909"/>
      <c r="D11909"/>
      <c r="E11909"/>
      <c r="F11909"/>
      <c r="G11909"/>
      <c r="H11909"/>
      <c r="I11909"/>
      <c r="J11909"/>
      <c r="K11909" s="1"/>
      <c r="L11909" s="2"/>
    </row>
    <row r="11910" spans="1:12" x14ac:dyDescent="0.2">
      <c r="A11910"/>
      <c r="B11910"/>
      <c r="C11910"/>
      <c r="D11910"/>
      <c r="E11910"/>
      <c r="F11910"/>
      <c r="G11910"/>
      <c r="H11910"/>
      <c r="I11910"/>
      <c r="J11910"/>
      <c r="K11910" s="1"/>
      <c r="L11910" s="2"/>
    </row>
    <row r="11911" spans="1:12" x14ac:dyDescent="0.2">
      <c r="A11911"/>
      <c r="B11911"/>
      <c r="C11911"/>
      <c r="D11911"/>
      <c r="E11911"/>
      <c r="F11911"/>
      <c r="G11911"/>
      <c r="H11911"/>
      <c r="I11911"/>
      <c r="J11911"/>
      <c r="K11911" s="1"/>
      <c r="L11911" s="2"/>
    </row>
    <row r="11912" spans="1:12" x14ac:dyDescent="0.2">
      <c r="A11912"/>
      <c r="B11912"/>
      <c r="C11912"/>
      <c r="D11912"/>
      <c r="E11912"/>
      <c r="F11912"/>
      <c r="G11912"/>
      <c r="H11912"/>
      <c r="I11912"/>
      <c r="J11912"/>
      <c r="K11912" s="1"/>
      <c r="L11912" s="2"/>
    </row>
    <row r="11913" spans="1:12" x14ac:dyDescent="0.2">
      <c r="A11913"/>
      <c r="B11913"/>
      <c r="C11913"/>
      <c r="D11913"/>
      <c r="E11913"/>
      <c r="F11913"/>
      <c r="G11913"/>
      <c r="H11913"/>
      <c r="I11913"/>
      <c r="J11913"/>
      <c r="K11913" s="1"/>
      <c r="L11913" s="2"/>
    </row>
    <row r="11914" spans="1:12" x14ac:dyDescent="0.2">
      <c r="A11914"/>
      <c r="B11914"/>
      <c r="C11914"/>
      <c r="D11914"/>
      <c r="E11914"/>
      <c r="F11914"/>
      <c r="G11914"/>
      <c r="H11914"/>
      <c r="I11914"/>
      <c r="J11914"/>
      <c r="K11914" s="1"/>
      <c r="L11914" s="2"/>
    </row>
    <row r="11915" spans="1:12" x14ac:dyDescent="0.2">
      <c r="A11915"/>
      <c r="B11915"/>
      <c r="C11915"/>
      <c r="D11915"/>
      <c r="E11915"/>
      <c r="F11915"/>
      <c r="G11915"/>
      <c r="H11915"/>
      <c r="I11915"/>
      <c r="J11915"/>
      <c r="K11915" s="1"/>
      <c r="L11915" s="2"/>
    </row>
    <row r="11916" spans="1:12" x14ac:dyDescent="0.2">
      <c r="A11916"/>
      <c r="B11916"/>
      <c r="C11916"/>
      <c r="D11916"/>
      <c r="E11916"/>
      <c r="F11916"/>
      <c r="G11916"/>
      <c r="H11916"/>
      <c r="I11916"/>
      <c r="J11916"/>
      <c r="K11916" s="1"/>
      <c r="L11916" s="2"/>
    </row>
    <row r="11917" spans="1:12" x14ac:dyDescent="0.2">
      <c r="A11917"/>
      <c r="B11917"/>
      <c r="C11917"/>
      <c r="D11917"/>
      <c r="E11917"/>
      <c r="F11917"/>
      <c r="G11917"/>
      <c r="H11917"/>
      <c r="I11917"/>
      <c r="J11917"/>
      <c r="K11917" s="1"/>
      <c r="L11917" s="2"/>
    </row>
    <row r="11918" spans="1:12" x14ac:dyDescent="0.2">
      <c r="A11918"/>
      <c r="B11918"/>
      <c r="C11918"/>
      <c r="D11918"/>
      <c r="E11918"/>
      <c r="F11918"/>
      <c r="G11918"/>
      <c r="H11918"/>
      <c r="I11918"/>
      <c r="J11918"/>
      <c r="K11918" s="1"/>
      <c r="L11918" s="2"/>
    </row>
    <row r="11919" spans="1:12" x14ac:dyDescent="0.2">
      <c r="A11919"/>
      <c r="B11919"/>
      <c r="C11919"/>
      <c r="D11919"/>
      <c r="E11919"/>
      <c r="F11919"/>
      <c r="G11919"/>
      <c r="H11919"/>
      <c r="I11919"/>
      <c r="J11919"/>
      <c r="K11919" s="1"/>
      <c r="L11919" s="2"/>
    </row>
    <row r="11920" spans="1:12" x14ac:dyDescent="0.2">
      <c r="A11920"/>
      <c r="B11920"/>
      <c r="C11920"/>
      <c r="D11920"/>
      <c r="E11920"/>
      <c r="F11920"/>
      <c r="G11920"/>
      <c r="H11920"/>
      <c r="I11920"/>
      <c r="J11920"/>
      <c r="K11920" s="1"/>
      <c r="L11920" s="2"/>
    </row>
    <row r="11921" spans="1:12" x14ac:dyDescent="0.2">
      <c r="A11921"/>
      <c r="B11921"/>
      <c r="C11921"/>
      <c r="D11921"/>
      <c r="E11921"/>
      <c r="F11921"/>
      <c r="G11921"/>
      <c r="H11921"/>
      <c r="I11921"/>
      <c r="J11921"/>
      <c r="K11921" s="1"/>
      <c r="L11921" s="2"/>
    </row>
    <row r="11922" spans="1:12" x14ac:dyDescent="0.2">
      <c r="A11922"/>
      <c r="B11922"/>
      <c r="C11922"/>
      <c r="D11922"/>
      <c r="E11922"/>
      <c r="F11922"/>
      <c r="G11922"/>
      <c r="H11922"/>
      <c r="I11922"/>
      <c r="J11922"/>
      <c r="K11922" s="1"/>
      <c r="L11922" s="2"/>
    </row>
    <row r="11923" spans="1:12" x14ac:dyDescent="0.2">
      <c r="A11923"/>
      <c r="B11923"/>
      <c r="C11923"/>
      <c r="D11923"/>
      <c r="E11923"/>
      <c r="F11923"/>
      <c r="G11923"/>
      <c r="H11923"/>
      <c r="I11923"/>
      <c r="J11923"/>
      <c r="K11923" s="1"/>
      <c r="L11923" s="2"/>
    </row>
    <row r="11924" spans="1:12" x14ac:dyDescent="0.2">
      <c r="A11924"/>
      <c r="B11924"/>
      <c r="C11924"/>
      <c r="D11924"/>
      <c r="E11924"/>
      <c r="F11924"/>
      <c r="G11924"/>
      <c r="H11924"/>
      <c r="I11924"/>
      <c r="J11924"/>
      <c r="K11924" s="1"/>
      <c r="L11924" s="2"/>
    </row>
    <row r="11925" spans="1:12" x14ac:dyDescent="0.2">
      <c r="A11925"/>
      <c r="B11925"/>
      <c r="C11925"/>
      <c r="D11925"/>
      <c r="E11925"/>
      <c r="F11925"/>
      <c r="G11925"/>
      <c r="H11925"/>
      <c r="I11925"/>
      <c r="J11925"/>
      <c r="K11925" s="1"/>
      <c r="L11925" s="2"/>
    </row>
    <row r="11926" spans="1:12" x14ac:dyDescent="0.2">
      <c r="A11926"/>
      <c r="B11926"/>
      <c r="C11926"/>
      <c r="D11926"/>
      <c r="E11926"/>
      <c r="F11926"/>
      <c r="G11926"/>
      <c r="H11926"/>
      <c r="I11926"/>
      <c r="J11926"/>
      <c r="K11926" s="1"/>
      <c r="L11926" s="2"/>
    </row>
    <row r="11927" spans="1:12" x14ac:dyDescent="0.2">
      <c r="A11927"/>
      <c r="B11927"/>
      <c r="C11927"/>
      <c r="D11927"/>
      <c r="E11927"/>
      <c r="F11927"/>
      <c r="G11927"/>
      <c r="H11927"/>
      <c r="I11927"/>
      <c r="J11927"/>
      <c r="K11927" s="1"/>
      <c r="L11927" s="2"/>
    </row>
    <row r="11928" spans="1:12" x14ac:dyDescent="0.2">
      <c r="A11928"/>
      <c r="B11928"/>
      <c r="C11928"/>
      <c r="D11928"/>
      <c r="E11928"/>
      <c r="F11928"/>
      <c r="G11928"/>
      <c r="H11928"/>
      <c r="I11928"/>
      <c r="J11928"/>
      <c r="K11928" s="1"/>
      <c r="L11928" s="2"/>
    </row>
    <row r="11929" spans="1:12" x14ac:dyDescent="0.2">
      <c r="A11929"/>
      <c r="B11929"/>
      <c r="C11929"/>
      <c r="D11929"/>
      <c r="E11929"/>
      <c r="F11929"/>
      <c r="G11929"/>
      <c r="H11929"/>
      <c r="I11929"/>
      <c r="J11929"/>
      <c r="K11929" s="1"/>
      <c r="L11929" s="2"/>
    </row>
    <row r="11930" spans="1:12" x14ac:dyDescent="0.2">
      <c r="A11930"/>
      <c r="B11930"/>
      <c r="C11930"/>
      <c r="D11930"/>
      <c r="E11930"/>
      <c r="F11930"/>
      <c r="G11930"/>
      <c r="H11930"/>
      <c r="I11930"/>
      <c r="J11930"/>
      <c r="K11930" s="1"/>
      <c r="L11930" s="2"/>
    </row>
    <row r="11931" spans="1:12" x14ac:dyDescent="0.2">
      <c r="A11931"/>
      <c r="B11931"/>
      <c r="C11931"/>
      <c r="D11931"/>
      <c r="E11931"/>
      <c r="F11931"/>
      <c r="G11931"/>
      <c r="H11931"/>
      <c r="I11931"/>
      <c r="J11931"/>
      <c r="K11931" s="1"/>
      <c r="L11931" s="2"/>
    </row>
    <row r="11932" spans="1:12" x14ac:dyDescent="0.2">
      <c r="A11932"/>
      <c r="B11932"/>
      <c r="C11932"/>
      <c r="D11932"/>
      <c r="E11932"/>
      <c r="F11932"/>
      <c r="G11932"/>
      <c r="H11932"/>
      <c r="I11932"/>
      <c r="J11932"/>
      <c r="K11932" s="1"/>
      <c r="L11932" s="2"/>
    </row>
    <row r="11933" spans="1:12" x14ac:dyDescent="0.2">
      <c r="A11933"/>
      <c r="B11933"/>
      <c r="C11933"/>
      <c r="D11933"/>
      <c r="E11933"/>
      <c r="F11933"/>
      <c r="G11933"/>
      <c r="H11933"/>
      <c r="I11933"/>
      <c r="J11933"/>
      <c r="K11933" s="1"/>
      <c r="L11933" s="2"/>
    </row>
    <row r="11934" spans="1:12" x14ac:dyDescent="0.2">
      <c r="A11934"/>
      <c r="B11934"/>
      <c r="C11934"/>
      <c r="D11934"/>
      <c r="E11934"/>
      <c r="F11934"/>
      <c r="G11934"/>
      <c r="H11934"/>
      <c r="I11934"/>
      <c r="J11934"/>
      <c r="K11934" s="1"/>
      <c r="L11934" s="2"/>
    </row>
    <row r="11935" spans="1:12" x14ac:dyDescent="0.2">
      <c r="A11935"/>
      <c r="B11935"/>
      <c r="C11935"/>
      <c r="D11935"/>
      <c r="E11935"/>
      <c r="F11935"/>
      <c r="G11935"/>
      <c r="H11935"/>
      <c r="I11935"/>
      <c r="J11935"/>
      <c r="K11935" s="1"/>
      <c r="L11935" s="2"/>
    </row>
    <row r="11936" spans="1:12" x14ac:dyDescent="0.2">
      <c r="A11936"/>
      <c r="B11936"/>
      <c r="C11936"/>
      <c r="D11936"/>
      <c r="E11936"/>
      <c r="F11936"/>
      <c r="G11936"/>
      <c r="H11936"/>
      <c r="I11936"/>
      <c r="J11936"/>
      <c r="K11936" s="1"/>
      <c r="L11936" s="2"/>
    </row>
    <row r="11937" spans="1:12" x14ac:dyDescent="0.2">
      <c r="A11937"/>
      <c r="B11937"/>
      <c r="C11937"/>
      <c r="D11937"/>
      <c r="E11937"/>
      <c r="F11937"/>
      <c r="G11937"/>
      <c r="H11937"/>
      <c r="I11937"/>
      <c r="J11937"/>
      <c r="K11937" s="1"/>
      <c r="L11937" s="2"/>
    </row>
    <row r="11938" spans="1:12" x14ac:dyDescent="0.2">
      <c r="A11938"/>
      <c r="B11938"/>
      <c r="C11938"/>
      <c r="D11938"/>
      <c r="E11938"/>
      <c r="F11938"/>
      <c r="G11938"/>
      <c r="H11938"/>
      <c r="I11938"/>
      <c r="J11938"/>
      <c r="K11938" s="1"/>
      <c r="L11938" s="2"/>
    </row>
    <row r="11939" spans="1:12" x14ac:dyDescent="0.2">
      <c r="A11939"/>
      <c r="B11939"/>
      <c r="C11939"/>
      <c r="D11939"/>
      <c r="E11939"/>
      <c r="F11939"/>
      <c r="G11939"/>
      <c r="H11939"/>
      <c r="I11939"/>
      <c r="J11939"/>
      <c r="K11939" s="1"/>
      <c r="L11939" s="2"/>
    </row>
    <row r="11940" spans="1:12" x14ac:dyDescent="0.2">
      <c r="A11940"/>
      <c r="B11940"/>
      <c r="C11940"/>
      <c r="D11940"/>
      <c r="E11940"/>
      <c r="F11940"/>
      <c r="G11940"/>
      <c r="H11940"/>
      <c r="I11940"/>
      <c r="J11940"/>
      <c r="K11940" s="1"/>
      <c r="L11940" s="2"/>
    </row>
    <row r="11941" spans="1:12" x14ac:dyDescent="0.2">
      <c r="A11941"/>
      <c r="B11941"/>
      <c r="C11941"/>
      <c r="D11941"/>
      <c r="E11941"/>
      <c r="F11941"/>
      <c r="G11941"/>
      <c r="H11941"/>
      <c r="I11941"/>
      <c r="J11941"/>
      <c r="K11941" s="1"/>
      <c r="L11941" s="2"/>
    </row>
    <row r="11942" spans="1:12" x14ac:dyDescent="0.2">
      <c r="A11942"/>
      <c r="B11942"/>
      <c r="C11942"/>
      <c r="D11942"/>
      <c r="E11942"/>
      <c r="F11942"/>
      <c r="G11942"/>
      <c r="H11942"/>
      <c r="I11942"/>
      <c r="J11942"/>
      <c r="K11942" s="1"/>
      <c r="L11942" s="2"/>
    </row>
    <row r="11943" spans="1:12" x14ac:dyDescent="0.2">
      <c r="A11943"/>
      <c r="B11943"/>
      <c r="C11943"/>
      <c r="D11943"/>
      <c r="E11943"/>
      <c r="F11943"/>
      <c r="G11943"/>
      <c r="H11943"/>
      <c r="I11943"/>
      <c r="J11943"/>
      <c r="K11943" s="1"/>
      <c r="L11943" s="2"/>
    </row>
    <row r="11944" spans="1:12" x14ac:dyDescent="0.2">
      <c r="A11944"/>
      <c r="B11944"/>
      <c r="C11944"/>
      <c r="D11944"/>
      <c r="E11944"/>
      <c r="F11944"/>
      <c r="G11944"/>
      <c r="H11944"/>
      <c r="I11944"/>
      <c r="J11944"/>
      <c r="K11944" s="1"/>
      <c r="L11944" s="2"/>
    </row>
    <row r="11945" spans="1:12" x14ac:dyDescent="0.2">
      <c r="A11945"/>
      <c r="B11945"/>
      <c r="C11945"/>
      <c r="D11945"/>
      <c r="E11945"/>
      <c r="F11945"/>
      <c r="G11945"/>
      <c r="H11945"/>
      <c r="I11945"/>
      <c r="J11945"/>
      <c r="K11945" s="1"/>
      <c r="L11945" s="2"/>
    </row>
    <row r="11946" spans="1:12" x14ac:dyDescent="0.2">
      <c r="A11946"/>
      <c r="B11946"/>
      <c r="C11946"/>
      <c r="D11946"/>
      <c r="E11946"/>
      <c r="F11946"/>
      <c r="G11946"/>
      <c r="H11946"/>
      <c r="I11946"/>
      <c r="J11946"/>
      <c r="K11946" s="1"/>
      <c r="L11946" s="2"/>
    </row>
    <row r="11947" spans="1:12" x14ac:dyDescent="0.2">
      <c r="A11947"/>
      <c r="B11947"/>
      <c r="C11947"/>
      <c r="D11947"/>
      <c r="E11947"/>
      <c r="F11947"/>
      <c r="G11947"/>
      <c r="H11947"/>
      <c r="I11947"/>
      <c r="J11947"/>
      <c r="K11947" s="1"/>
      <c r="L11947" s="2"/>
    </row>
    <row r="11948" spans="1:12" x14ac:dyDescent="0.2">
      <c r="A11948"/>
      <c r="B11948"/>
      <c r="C11948"/>
      <c r="D11948"/>
      <c r="E11948"/>
      <c r="F11948"/>
      <c r="G11948"/>
      <c r="H11948"/>
      <c r="I11948"/>
      <c r="J11948"/>
      <c r="K11948" s="1"/>
      <c r="L11948" s="2"/>
    </row>
    <row r="11949" spans="1:12" x14ac:dyDescent="0.2">
      <c r="A11949"/>
      <c r="B11949"/>
      <c r="C11949"/>
      <c r="D11949"/>
      <c r="E11949"/>
      <c r="F11949"/>
      <c r="G11949"/>
      <c r="H11949"/>
      <c r="I11949"/>
      <c r="J11949"/>
      <c r="K11949" s="1"/>
      <c r="L11949" s="2"/>
    </row>
    <row r="11950" spans="1:12" x14ac:dyDescent="0.2">
      <c r="A11950"/>
      <c r="B11950"/>
      <c r="C11950"/>
      <c r="D11950"/>
      <c r="E11950"/>
      <c r="F11950"/>
      <c r="G11950"/>
      <c r="H11950"/>
      <c r="I11950"/>
      <c r="J11950"/>
      <c r="K11950" s="1"/>
      <c r="L11950" s="2"/>
    </row>
    <row r="11951" spans="1:12" x14ac:dyDescent="0.2">
      <c r="A11951"/>
      <c r="B11951"/>
      <c r="C11951"/>
      <c r="D11951"/>
      <c r="E11951"/>
      <c r="F11951"/>
      <c r="G11951"/>
      <c r="H11951"/>
      <c r="I11951"/>
      <c r="J11951"/>
      <c r="K11951" s="1"/>
      <c r="L11951" s="2"/>
    </row>
    <row r="11952" spans="1:12" x14ac:dyDescent="0.2">
      <c r="A11952"/>
      <c r="B11952"/>
      <c r="C11952"/>
      <c r="D11952"/>
      <c r="E11952"/>
      <c r="F11952"/>
      <c r="G11952"/>
      <c r="H11952"/>
      <c r="I11952"/>
      <c r="J11952"/>
      <c r="K11952" s="1"/>
      <c r="L11952" s="2"/>
    </row>
    <row r="11953" spans="1:12" x14ac:dyDescent="0.2">
      <c r="A11953"/>
      <c r="B11953"/>
      <c r="C11953"/>
      <c r="D11953"/>
      <c r="E11953"/>
      <c r="F11953"/>
      <c r="G11953"/>
      <c r="H11953"/>
      <c r="I11953"/>
      <c r="J11953"/>
      <c r="K11953" s="1"/>
      <c r="L11953" s="2"/>
    </row>
    <row r="11954" spans="1:12" x14ac:dyDescent="0.2">
      <c r="A11954"/>
      <c r="B11954"/>
      <c r="C11954"/>
      <c r="D11954"/>
      <c r="E11954"/>
      <c r="F11954"/>
      <c r="G11954"/>
      <c r="H11954"/>
      <c r="I11954"/>
      <c r="J11954"/>
      <c r="K11954" s="1"/>
      <c r="L11954" s="2"/>
    </row>
    <row r="11955" spans="1:12" x14ac:dyDescent="0.2">
      <c r="A11955"/>
      <c r="B11955"/>
      <c r="C11955"/>
      <c r="D11955"/>
      <c r="E11955"/>
      <c r="F11955"/>
      <c r="G11955"/>
      <c r="H11955"/>
      <c r="I11955"/>
      <c r="J11955"/>
      <c r="K11955" s="1"/>
      <c r="L11955" s="2"/>
    </row>
    <row r="11956" spans="1:12" x14ac:dyDescent="0.2">
      <c r="A11956"/>
      <c r="B11956"/>
      <c r="C11956"/>
      <c r="D11956"/>
      <c r="E11956"/>
      <c r="F11956"/>
      <c r="G11956"/>
      <c r="H11956"/>
      <c r="I11956"/>
      <c r="J11956"/>
      <c r="K11956" s="1"/>
      <c r="L11956" s="2"/>
    </row>
    <row r="11957" spans="1:12" x14ac:dyDescent="0.2">
      <c r="A11957"/>
      <c r="B11957"/>
      <c r="C11957"/>
      <c r="D11957"/>
      <c r="E11957"/>
      <c r="F11957"/>
      <c r="G11957"/>
      <c r="H11957"/>
      <c r="I11957"/>
      <c r="J11957"/>
      <c r="K11957" s="1"/>
      <c r="L11957" s="2"/>
    </row>
    <row r="11958" spans="1:12" x14ac:dyDescent="0.2">
      <c r="A11958"/>
      <c r="B11958"/>
      <c r="C11958"/>
      <c r="D11958"/>
      <c r="E11958"/>
      <c r="F11958"/>
      <c r="G11958"/>
      <c r="H11958"/>
      <c r="I11958"/>
      <c r="J11958"/>
      <c r="K11958" s="1"/>
      <c r="L11958" s="2"/>
    </row>
    <row r="11959" spans="1:12" x14ac:dyDescent="0.2">
      <c r="A11959"/>
      <c r="B11959"/>
      <c r="C11959"/>
      <c r="D11959"/>
      <c r="E11959"/>
      <c r="F11959"/>
      <c r="G11959"/>
      <c r="H11959"/>
      <c r="I11959"/>
      <c r="J11959"/>
      <c r="K11959" s="1"/>
      <c r="L11959" s="2"/>
    </row>
    <row r="11960" spans="1:12" x14ac:dyDescent="0.2">
      <c r="A11960"/>
      <c r="B11960"/>
      <c r="C11960"/>
      <c r="D11960"/>
      <c r="E11960"/>
      <c r="F11960"/>
      <c r="G11960"/>
      <c r="H11960"/>
      <c r="I11960"/>
      <c r="J11960"/>
      <c r="K11960" s="1"/>
      <c r="L11960" s="2"/>
    </row>
    <row r="11961" spans="1:12" x14ac:dyDescent="0.2">
      <c r="A11961"/>
      <c r="B11961"/>
      <c r="C11961"/>
      <c r="D11961"/>
      <c r="E11961"/>
      <c r="F11961"/>
      <c r="G11961"/>
      <c r="H11961"/>
      <c r="I11961"/>
      <c r="J11961"/>
      <c r="K11961" s="1"/>
      <c r="L11961" s="2"/>
    </row>
    <row r="11962" spans="1:12" x14ac:dyDescent="0.2">
      <c r="A11962"/>
      <c r="B11962"/>
      <c r="C11962"/>
      <c r="D11962"/>
      <c r="E11962"/>
      <c r="F11962"/>
      <c r="G11962"/>
      <c r="H11962"/>
      <c r="I11962"/>
      <c r="J11962"/>
      <c r="K11962" s="1"/>
      <c r="L11962" s="2"/>
    </row>
    <row r="11963" spans="1:12" x14ac:dyDescent="0.2">
      <c r="A11963"/>
      <c r="B11963"/>
      <c r="C11963"/>
      <c r="D11963"/>
      <c r="E11963"/>
      <c r="F11963"/>
      <c r="G11963"/>
      <c r="H11963"/>
      <c r="I11963"/>
      <c r="J11963"/>
      <c r="K11963" s="1"/>
      <c r="L11963" s="2"/>
    </row>
    <row r="11964" spans="1:12" x14ac:dyDescent="0.2">
      <c r="A11964"/>
      <c r="B11964"/>
      <c r="C11964"/>
      <c r="D11964"/>
      <c r="E11964"/>
      <c r="F11964"/>
      <c r="G11964"/>
      <c r="H11964"/>
      <c r="I11964"/>
      <c r="J11964"/>
      <c r="K11964" s="1"/>
      <c r="L11964" s="2"/>
    </row>
    <row r="11965" spans="1:12" x14ac:dyDescent="0.2">
      <c r="A11965"/>
      <c r="B11965"/>
      <c r="C11965"/>
      <c r="D11965"/>
      <c r="E11965"/>
      <c r="F11965"/>
      <c r="G11965"/>
      <c r="H11965"/>
      <c r="I11965"/>
      <c r="J11965"/>
      <c r="K11965" s="1"/>
      <c r="L11965" s="2"/>
    </row>
    <row r="11966" spans="1:12" x14ac:dyDescent="0.2">
      <c r="A11966"/>
      <c r="B11966"/>
      <c r="C11966"/>
      <c r="D11966"/>
      <c r="E11966"/>
      <c r="F11966"/>
      <c r="G11966"/>
      <c r="H11966"/>
      <c r="I11966"/>
      <c r="J11966"/>
      <c r="K11966" s="1"/>
      <c r="L11966" s="2"/>
    </row>
    <row r="11967" spans="1:12" x14ac:dyDescent="0.2">
      <c r="A11967"/>
      <c r="B11967"/>
      <c r="C11967"/>
      <c r="D11967"/>
      <c r="E11967"/>
      <c r="F11967"/>
      <c r="G11967"/>
      <c r="H11967"/>
      <c r="I11967"/>
      <c r="J11967"/>
      <c r="K11967" s="1"/>
      <c r="L11967" s="2"/>
    </row>
    <row r="11968" spans="1:12" x14ac:dyDescent="0.2">
      <c r="A11968"/>
      <c r="B11968"/>
      <c r="C11968"/>
      <c r="D11968"/>
      <c r="E11968"/>
      <c r="F11968"/>
      <c r="G11968"/>
      <c r="H11968"/>
      <c r="I11968"/>
      <c r="J11968"/>
      <c r="K11968" s="1"/>
      <c r="L11968" s="2"/>
    </row>
    <row r="11969" spans="1:12" x14ac:dyDescent="0.2">
      <c r="A11969"/>
      <c r="B11969"/>
      <c r="C11969"/>
      <c r="D11969"/>
      <c r="E11969"/>
      <c r="F11969"/>
      <c r="G11969"/>
      <c r="H11969"/>
      <c r="I11969"/>
      <c r="J11969"/>
      <c r="K11969" s="1"/>
      <c r="L11969" s="2"/>
    </row>
    <row r="11970" spans="1:12" x14ac:dyDescent="0.2">
      <c r="A11970"/>
      <c r="B11970"/>
      <c r="C11970"/>
      <c r="D11970"/>
      <c r="E11970"/>
      <c r="F11970"/>
      <c r="G11970"/>
      <c r="H11970"/>
      <c r="I11970"/>
      <c r="J11970"/>
      <c r="K11970" s="1"/>
      <c r="L11970" s="2"/>
    </row>
    <row r="11971" spans="1:12" x14ac:dyDescent="0.2">
      <c r="A11971"/>
      <c r="B11971"/>
      <c r="C11971"/>
      <c r="D11971"/>
      <c r="E11971"/>
      <c r="F11971"/>
      <c r="G11971"/>
      <c r="H11971"/>
      <c r="I11971"/>
      <c r="J11971"/>
      <c r="K11971" s="1"/>
      <c r="L11971" s="2"/>
    </row>
    <row r="11972" spans="1:12" x14ac:dyDescent="0.2">
      <c r="A11972"/>
      <c r="B11972"/>
      <c r="C11972"/>
      <c r="D11972"/>
      <c r="E11972"/>
      <c r="F11972"/>
      <c r="G11972"/>
      <c r="H11972"/>
      <c r="I11972"/>
      <c r="J11972"/>
      <c r="K11972" s="1"/>
      <c r="L11972" s="2"/>
    </row>
    <row r="11973" spans="1:12" x14ac:dyDescent="0.2">
      <c r="A11973"/>
      <c r="B11973"/>
      <c r="C11973"/>
      <c r="D11973"/>
      <c r="E11973"/>
      <c r="F11973"/>
      <c r="G11973"/>
      <c r="H11973"/>
      <c r="I11973"/>
      <c r="J11973"/>
      <c r="K11973" s="1"/>
      <c r="L11973" s="2"/>
    </row>
    <row r="11974" spans="1:12" x14ac:dyDescent="0.2">
      <c r="A11974"/>
      <c r="B11974"/>
      <c r="C11974"/>
      <c r="D11974"/>
      <c r="E11974"/>
      <c r="F11974"/>
      <c r="G11974"/>
      <c r="H11974"/>
      <c r="I11974"/>
      <c r="J11974"/>
      <c r="K11974" s="1"/>
      <c r="L11974" s="2"/>
    </row>
    <row r="11975" spans="1:12" x14ac:dyDescent="0.2">
      <c r="A11975"/>
      <c r="B11975"/>
      <c r="C11975"/>
      <c r="D11975"/>
      <c r="E11975"/>
      <c r="F11975"/>
      <c r="G11975"/>
      <c r="H11975"/>
      <c r="I11975"/>
      <c r="J11975"/>
      <c r="K11975" s="1"/>
      <c r="L11975" s="2"/>
    </row>
    <row r="11976" spans="1:12" x14ac:dyDescent="0.2">
      <c r="A11976"/>
      <c r="B11976"/>
      <c r="C11976"/>
      <c r="D11976"/>
      <c r="E11976"/>
      <c r="F11976"/>
      <c r="G11976"/>
      <c r="H11976"/>
      <c r="I11976"/>
      <c r="J11976"/>
      <c r="K11976" s="1"/>
      <c r="L11976" s="2"/>
    </row>
    <row r="11977" spans="1:12" x14ac:dyDescent="0.2">
      <c r="A11977"/>
      <c r="B11977"/>
      <c r="C11977"/>
      <c r="D11977"/>
      <c r="E11977"/>
      <c r="F11977"/>
      <c r="G11977"/>
      <c r="H11977"/>
      <c r="I11977"/>
      <c r="J11977"/>
      <c r="K11977" s="1"/>
      <c r="L11977" s="2"/>
    </row>
    <row r="11978" spans="1:12" x14ac:dyDescent="0.2">
      <c r="A11978"/>
      <c r="B11978"/>
      <c r="C11978"/>
      <c r="D11978"/>
      <c r="E11978"/>
      <c r="F11978"/>
      <c r="G11978"/>
      <c r="H11978"/>
      <c r="I11978"/>
      <c r="J11978"/>
      <c r="K11978" s="1"/>
      <c r="L11978" s="2"/>
    </row>
    <row r="11979" spans="1:12" x14ac:dyDescent="0.2">
      <c r="A11979"/>
      <c r="B11979"/>
      <c r="C11979"/>
      <c r="D11979"/>
      <c r="E11979"/>
      <c r="F11979"/>
      <c r="G11979"/>
      <c r="H11979"/>
      <c r="I11979"/>
      <c r="J11979"/>
      <c r="K11979" s="1"/>
      <c r="L11979" s="2"/>
    </row>
    <row r="11980" spans="1:12" x14ac:dyDescent="0.2">
      <c r="A11980"/>
      <c r="B11980"/>
      <c r="C11980"/>
      <c r="D11980"/>
      <c r="E11980"/>
      <c r="F11980"/>
      <c r="G11980"/>
      <c r="H11980"/>
      <c r="I11980"/>
      <c r="J11980"/>
      <c r="K11980" s="1"/>
      <c r="L11980" s="2"/>
    </row>
    <row r="11981" spans="1:12" x14ac:dyDescent="0.2">
      <c r="A11981"/>
      <c r="B11981"/>
      <c r="C11981"/>
      <c r="D11981"/>
      <c r="E11981"/>
      <c r="F11981"/>
      <c r="G11981"/>
      <c r="H11981"/>
      <c r="I11981"/>
      <c r="J11981"/>
      <c r="K11981" s="1"/>
      <c r="L11981" s="2"/>
    </row>
    <row r="11982" spans="1:12" x14ac:dyDescent="0.2">
      <c r="A11982"/>
      <c r="B11982"/>
      <c r="C11982"/>
      <c r="D11982"/>
      <c r="E11982"/>
      <c r="F11982"/>
      <c r="G11982"/>
      <c r="H11982"/>
      <c r="I11982"/>
      <c r="J11982"/>
      <c r="K11982" s="1"/>
      <c r="L11982" s="2"/>
    </row>
    <row r="11983" spans="1:12" x14ac:dyDescent="0.2">
      <c r="A11983"/>
      <c r="B11983"/>
      <c r="C11983"/>
      <c r="D11983"/>
      <c r="E11983"/>
      <c r="F11983"/>
      <c r="G11983"/>
      <c r="H11983"/>
      <c r="I11983"/>
      <c r="J11983"/>
      <c r="K11983" s="1"/>
      <c r="L11983" s="2"/>
    </row>
    <row r="11984" spans="1:12" x14ac:dyDescent="0.2">
      <c r="A11984"/>
      <c r="B11984"/>
      <c r="C11984"/>
      <c r="D11984"/>
      <c r="E11984"/>
      <c r="F11984"/>
      <c r="G11984"/>
      <c r="H11984"/>
      <c r="I11984"/>
      <c r="J11984"/>
      <c r="K11984" s="1"/>
      <c r="L11984" s="2"/>
    </row>
    <row r="11985" spans="1:12" x14ac:dyDescent="0.2">
      <c r="A11985"/>
      <c r="B11985"/>
      <c r="C11985"/>
      <c r="D11985"/>
      <c r="E11985"/>
      <c r="F11985"/>
      <c r="G11985"/>
      <c r="H11985"/>
      <c r="I11985"/>
      <c r="J11985"/>
      <c r="K11985" s="1"/>
      <c r="L11985" s="2"/>
    </row>
    <row r="11986" spans="1:12" x14ac:dyDescent="0.2">
      <c r="A11986"/>
      <c r="B11986"/>
      <c r="C11986"/>
      <c r="D11986"/>
      <c r="E11986"/>
      <c r="F11986"/>
      <c r="G11986"/>
      <c r="H11986"/>
      <c r="I11986"/>
      <c r="J11986"/>
      <c r="K11986" s="1"/>
      <c r="L11986" s="2"/>
    </row>
    <row r="11987" spans="1:12" x14ac:dyDescent="0.2">
      <c r="A11987"/>
      <c r="B11987"/>
      <c r="C11987"/>
      <c r="D11987"/>
      <c r="E11987"/>
      <c r="F11987"/>
      <c r="G11987"/>
      <c r="H11987"/>
      <c r="I11987"/>
      <c r="J11987"/>
      <c r="K11987" s="1"/>
      <c r="L11987" s="2"/>
    </row>
    <row r="11988" spans="1:12" x14ac:dyDescent="0.2">
      <c r="A11988"/>
      <c r="B11988"/>
      <c r="C11988"/>
      <c r="D11988"/>
      <c r="E11988"/>
      <c r="F11988"/>
      <c r="G11988"/>
      <c r="H11988"/>
      <c r="I11988"/>
      <c r="J11988"/>
      <c r="K11988" s="1"/>
      <c r="L11988" s="2"/>
    </row>
    <row r="11989" spans="1:12" x14ac:dyDescent="0.2">
      <c r="A11989"/>
      <c r="B11989"/>
      <c r="C11989"/>
      <c r="D11989"/>
      <c r="E11989"/>
      <c r="F11989"/>
      <c r="G11989"/>
      <c r="H11989"/>
      <c r="I11989"/>
      <c r="J11989"/>
      <c r="K11989" s="1"/>
      <c r="L11989" s="2"/>
    </row>
    <row r="11990" spans="1:12" x14ac:dyDescent="0.2">
      <c r="A11990"/>
      <c r="B11990"/>
      <c r="C11990"/>
      <c r="D11990"/>
      <c r="E11990"/>
      <c r="F11990"/>
      <c r="G11990"/>
      <c r="H11990"/>
      <c r="I11990"/>
      <c r="J11990"/>
      <c r="K11990" s="1"/>
      <c r="L11990" s="2"/>
    </row>
    <row r="11991" spans="1:12" x14ac:dyDescent="0.2">
      <c r="A11991"/>
      <c r="B11991"/>
      <c r="C11991"/>
      <c r="D11991"/>
      <c r="E11991"/>
      <c r="F11991"/>
      <c r="G11991"/>
      <c r="H11991"/>
      <c r="I11991"/>
      <c r="J11991"/>
      <c r="K11991" s="1"/>
      <c r="L11991" s="2"/>
    </row>
    <row r="11992" spans="1:12" x14ac:dyDescent="0.2">
      <c r="A11992"/>
      <c r="B11992"/>
      <c r="C11992"/>
      <c r="D11992"/>
      <c r="E11992"/>
      <c r="F11992"/>
      <c r="G11992"/>
      <c r="H11992"/>
      <c r="I11992"/>
      <c r="J11992"/>
      <c r="K11992" s="1"/>
      <c r="L11992" s="2"/>
    </row>
    <row r="11993" spans="1:12" x14ac:dyDescent="0.2">
      <c r="A11993"/>
      <c r="B11993"/>
      <c r="C11993"/>
      <c r="D11993"/>
      <c r="E11993"/>
      <c r="F11993"/>
      <c r="G11993"/>
      <c r="H11993"/>
      <c r="I11993"/>
      <c r="J11993"/>
      <c r="K11993" s="1"/>
      <c r="L11993" s="2"/>
    </row>
    <row r="11994" spans="1:12" x14ac:dyDescent="0.2">
      <c r="A11994"/>
      <c r="B11994"/>
      <c r="C11994"/>
      <c r="D11994"/>
      <c r="E11994"/>
      <c r="F11994"/>
      <c r="G11994"/>
      <c r="H11994"/>
      <c r="I11994"/>
      <c r="J11994"/>
      <c r="K11994" s="1"/>
      <c r="L11994" s="2"/>
    </row>
    <row r="11995" spans="1:12" x14ac:dyDescent="0.2">
      <c r="A11995"/>
      <c r="B11995"/>
      <c r="C11995"/>
      <c r="D11995"/>
      <c r="E11995"/>
      <c r="F11995"/>
      <c r="G11995"/>
      <c r="H11995"/>
      <c r="I11995"/>
      <c r="J11995"/>
      <c r="K11995" s="1"/>
      <c r="L11995" s="2"/>
    </row>
    <row r="11996" spans="1:12" x14ac:dyDescent="0.2">
      <c r="A11996"/>
      <c r="B11996"/>
      <c r="C11996"/>
      <c r="D11996"/>
      <c r="E11996"/>
      <c r="F11996"/>
      <c r="G11996"/>
      <c r="H11996"/>
      <c r="I11996"/>
      <c r="J11996"/>
      <c r="K11996" s="1"/>
      <c r="L11996" s="2"/>
    </row>
    <row r="11997" spans="1:12" x14ac:dyDescent="0.2">
      <c r="A11997"/>
      <c r="B11997"/>
      <c r="C11997"/>
      <c r="D11997"/>
      <c r="E11997"/>
      <c r="F11997"/>
      <c r="G11997"/>
      <c r="H11997"/>
      <c r="I11997"/>
      <c r="J11997"/>
      <c r="K11997" s="1"/>
      <c r="L11997" s="2"/>
    </row>
    <row r="11998" spans="1:12" x14ac:dyDescent="0.2">
      <c r="A11998"/>
      <c r="B11998"/>
      <c r="C11998"/>
      <c r="D11998"/>
      <c r="E11998"/>
      <c r="F11998"/>
      <c r="G11998"/>
      <c r="H11998"/>
      <c r="I11998"/>
      <c r="J11998"/>
      <c r="K11998" s="1"/>
      <c r="L11998" s="2"/>
    </row>
    <row r="11999" spans="1:12" x14ac:dyDescent="0.2">
      <c r="A11999"/>
      <c r="B11999"/>
      <c r="C11999"/>
      <c r="D11999"/>
      <c r="E11999"/>
      <c r="F11999"/>
      <c r="G11999"/>
      <c r="H11999"/>
      <c r="I11999"/>
      <c r="J11999"/>
      <c r="K11999" s="1"/>
      <c r="L11999" s="2"/>
    </row>
    <row r="12000" spans="1:12" x14ac:dyDescent="0.2">
      <c r="A12000"/>
      <c r="B12000"/>
      <c r="C12000"/>
      <c r="D12000"/>
      <c r="E12000"/>
      <c r="F12000"/>
      <c r="G12000"/>
      <c r="H12000"/>
      <c r="I12000"/>
      <c r="J12000"/>
      <c r="K12000" s="1"/>
      <c r="L12000" s="2"/>
    </row>
    <row r="12001" spans="1:12" x14ac:dyDescent="0.2">
      <c r="A12001"/>
      <c r="B12001"/>
      <c r="C12001"/>
      <c r="D12001"/>
      <c r="E12001"/>
      <c r="F12001"/>
      <c r="G12001"/>
      <c r="H12001"/>
      <c r="I12001"/>
      <c r="J12001"/>
      <c r="K12001" s="1"/>
      <c r="L12001" s="2"/>
    </row>
    <row r="12002" spans="1:12" x14ac:dyDescent="0.2">
      <c r="A12002"/>
      <c r="B12002"/>
      <c r="C12002"/>
      <c r="D12002"/>
      <c r="E12002"/>
      <c r="F12002"/>
      <c r="G12002"/>
      <c r="H12002"/>
      <c r="I12002"/>
      <c r="J12002"/>
      <c r="K12002" s="1"/>
      <c r="L12002" s="2"/>
    </row>
    <row r="12003" spans="1:12" x14ac:dyDescent="0.2">
      <c r="A12003"/>
      <c r="B12003"/>
      <c r="C12003"/>
      <c r="D12003"/>
      <c r="E12003"/>
      <c r="F12003"/>
      <c r="G12003"/>
      <c r="H12003"/>
      <c r="I12003"/>
      <c r="J12003"/>
      <c r="K12003" s="1"/>
      <c r="L12003" s="2"/>
    </row>
    <row r="12004" spans="1:12" x14ac:dyDescent="0.2">
      <c r="A12004"/>
      <c r="B12004"/>
      <c r="C12004"/>
      <c r="D12004"/>
      <c r="E12004"/>
      <c r="F12004"/>
      <c r="G12004"/>
      <c r="H12004"/>
      <c r="I12004"/>
      <c r="J12004"/>
      <c r="K12004" s="1"/>
      <c r="L12004" s="2"/>
    </row>
    <row r="12005" spans="1:12" x14ac:dyDescent="0.2">
      <c r="A12005"/>
      <c r="B12005"/>
      <c r="C12005"/>
      <c r="D12005"/>
      <c r="E12005"/>
      <c r="F12005"/>
      <c r="G12005"/>
      <c r="H12005"/>
      <c r="I12005"/>
      <c r="J12005"/>
      <c r="K12005" s="1"/>
      <c r="L12005" s="2"/>
    </row>
    <row r="12006" spans="1:12" x14ac:dyDescent="0.2">
      <c r="A12006"/>
      <c r="B12006"/>
      <c r="C12006"/>
      <c r="D12006"/>
      <c r="E12006"/>
      <c r="F12006"/>
      <c r="G12006"/>
      <c r="H12006"/>
      <c r="I12006"/>
      <c r="J12006"/>
      <c r="K12006" s="1"/>
      <c r="L12006" s="2"/>
    </row>
    <row r="12007" spans="1:12" x14ac:dyDescent="0.2">
      <c r="A12007"/>
      <c r="B12007"/>
      <c r="C12007"/>
      <c r="D12007"/>
      <c r="E12007"/>
      <c r="F12007"/>
      <c r="G12007"/>
      <c r="H12007"/>
      <c r="I12007"/>
      <c r="J12007"/>
      <c r="K12007" s="1"/>
      <c r="L12007" s="2"/>
    </row>
    <row r="12008" spans="1:12" x14ac:dyDescent="0.2">
      <c r="A12008"/>
      <c r="B12008"/>
      <c r="C12008"/>
      <c r="D12008"/>
      <c r="E12008"/>
      <c r="F12008"/>
      <c r="G12008"/>
      <c r="H12008"/>
      <c r="I12008"/>
      <c r="J12008"/>
      <c r="K12008" s="1"/>
      <c r="L12008" s="2"/>
    </row>
    <row r="12009" spans="1:12" x14ac:dyDescent="0.2">
      <c r="A12009"/>
      <c r="B12009"/>
      <c r="C12009"/>
      <c r="D12009"/>
      <c r="E12009"/>
      <c r="F12009"/>
      <c r="G12009"/>
      <c r="H12009"/>
      <c r="I12009"/>
      <c r="J12009"/>
      <c r="K12009" s="1"/>
      <c r="L12009" s="2"/>
    </row>
    <row r="12010" spans="1:12" x14ac:dyDescent="0.2">
      <c r="A12010"/>
      <c r="B12010"/>
      <c r="C12010"/>
      <c r="D12010"/>
      <c r="E12010"/>
      <c r="F12010"/>
      <c r="G12010"/>
      <c r="H12010"/>
      <c r="I12010"/>
      <c r="J12010"/>
      <c r="K12010" s="1"/>
      <c r="L12010" s="2"/>
    </row>
    <row r="12011" spans="1:12" x14ac:dyDescent="0.2">
      <c r="A12011"/>
      <c r="B12011"/>
      <c r="C12011"/>
      <c r="D12011"/>
      <c r="E12011"/>
      <c r="F12011"/>
      <c r="G12011"/>
      <c r="H12011"/>
      <c r="I12011"/>
      <c r="J12011"/>
      <c r="K12011" s="1"/>
      <c r="L12011" s="2"/>
    </row>
    <row r="12012" spans="1:12" x14ac:dyDescent="0.2">
      <c r="A12012"/>
      <c r="B12012"/>
      <c r="C12012"/>
      <c r="D12012"/>
      <c r="E12012"/>
      <c r="F12012"/>
      <c r="G12012"/>
      <c r="H12012"/>
      <c r="I12012"/>
      <c r="J12012"/>
      <c r="K12012" s="1"/>
      <c r="L12012" s="2"/>
    </row>
    <row r="12013" spans="1:12" x14ac:dyDescent="0.2">
      <c r="A12013"/>
      <c r="B12013"/>
      <c r="C12013"/>
      <c r="D12013"/>
      <c r="E12013"/>
      <c r="F12013"/>
      <c r="G12013"/>
      <c r="H12013"/>
      <c r="I12013"/>
      <c r="J12013"/>
      <c r="K12013" s="1"/>
      <c r="L12013" s="2"/>
    </row>
    <row r="12014" spans="1:12" x14ac:dyDescent="0.2">
      <c r="A12014"/>
      <c r="B12014"/>
      <c r="C12014"/>
      <c r="D12014"/>
      <c r="E12014"/>
      <c r="F12014"/>
      <c r="G12014"/>
      <c r="H12014"/>
      <c r="I12014"/>
      <c r="J12014"/>
      <c r="K12014" s="1"/>
      <c r="L12014" s="2"/>
    </row>
    <row r="12015" spans="1:12" x14ac:dyDescent="0.2">
      <c r="A12015"/>
      <c r="B12015"/>
      <c r="C12015"/>
      <c r="D12015"/>
      <c r="E12015"/>
      <c r="F12015"/>
      <c r="G12015"/>
      <c r="H12015"/>
      <c r="I12015"/>
      <c r="J12015"/>
      <c r="K12015" s="1"/>
      <c r="L12015" s="2"/>
    </row>
    <row r="12016" spans="1:12" x14ac:dyDescent="0.2">
      <c r="A12016"/>
      <c r="B12016"/>
      <c r="C12016"/>
      <c r="D12016"/>
      <c r="E12016"/>
      <c r="F12016"/>
      <c r="G12016"/>
      <c r="H12016"/>
      <c r="I12016"/>
      <c r="J12016"/>
      <c r="K12016" s="1"/>
      <c r="L12016" s="2"/>
    </row>
    <row r="12017" spans="1:12" x14ac:dyDescent="0.2">
      <c r="A12017"/>
      <c r="B12017"/>
      <c r="C12017"/>
      <c r="D12017"/>
      <c r="E12017"/>
      <c r="F12017"/>
      <c r="G12017"/>
      <c r="H12017"/>
      <c r="I12017"/>
      <c r="J12017"/>
      <c r="K12017" s="1"/>
      <c r="L12017" s="2"/>
    </row>
    <row r="12018" spans="1:12" x14ac:dyDescent="0.2">
      <c r="A12018"/>
      <c r="B12018"/>
      <c r="C12018"/>
      <c r="D12018"/>
      <c r="E12018"/>
      <c r="F12018"/>
      <c r="G12018"/>
      <c r="H12018"/>
      <c r="I12018"/>
      <c r="J12018"/>
      <c r="K12018" s="1"/>
      <c r="L12018" s="2"/>
    </row>
    <row r="12019" spans="1:12" x14ac:dyDescent="0.2">
      <c r="A12019"/>
      <c r="B12019"/>
      <c r="C12019"/>
      <c r="D12019"/>
      <c r="E12019"/>
      <c r="F12019"/>
      <c r="G12019"/>
      <c r="H12019"/>
      <c r="I12019"/>
      <c r="J12019"/>
      <c r="K12019" s="1"/>
      <c r="L12019" s="2"/>
    </row>
    <row r="12020" spans="1:12" x14ac:dyDescent="0.2">
      <c r="A12020"/>
      <c r="B12020"/>
      <c r="C12020"/>
      <c r="D12020"/>
      <c r="E12020"/>
      <c r="F12020"/>
      <c r="G12020"/>
      <c r="H12020"/>
      <c r="I12020"/>
      <c r="J12020"/>
      <c r="K12020" s="1"/>
      <c r="L12020" s="2"/>
    </row>
    <row r="12021" spans="1:12" x14ac:dyDescent="0.2">
      <c r="A12021"/>
      <c r="B12021"/>
      <c r="C12021"/>
      <c r="D12021"/>
      <c r="E12021"/>
      <c r="F12021"/>
      <c r="G12021"/>
      <c r="H12021"/>
      <c r="I12021"/>
      <c r="J12021"/>
      <c r="K12021" s="1"/>
      <c r="L12021" s="2"/>
    </row>
    <row r="12022" spans="1:12" x14ac:dyDescent="0.2">
      <c r="A12022"/>
      <c r="B12022"/>
      <c r="C12022"/>
      <c r="D12022"/>
      <c r="E12022"/>
      <c r="F12022"/>
      <c r="G12022"/>
      <c r="H12022"/>
      <c r="I12022"/>
      <c r="J12022"/>
      <c r="K12022" s="1"/>
      <c r="L12022" s="2"/>
    </row>
    <row r="12023" spans="1:12" x14ac:dyDescent="0.2">
      <c r="A12023"/>
      <c r="B12023"/>
      <c r="C12023"/>
      <c r="D12023"/>
      <c r="E12023"/>
      <c r="F12023"/>
      <c r="G12023"/>
      <c r="H12023"/>
      <c r="I12023"/>
      <c r="J12023"/>
      <c r="K12023" s="1"/>
      <c r="L12023" s="2"/>
    </row>
    <row r="12024" spans="1:12" x14ac:dyDescent="0.2">
      <c r="A12024"/>
      <c r="B12024"/>
      <c r="C12024"/>
      <c r="D12024"/>
      <c r="E12024"/>
      <c r="F12024"/>
      <c r="G12024"/>
      <c r="H12024"/>
      <c r="I12024"/>
      <c r="J12024"/>
      <c r="K12024" s="1"/>
      <c r="L12024" s="2"/>
    </row>
    <row r="12025" spans="1:12" x14ac:dyDescent="0.2">
      <c r="A12025"/>
      <c r="B12025"/>
      <c r="C12025"/>
      <c r="D12025"/>
      <c r="E12025"/>
      <c r="F12025"/>
      <c r="G12025"/>
      <c r="H12025"/>
      <c r="I12025"/>
      <c r="J12025"/>
      <c r="K12025" s="1"/>
      <c r="L12025" s="2"/>
    </row>
    <row r="12026" spans="1:12" x14ac:dyDescent="0.2">
      <c r="A12026"/>
      <c r="B12026"/>
      <c r="C12026"/>
      <c r="D12026"/>
      <c r="E12026"/>
      <c r="F12026"/>
      <c r="G12026"/>
      <c r="H12026"/>
      <c r="I12026"/>
      <c r="J12026"/>
      <c r="K12026" s="1"/>
      <c r="L12026" s="2"/>
    </row>
    <row r="12027" spans="1:12" x14ac:dyDescent="0.2">
      <c r="A12027"/>
      <c r="B12027"/>
      <c r="C12027"/>
      <c r="D12027"/>
      <c r="E12027"/>
      <c r="F12027"/>
      <c r="G12027"/>
      <c r="H12027"/>
      <c r="I12027"/>
      <c r="J12027"/>
      <c r="K12027" s="1"/>
      <c r="L12027" s="2"/>
    </row>
    <row r="12028" spans="1:12" x14ac:dyDescent="0.2">
      <c r="A12028"/>
      <c r="B12028"/>
      <c r="C12028"/>
      <c r="D12028"/>
      <c r="E12028"/>
      <c r="F12028"/>
      <c r="G12028"/>
      <c r="H12028"/>
      <c r="I12028"/>
      <c r="J12028"/>
      <c r="K12028" s="1"/>
      <c r="L12028" s="2"/>
    </row>
    <row r="12029" spans="1:12" x14ac:dyDescent="0.2">
      <c r="A12029"/>
      <c r="B12029"/>
      <c r="C12029"/>
      <c r="D12029"/>
      <c r="E12029"/>
      <c r="F12029"/>
      <c r="G12029"/>
      <c r="H12029"/>
      <c r="I12029"/>
      <c r="J12029"/>
      <c r="K12029" s="1"/>
      <c r="L12029" s="2"/>
    </row>
    <row r="12030" spans="1:12" x14ac:dyDescent="0.2">
      <c r="A12030"/>
      <c r="B12030"/>
      <c r="C12030"/>
      <c r="D12030"/>
      <c r="E12030"/>
      <c r="F12030"/>
      <c r="G12030"/>
      <c r="H12030"/>
      <c r="I12030"/>
      <c r="J12030"/>
      <c r="K12030" s="1"/>
      <c r="L12030" s="2"/>
    </row>
    <row r="12031" spans="1:12" x14ac:dyDescent="0.2">
      <c r="A12031"/>
      <c r="B12031"/>
      <c r="C12031"/>
      <c r="D12031"/>
      <c r="E12031"/>
      <c r="F12031"/>
      <c r="G12031"/>
      <c r="H12031"/>
      <c r="I12031"/>
      <c r="J12031"/>
      <c r="K12031" s="1"/>
      <c r="L12031" s="2"/>
    </row>
    <row r="12032" spans="1:12" x14ac:dyDescent="0.2">
      <c r="A12032"/>
      <c r="B12032"/>
      <c r="C12032"/>
      <c r="D12032"/>
      <c r="E12032"/>
      <c r="F12032"/>
      <c r="G12032"/>
      <c r="H12032"/>
      <c r="I12032"/>
      <c r="J12032"/>
      <c r="K12032" s="1"/>
      <c r="L12032" s="2"/>
    </row>
    <row r="12033" spans="1:12" x14ac:dyDescent="0.2">
      <c r="A12033"/>
      <c r="B12033"/>
      <c r="C12033"/>
      <c r="D12033"/>
      <c r="E12033"/>
      <c r="F12033"/>
      <c r="G12033"/>
      <c r="H12033"/>
      <c r="I12033"/>
      <c r="J12033"/>
      <c r="K12033" s="1"/>
      <c r="L12033" s="2"/>
    </row>
    <row r="12034" spans="1:12" x14ac:dyDescent="0.2">
      <c r="A12034"/>
      <c r="B12034"/>
      <c r="C12034"/>
      <c r="D12034"/>
      <c r="E12034"/>
      <c r="F12034"/>
      <c r="G12034"/>
      <c r="H12034"/>
      <c r="I12034"/>
      <c r="J12034"/>
      <c r="K12034" s="1"/>
      <c r="L12034" s="2"/>
    </row>
    <row r="12035" spans="1:12" x14ac:dyDescent="0.2">
      <c r="A12035"/>
      <c r="B12035"/>
      <c r="C12035"/>
      <c r="D12035"/>
      <c r="E12035"/>
      <c r="F12035"/>
      <c r="G12035"/>
      <c r="H12035"/>
      <c r="I12035"/>
      <c r="J12035"/>
      <c r="K12035" s="1"/>
      <c r="L12035" s="2"/>
    </row>
    <row r="12036" spans="1:12" x14ac:dyDescent="0.2">
      <c r="A12036"/>
      <c r="B12036"/>
      <c r="C12036"/>
      <c r="D12036"/>
      <c r="E12036"/>
      <c r="F12036"/>
      <c r="G12036"/>
      <c r="H12036"/>
      <c r="I12036"/>
      <c r="J12036"/>
      <c r="K12036" s="1"/>
      <c r="L12036" s="2"/>
    </row>
    <row r="12037" spans="1:12" x14ac:dyDescent="0.2">
      <c r="A12037"/>
      <c r="B12037"/>
      <c r="C12037"/>
      <c r="D12037"/>
      <c r="E12037"/>
      <c r="F12037"/>
      <c r="G12037"/>
      <c r="H12037"/>
      <c r="I12037"/>
      <c r="J12037"/>
      <c r="K12037" s="1"/>
      <c r="L12037" s="2"/>
    </row>
    <row r="12038" spans="1:12" x14ac:dyDescent="0.2">
      <c r="A12038"/>
      <c r="B12038"/>
      <c r="C12038"/>
      <c r="D12038"/>
      <c r="E12038"/>
      <c r="F12038"/>
      <c r="G12038"/>
      <c r="H12038"/>
      <c r="I12038"/>
      <c r="J12038"/>
      <c r="K12038" s="1"/>
      <c r="L12038" s="2"/>
    </row>
    <row r="12039" spans="1:12" x14ac:dyDescent="0.2">
      <c r="A12039"/>
      <c r="B12039"/>
      <c r="C12039"/>
      <c r="D12039"/>
      <c r="E12039"/>
      <c r="F12039"/>
      <c r="G12039"/>
      <c r="H12039"/>
      <c r="I12039"/>
      <c r="J12039"/>
      <c r="K12039" s="1"/>
      <c r="L12039" s="2"/>
    </row>
    <row r="12040" spans="1:12" x14ac:dyDescent="0.2">
      <c r="A12040"/>
      <c r="B12040"/>
      <c r="C12040"/>
      <c r="D12040"/>
      <c r="E12040"/>
      <c r="F12040"/>
      <c r="G12040"/>
      <c r="H12040"/>
      <c r="I12040"/>
      <c r="J12040"/>
      <c r="K12040" s="1"/>
      <c r="L12040" s="2"/>
    </row>
    <row r="12041" spans="1:12" x14ac:dyDescent="0.2">
      <c r="A12041"/>
      <c r="B12041"/>
      <c r="C12041"/>
      <c r="D12041"/>
      <c r="E12041"/>
      <c r="F12041"/>
      <c r="G12041"/>
      <c r="H12041"/>
      <c r="I12041"/>
      <c r="J12041"/>
      <c r="K12041" s="1"/>
      <c r="L12041" s="2"/>
    </row>
    <row r="12042" spans="1:12" x14ac:dyDescent="0.2">
      <c r="A12042"/>
      <c r="B12042"/>
      <c r="C12042"/>
      <c r="D12042"/>
      <c r="E12042"/>
      <c r="F12042"/>
      <c r="G12042"/>
      <c r="H12042"/>
      <c r="I12042"/>
      <c r="J12042"/>
      <c r="K12042" s="1"/>
      <c r="L12042" s="2"/>
    </row>
    <row r="12043" spans="1:12" x14ac:dyDescent="0.2">
      <c r="A12043"/>
      <c r="B12043"/>
      <c r="C12043"/>
      <c r="D12043"/>
      <c r="E12043"/>
      <c r="F12043"/>
      <c r="G12043"/>
      <c r="H12043"/>
      <c r="I12043"/>
      <c r="J12043"/>
      <c r="K12043" s="1"/>
      <c r="L12043" s="2"/>
    </row>
    <row r="12044" spans="1:12" x14ac:dyDescent="0.2">
      <c r="A12044"/>
      <c r="B12044"/>
      <c r="C12044"/>
      <c r="D12044"/>
      <c r="E12044"/>
      <c r="F12044"/>
      <c r="G12044"/>
      <c r="H12044"/>
      <c r="I12044"/>
      <c r="J12044"/>
      <c r="K12044" s="1"/>
      <c r="L12044" s="2"/>
    </row>
    <row r="12045" spans="1:12" x14ac:dyDescent="0.2">
      <c r="A12045"/>
      <c r="B12045"/>
      <c r="C12045"/>
      <c r="D12045"/>
      <c r="E12045"/>
      <c r="F12045"/>
      <c r="G12045"/>
      <c r="H12045"/>
      <c r="I12045"/>
      <c r="J12045"/>
      <c r="K12045" s="1"/>
      <c r="L12045" s="2"/>
    </row>
    <row r="12046" spans="1:12" x14ac:dyDescent="0.2">
      <c r="A12046"/>
      <c r="B12046"/>
      <c r="C12046"/>
      <c r="D12046"/>
      <c r="E12046"/>
      <c r="F12046"/>
      <c r="G12046"/>
      <c r="H12046"/>
      <c r="I12046"/>
      <c r="J12046"/>
      <c r="K12046" s="1"/>
      <c r="L12046" s="2"/>
    </row>
    <row r="12047" spans="1:12" x14ac:dyDescent="0.2">
      <c r="A12047"/>
      <c r="B12047"/>
      <c r="C12047"/>
      <c r="D12047"/>
      <c r="E12047"/>
      <c r="F12047"/>
      <c r="G12047"/>
      <c r="H12047"/>
      <c r="I12047"/>
      <c r="J12047"/>
      <c r="K12047" s="1"/>
      <c r="L12047" s="2"/>
    </row>
    <row r="12048" spans="1:12" x14ac:dyDescent="0.2">
      <c r="A12048"/>
      <c r="B12048"/>
      <c r="C12048"/>
      <c r="D12048"/>
      <c r="E12048"/>
      <c r="F12048"/>
      <c r="G12048"/>
      <c r="H12048"/>
      <c r="I12048"/>
      <c r="J12048"/>
      <c r="K12048" s="1"/>
      <c r="L12048" s="2"/>
    </row>
    <row r="12049" spans="1:12" x14ac:dyDescent="0.2">
      <c r="A12049"/>
      <c r="B12049"/>
      <c r="C12049"/>
      <c r="D12049"/>
      <c r="E12049"/>
      <c r="F12049"/>
      <c r="G12049"/>
      <c r="H12049"/>
      <c r="I12049"/>
      <c r="J12049"/>
      <c r="K12049" s="1"/>
      <c r="L12049" s="2"/>
    </row>
    <row r="12050" spans="1:12" x14ac:dyDescent="0.2">
      <c r="A12050"/>
      <c r="B12050"/>
      <c r="C12050"/>
      <c r="D12050"/>
      <c r="E12050"/>
      <c r="F12050"/>
      <c r="G12050"/>
      <c r="H12050"/>
      <c r="I12050"/>
      <c r="J12050"/>
      <c r="K12050" s="1"/>
      <c r="L12050" s="2"/>
    </row>
    <row r="12051" spans="1:12" x14ac:dyDescent="0.2">
      <c r="A12051"/>
      <c r="B12051"/>
      <c r="C12051"/>
      <c r="D12051"/>
      <c r="E12051"/>
      <c r="F12051"/>
      <c r="G12051"/>
      <c r="H12051"/>
      <c r="I12051"/>
      <c r="J12051"/>
      <c r="K12051" s="1"/>
      <c r="L12051" s="2"/>
    </row>
    <row r="12052" spans="1:12" x14ac:dyDescent="0.2">
      <c r="A12052"/>
      <c r="B12052"/>
      <c r="C12052"/>
      <c r="D12052"/>
      <c r="E12052"/>
      <c r="F12052"/>
      <c r="G12052"/>
      <c r="H12052"/>
      <c r="I12052"/>
      <c r="J12052"/>
      <c r="K12052" s="1"/>
      <c r="L12052" s="2"/>
    </row>
    <row r="12053" spans="1:12" x14ac:dyDescent="0.2">
      <c r="A12053"/>
      <c r="B12053"/>
      <c r="C12053"/>
      <c r="D12053"/>
      <c r="E12053"/>
      <c r="F12053"/>
      <c r="G12053"/>
      <c r="H12053"/>
      <c r="I12053"/>
      <c r="J12053"/>
      <c r="K12053" s="1"/>
      <c r="L12053" s="2"/>
    </row>
    <row r="12054" spans="1:12" x14ac:dyDescent="0.2">
      <c r="A12054"/>
      <c r="B12054"/>
      <c r="C12054"/>
      <c r="D12054"/>
      <c r="E12054"/>
      <c r="F12054"/>
      <c r="G12054"/>
      <c r="H12054"/>
      <c r="I12054"/>
      <c r="J12054"/>
      <c r="K12054" s="1"/>
      <c r="L12054" s="2"/>
    </row>
    <row r="12055" spans="1:12" x14ac:dyDescent="0.2">
      <c r="A12055"/>
      <c r="B12055"/>
      <c r="C12055"/>
      <c r="D12055"/>
      <c r="E12055"/>
      <c r="F12055"/>
      <c r="G12055"/>
      <c r="H12055"/>
      <c r="I12055"/>
      <c r="J12055"/>
      <c r="K12055" s="1"/>
      <c r="L12055" s="2"/>
    </row>
    <row r="12056" spans="1:12" x14ac:dyDescent="0.2">
      <c r="A12056"/>
      <c r="B12056"/>
      <c r="C12056"/>
      <c r="D12056"/>
      <c r="E12056"/>
      <c r="F12056"/>
      <c r="G12056"/>
      <c r="H12056"/>
      <c r="I12056"/>
      <c r="J12056"/>
      <c r="K12056" s="1"/>
      <c r="L12056" s="2"/>
    </row>
    <row r="12057" spans="1:12" x14ac:dyDescent="0.2">
      <c r="A12057"/>
      <c r="B12057"/>
      <c r="C12057"/>
      <c r="D12057"/>
      <c r="E12057"/>
      <c r="F12057"/>
      <c r="G12057"/>
      <c r="H12057"/>
      <c r="I12057"/>
      <c r="J12057"/>
      <c r="K12057" s="1"/>
      <c r="L12057" s="2"/>
    </row>
    <row r="12058" spans="1:12" x14ac:dyDescent="0.2">
      <c r="A12058"/>
      <c r="B12058"/>
      <c r="C12058"/>
      <c r="D12058"/>
      <c r="E12058"/>
      <c r="F12058"/>
      <c r="G12058"/>
      <c r="H12058"/>
      <c r="I12058"/>
      <c r="J12058"/>
      <c r="K12058" s="1"/>
      <c r="L12058" s="2"/>
    </row>
    <row r="12059" spans="1:12" x14ac:dyDescent="0.2">
      <c r="A12059"/>
      <c r="B12059"/>
      <c r="C12059"/>
      <c r="D12059"/>
      <c r="E12059"/>
      <c r="F12059"/>
      <c r="G12059"/>
      <c r="H12059"/>
      <c r="I12059"/>
      <c r="J12059"/>
      <c r="K12059" s="1"/>
      <c r="L12059" s="2"/>
    </row>
    <row r="12060" spans="1:12" x14ac:dyDescent="0.2">
      <c r="A12060"/>
      <c r="B12060"/>
      <c r="C12060"/>
      <c r="D12060"/>
      <c r="E12060"/>
      <c r="F12060"/>
      <c r="G12060"/>
      <c r="H12060"/>
      <c r="I12060"/>
      <c r="J12060"/>
      <c r="K12060" s="1"/>
      <c r="L12060" s="2"/>
    </row>
    <row r="12061" spans="1:12" x14ac:dyDescent="0.2">
      <c r="A12061"/>
      <c r="B12061"/>
      <c r="C12061"/>
      <c r="D12061"/>
      <c r="E12061"/>
      <c r="F12061"/>
      <c r="G12061"/>
      <c r="H12061"/>
      <c r="I12061"/>
      <c r="J12061"/>
      <c r="K12061" s="1"/>
      <c r="L12061" s="2"/>
    </row>
    <row r="12062" spans="1:12" x14ac:dyDescent="0.2">
      <c r="A12062"/>
      <c r="B12062"/>
      <c r="C12062"/>
      <c r="D12062"/>
      <c r="E12062"/>
      <c r="F12062"/>
      <c r="G12062"/>
      <c r="H12062"/>
      <c r="I12062"/>
      <c r="J12062"/>
      <c r="K12062" s="1"/>
      <c r="L12062" s="2"/>
    </row>
    <row r="12063" spans="1:12" x14ac:dyDescent="0.2">
      <c r="A12063"/>
      <c r="B12063"/>
      <c r="C12063"/>
      <c r="D12063"/>
      <c r="E12063"/>
      <c r="F12063"/>
      <c r="G12063"/>
      <c r="H12063"/>
      <c r="I12063"/>
      <c r="J12063"/>
      <c r="K12063" s="1"/>
      <c r="L12063" s="2"/>
    </row>
    <row r="12064" spans="1:12" x14ac:dyDescent="0.2">
      <c r="A12064"/>
      <c r="B12064"/>
      <c r="C12064"/>
      <c r="D12064"/>
      <c r="E12064"/>
      <c r="F12064"/>
      <c r="G12064"/>
      <c r="H12064"/>
      <c r="I12064"/>
      <c r="J12064"/>
      <c r="K12064" s="1"/>
      <c r="L12064" s="2"/>
    </row>
    <row r="12065" spans="1:12" x14ac:dyDescent="0.2">
      <c r="A12065"/>
      <c r="B12065"/>
      <c r="C12065"/>
      <c r="D12065"/>
      <c r="E12065"/>
      <c r="F12065"/>
      <c r="G12065"/>
      <c r="H12065"/>
      <c r="I12065"/>
      <c r="J12065"/>
      <c r="K12065" s="1"/>
      <c r="L12065" s="2"/>
    </row>
    <row r="12066" spans="1:12" x14ac:dyDescent="0.2">
      <c r="A12066"/>
      <c r="B12066"/>
      <c r="C12066"/>
      <c r="D12066"/>
      <c r="E12066"/>
      <c r="F12066"/>
      <c r="G12066"/>
      <c r="H12066"/>
      <c r="I12066"/>
      <c r="J12066"/>
      <c r="K12066" s="1"/>
      <c r="L12066" s="2"/>
    </row>
    <row r="12067" spans="1:12" x14ac:dyDescent="0.2">
      <c r="A12067"/>
      <c r="B12067"/>
      <c r="C12067"/>
      <c r="D12067"/>
      <c r="E12067"/>
      <c r="F12067"/>
      <c r="G12067"/>
      <c r="H12067"/>
      <c r="I12067"/>
      <c r="J12067"/>
      <c r="K12067" s="1"/>
      <c r="L12067" s="2"/>
    </row>
    <row r="12068" spans="1:12" x14ac:dyDescent="0.2">
      <c r="A12068"/>
      <c r="B12068"/>
      <c r="C12068"/>
      <c r="D12068"/>
      <c r="E12068"/>
      <c r="F12068"/>
      <c r="G12068"/>
      <c r="H12068"/>
      <c r="I12068"/>
      <c r="J12068"/>
      <c r="K12068" s="1"/>
      <c r="L12068" s="2"/>
    </row>
    <row r="12069" spans="1:12" x14ac:dyDescent="0.2">
      <c r="A12069"/>
      <c r="B12069"/>
      <c r="C12069"/>
      <c r="D12069"/>
      <c r="E12069"/>
      <c r="F12069"/>
      <c r="G12069"/>
      <c r="H12069"/>
      <c r="I12069"/>
      <c r="J12069"/>
      <c r="K12069" s="1"/>
      <c r="L12069" s="2"/>
    </row>
    <row r="12070" spans="1:12" x14ac:dyDescent="0.2">
      <c r="A12070"/>
      <c r="B12070"/>
      <c r="C12070"/>
      <c r="D12070"/>
      <c r="E12070"/>
      <c r="F12070"/>
      <c r="G12070"/>
      <c r="H12070"/>
      <c r="I12070"/>
      <c r="J12070"/>
      <c r="K12070" s="1"/>
      <c r="L12070" s="2"/>
    </row>
    <row r="12071" spans="1:12" x14ac:dyDescent="0.2">
      <c r="A12071"/>
      <c r="B12071"/>
      <c r="C12071"/>
      <c r="D12071"/>
      <c r="E12071"/>
      <c r="F12071"/>
      <c r="G12071"/>
      <c r="H12071"/>
      <c r="I12071"/>
      <c r="J12071"/>
      <c r="K12071" s="1"/>
      <c r="L12071" s="2"/>
    </row>
    <row r="12072" spans="1:12" x14ac:dyDescent="0.2">
      <c r="A12072"/>
      <c r="B12072"/>
      <c r="C12072"/>
      <c r="D12072"/>
      <c r="E12072"/>
      <c r="F12072"/>
      <c r="G12072"/>
      <c r="H12072"/>
      <c r="I12072"/>
      <c r="J12072"/>
      <c r="K12072" s="1"/>
      <c r="L12072" s="2"/>
    </row>
    <row r="12073" spans="1:12" x14ac:dyDescent="0.2">
      <c r="A12073"/>
      <c r="B12073"/>
      <c r="C12073"/>
      <c r="D12073"/>
      <c r="E12073"/>
      <c r="F12073"/>
      <c r="G12073"/>
      <c r="H12073"/>
      <c r="I12073"/>
      <c r="J12073"/>
      <c r="K12073" s="1"/>
      <c r="L12073" s="2"/>
    </row>
    <row r="12074" spans="1:12" x14ac:dyDescent="0.2">
      <c r="A12074"/>
      <c r="B12074"/>
      <c r="C12074"/>
      <c r="D12074"/>
      <c r="E12074"/>
      <c r="F12074"/>
      <c r="G12074"/>
      <c r="H12074"/>
      <c r="I12074"/>
      <c r="J12074"/>
      <c r="K12074" s="1"/>
      <c r="L12074" s="2"/>
    </row>
    <row r="12075" spans="1:12" x14ac:dyDescent="0.2">
      <c r="A12075"/>
      <c r="B12075"/>
      <c r="C12075"/>
      <c r="D12075"/>
      <c r="E12075"/>
      <c r="F12075"/>
      <c r="G12075"/>
      <c r="H12075"/>
      <c r="I12075"/>
      <c r="J12075"/>
      <c r="K12075" s="1"/>
      <c r="L12075" s="2"/>
    </row>
    <row r="12076" spans="1:12" x14ac:dyDescent="0.2">
      <c r="A12076"/>
      <c r="B12076"/>
      <c r="C12076"/>
      <c r="D12076"/>
      <c r="E12076"/>
      <c r="F12076"/>
      <c r="G12076"/>
      <c r="H12076"/>
      <c r="I12076"/>
      <c r="J12076"/>
      <c r="K12076" s="1"/>
      <c r="L12076" s="2"/>
    </row>
    <row r="12077" spans="1:12" x14ac:dyDescent="0.2">
      <c r="A12077"/>
      <c r="B12077"/>
      <c r="C12077"/>
      <c r="D12077"/>
      <c r="E12077"/>
      <c r="F12077"/>
      <c r="G12077"/>
      <c r="H12077"/>
      <c r="I12077"/>
      <c r="J12077"/>
      <c r="K12077" s="1"/>
      <c r="L12077" s="2"/>
    </row>
    <row r="12078" spans="1:12" x14ac:dyDescent="0.2">
      <c r="A12078"/>
      <c r="B12078"/>
      <c r="C12078"/>
      <c r="D12078"/>
      <c r="E12078"/>
      <c r="F12078"/>
      <c r="G12078"/>
      <c r="H12078"/>
      <c r="I12078"/>
      <c r="J12078"/>
      <c r="K12078" s="1"/>
      <c r="L12078" s="2"/>
    </row>
    <row r="12079" spans="1:12" x14ac:dyDescent="0.2">
      <c r="A12079"/>
      <c r="B12079"/>
      <c r="C12079"/>
      <c r="D12079"/>
      <c r="E12079"/>
      <c r="F12079"/>
      <c r="G12079"/>
      <c r="H12079"/>
      <c r="I12079"/>
      <c r="J12079"/>
      <c r="K12079" s="1"/>
      <c r="L12079" s="2"/>
    </row>
    <row r="12080" spans="1:12" x14ac:dyDescent="0.2">
      <c r="A12080"/>
      <c r="B12080"/>
      <c r="C12080"/>
      <c r="D12080"/>
      <c r="E12080"/>
      <c r="F12080"/>
      <c r="G12080"/>
      <c r="H12080"/>
      <c r="I12080"/>
      <c r="J12080"/>
      <c r="K12080" s="1"/>
      <c r="L12080" s="2"/>
    </row>
    <row r="12081" spans="1:12" x14ac:dyDescent="0.2">
      <c r="A12081"/>
      <c r="B12081"/>
      <c r="C12081"/>
      <c r="D12081"/>
      <c r="E12081"/>
      <c r="F12081"/>
      <c r="G12081"/>
      <c r="H12081"/>
      <c r="I12081"/>
      <c r="J12081"/>
      <c r="K12081" s="1"/>
      <c r="L12081" s="2"/>
    </row>
    <row r="12082" spans="1:12" x14ac:dyDescent="0.2">
      <c r="A12082"/>
      <c r="B12082"/>
      <c r="C12082"/>
      <c r="D12082"/>
      <c r="E12082"/>
      <c r="F12082"/>
      <c r="G12082"/>
      <c r="H12082"/>
      <c r="I12082"/>
      <c r="J12082"/>
      <c r="K12082" s="1"/>
      <c r="L12082" s="2"/>
    </row>
    <row r="12083" spans="1:12" x14ac:dyDescent="0.2">
      <c r="A12083"/>
      <c r="B12083"/>
      <c r="C12083"/>
      <c r="D12083"/>
      <c r="E12083"/>
      <c r="F12083"/>
      <c r="G12083"/>
      <c r="H12083"/>
      <c r="I12083"/>
      <c r="J12083"/>
      <c r="K12083" s="1"/>
      <c r="L12083" s="2"/>
    </row>
    <row r="12084" spans="1:12" x14ac:dyDescent="0.2">
      <c r="A12084"/>
      <c r="B12084"/>
      <c r="C12084"/>
      <c r="D12084"/>
      <c r="E12084"/>
      <c r="F12084"/>
      <c r="G12084"/>
      <c r="H12084"/>
      <c r="I12084"/>
      <c r="J12084"/>
      <c r="K12084" s="1"/>
      <c r="L12084" s="2"/>
    </row>
    <row r="12085" spans="1:12" x14ac:dyDescent="0.2">
      <c r="A12085"/>
      <c r="B12085"/>
      <c r="C12085"/>
      <c r="D12085"/>
      <c r="E12085"/>
      <c r="F12085"/>
      <c r="G12085"/>
      <c r="H12085"/>
      <c r="I12085"/>
      <c r="J12085"/>
      <c r="K12085" s="1"/>
      <c r="L12085" s="2"/>
    </row>
    <row r="12086" spans="1:12" x14ac:dyDescent="0.2">
      <c r="A12086"/>
      <c r="B12086"/>
      <c r="C12086"/>
      <c r="D12086"/>
      <c r="E12086"/>
      <c r="F12086"/>
      <c r="G12086"/>
      <c r="H12086"/>
      <c r="I12086"/>
      <c r="J12086"/>
      <c r="K12086" s="1"/>
      <c r="L12086" s="2"/>
    </row>
    <row r="12087" spans="1:12" x14ac:dyDescent="0.2">
      <c r="A12087"/>
      <c r="B12087"/>
      <c r="C12087"/>
      <c r="D12087"/>
      <c r="E12087"/>
      <c r="F12087"/>
      <c r="G12087"/>
      <c r="H12087"/>
      <c r="I12087"/>
      <c r="J12087"/>
      <c r="K12087" s="1"/>
      <c r="L12087" s="2"/>
    </row>
    <row r="12088" spans="1:12" x14ac:dyDescent="0.2">
      <c r="A12088"/>
      <c r="B12088"/>
      <c r="C12088"/>
      <c r="D12088"/>
      <c r="E12088"/>
      <c r="F12088"/>
      <c r="G12088"/>
      <c r="H12088"/>
      <c r="I12088"/>
      <c r="J12088"/>
      <c r="K12088" s="1"/>
      <c r="L12088" s="2"/>
    </row>
    <row r="12089" spans="1:12" x14ac:dyDescent="0.2">
      <c r="A12089"/>
      <c r="B12089"/>
      <c r="C12089"/>
      <c r="D12089"/>
      <c r="E12089"/>
      <c r="F12089"/>
      <c r="G12089"/>
      <c r="H12089"/>
      <c r="I12089"/>
      <c r="J12089"/>
      <c r="K12089" s="1"/>
      <c r="L12089" s="2"/>
    </row>
    <row r="12090" spans="1:12" x14ac:dyDescent="0.2">
      <c r="A12090"/>
      <c r="B12090"/>
      <c r="C12090"/>
      <c r="D12090"/>
      <c r="E12090"/>
      <c r="F12090"/>
      <c r="G12090"/>
      <c r="H12090"/>
      <c r="I12090"/>
      <c r="J12090"/>
      <c r="K12090" s="1"/>
      <c r="L12090" s="2"/>
    </row>
    <row r="12091" spans="1:12" x14ac:dyDescent="0.2">
      <c r="A12091"/>
      <c r="B12091"/>
      <c r="C12091"/>
      <c r="D12091"/>
      <c r="E12091"/>
      <c r="F12091"/>
      <c r="G12091"/>
      <c r="H12091"/>
      <c r="I12091"/>
      <c r="J12091"/>
      <c r="K12091" s="1"/>
      <c r="L12091" s="2"/>
    </row>
    <row r="12092" spans="1:12" x14ac:dyDescent="0.2">
      <c r="A12092"/>
      <c r="B12092"/>
      <c r="C12092"/>
      <c r="D12092"/>
      <c r="E12092"/>
      <c r="F12092"/>
      <c r="G12092"/>
      <c r="H12092"/>
      <c r="I12092"/>
      <c r="J12092"/>
      <c r="K12092" s="1"/>
      <c r="L12092" s="2"/>
    </row>
    <row r="12093" spans="1:12" x14ac:dyDescent="0.2">
      <c r="A12093"/>
      <c r="B12093"/>
      <c r="C12093"/>
      <c r="D12093"/>
      <c r="E12093"/>
      <c r="F12093"/>
      <c r="G12093"/>
      <c r="H12093"/>
      <c r="I12093"/>
      <c r="J12093"/>
      <c r="K12093" s="1"/>
      <c r="L12093" s="2"/>
    </row>
    <row r="12094" spans="1:12" x14ac:dyDescent="0.2">
      <c r="A12094"/>
      <c r="B12094"/>
      <c r="C12094"/>
      <c r="D12094"/>
      <c r="E12094"/>
      <c r="F12094"/>
      <c r="G12094"/>
      <c r="H12094"/>
      <c r="I12094"/>
      <c r="J12094"/>
      <c r="K12094" s="1"/>
      <c r="L12094" s="2"/>
    </row>
    <row r="12095" spans="1:12" x14ac:dyDescent="0.2">
      <c r="A12095"/>
      <c r="B12095"/>
      <c r="C12095"/>
      <c r="D12095"/>
      <c r="E12095"/>
      <c r="F12095"/>
      <c r="G12095"/>
      <c r="H12095"/>
      <c r="I12095"/>
      <c r="J12095"/>
      <c r="K12095" s="1"/>
      <c r="L12095" s="2"/>
    </row>
    <row r="12096" spans="1:12" x14ac:dyDescent="0.2">
      <c r="A12096"/>
      <c r="B12096"/>
      <c r="C12096"/>
      <c r="D12096"/>
      <c r="E12096"/>
      <c r="F12096"/>
      <c r="G12096"/>
      <c r="H12096"/>
      <c r="I12096"/>
      <c r="J12096"/>
      <c r="K12096" s="1"/>
      <c r="L12096" s="2"/>
    </row>
    <row r="12097" spans="1:12" x14ac:dyDescent="0.2">
      <c r="A12097"/>
      <c r="B12097"/>
      <c r="C12097"/>
      <c r="D12097"/>
      <c r="E12097"/>
      <c r="F12097"/>
      <c r="G12097"/>
      <c r="H12097"/>
      <c r="I12097"/>
      <c r="J12097"/>
      <c r="K12097" s="1"/>
      <c r="L12097" s="2"/>
    </row>
    <row r="12098" spans="1:12" x14ac:dyDescent="0.2">
      <c r="A12098"/>
      <c r="B12098"/>
      <c r="C12098"/>
      <c r="D12098"/>
      <c r="E12098"/>
      <c r="F12098"/>
      <c r="G12098"/>
      <c r="H12098"/>
      <c r="I12098"/>
      <c r="J12098"/>
      <c r="K12098" s="1"/>
      <c r="L12098" s="2"/>
    </row>
    <row r="12099" spans="1:12" x14ac:dyDescent="0.2">
      <c r="A12099"/>
      <c r="B12099"/>
      <c r="C12099"/>
      <c r="D12099"/>
      <c r="E12099"/>
      <c r="F12099"/>
      <c r="G12099"/>
      <c r="H12099"/>
      <c r="I12099"/>
      <c r="J12099"/>
      <c r="K12099" s="1"/>
      <c r="L12099" s="2"/>
    </row>
    <row r="12100" spans="1:12" x14ac:dyDescent="0.2">
      <c r="A12100"/>
      <c r="B12100"/>
      <c r="C12100"/>
      <c r="D12100"/>
      <c r="E12100"/>
      <c r="F12100"/>
      <c r="G12100"/>
      <c r="H12100"/>
      <c r="I12100"/>
      <c r="J12100"/>
      <c r="K12100" s="1"/>
      <c r="L12100" s="2"/>
    </row>
    <row r="12101" spans="1:12" x14ac:dyDescent="0.2">
      <c r="A12101"/>
      <c r="B12101"/>
      <c r="C12101"/>
      <c r="D12101"/>
      <c r="E12101"/>
      <c r="F12101"/>
      <c r="G12101"/>
      <c r="H12101"/>
      <c r="I12101"/>
      <c r="J12101"/>
      <c r="K12101" s="1"/>
      <c r="L12101" s="2"/>
    </row>
    <row r="12102" spans="1:12" x14ac:dyDescent="0.2">
      <c r="A12102"/>
      <c r="B12102"/>
      <c r="C12102"/>
      <c r="D12102"/>
      <c r="E12102"/>
      <c r="F12102"/>
      <c r="G12102"/>
      <c r="H12102"/>
      <c r="I12102"/>
      <c r="J12102"/>
      <c r="K12102" s="1"/>
      <c r="L12102" s="2"/>
    </row>
    <row r="12103" spans="1:12" x14ac:dyDescent="0.2">
      <c r="A12103"/>
      <c r="B12103"/>
      <c r="C12103"/>
      <c r="D12103"/>
      <c r="E12103"/>
      <c r="F12103"/>
      <c r="G12103"/>
      <c r="H12103"/>
      <c r="I12103"/>
      <c r="J12103"/>
      <c r="K12103" s="1"/>
      <c r="L12103" s="2"/>
    </row>
    <row r="12104" spans="1:12" x14ac:dyDescent="0.2">
      <c r="A12104"/>
      <c r="B12104"/>
      <c r="C12104"/>
      <c r="D12104"/>
      <c r="E12104"/>
      <c r="F12104"/>
      <c r="G12104"/>
      <c r="H12104"/>
      <c r="I12104"/>
      <c r="J12104"/>
      <c r="K12104" s="1"/>
      <c r="L12104" s="2"/>
    </row>
    <row r="12105" spans="1:12" x14ac:dyDescent="0.2">
      <c r="A12105"/>
      <c r="B12105"/>
      <c r="C12105"/>
      <c r="D12105"/>
      <c r="E12105"/>
      <c r="F12105"/>
      <c r="G12105"/>
      <c r="H12105"/>
      <c r="I12105"/>
      <c r="J12105"/>
      <c r="K12105" s="1"/>
      <c r="L12105" s="2"/>
    </row>
    <row r="12106" spans="1:12" x14ac:dyDescent="0.2">
      <c r="A12106"/>
      <c r="B12106"/>
      <c r="C12106"/>
      <c r="D12106"/>
      <c r="E12106"/>
      <c r="F12106"/>
      <c r="G12106"/>
      <c r="H12106"/>
      <c r="I12106"/>
      <c r="J12106"/>
      <c r="K12106" s="1"/>
      <c r="L12106" s="2"/>
    </row>
    <row r="12107" spans="1:12" x14ac:dyDescent="0.2">
      <c r="A12107"/>
      <c r="B12107"/>
      <c r="C12107"/>
      <c r="D12107"/>
      <c r="E12107"/>
      <c r="F12107"/>
      <c r="G12107"/>
      <c r="H12107"/>
      <c r="I12107"/>
      <c r="J12107"/>
      <c r="K12107" s="1"/>
      <c r="L12107" s="2"/>
    </row>
    <row r="12108" spans="1:12" x14ac:dyDescent="0.2">
      <c r="A12108"/>
      <c r="B12108"/>
      <c r="C12108"/>
      <c r="D12108"/>
      <c r="E12108"/>
      <c r="F12108"/>
      <c r="G12108"/>
      <c r="H12108"/>
      <c r="I12108"/>
      <c r="J12108"/>
      <c r="K12108" s="1"/>
      <c r="L12108" s="2"/>
    </row>
    <row r="12109" spans="1:12" x14ac:dyDescent="0.2">
      <c r="A12109"/>
      <c r="B12109"/>
      <c r="C12109"/>
      <c r="D12109"/>
      <c r="E12109"/>
      <c r="F12109"/>
      <c r="G12109"/>
      <c r="H12109"/>
      <c r="I12109"/>
      <c r="J12109"/>
      <c r="K12109" s="1"/>
      <c r="L12109" s="2"/>
    </row>
    <row r="12110" spans="1:12" x14ac:dyDescent="0.2">
      <c r="A12110"/>
      <c r="B12110"/>
      <c r="C12110"/>
      <c r="D12110"/>
      <c r="E12110"/>
      <c r="F12110"/>
      <c r="G12110"/>
      <c r="H12110"/>
      <c r="I12110"/>
      <c r="J12110"/>
      <c r="K12110" s="1"/>
      <c r="L12110" s="2"/>
    </row>
    <row r="12111" spans="1:12" x14ac:dyDescent="0.2">
      <c r="A12111"/>
      <c r="B12111"/>
      <c r="C12111"/>
      <c r="D12111"/>
      <c r="E12111"/>
      <c r="F12111"/>
      <c r="G12111"/>
      <c r="H12111"/>
      <c r="I12111"/>
      <c r="J12111"/>
      <c r="K12111" s="1"/>
      <c r="L12111" s="2"/>
    </row>
    <row r="12112" spans="1:12" x14ac:dyDescent="0.2">
      <c r="A12112"/>
      <c r="B12112"/>
      <c r="C12112"/>
      <c r="D12112"/>
      <c r="E12112"/>
      <c r="F12112"/>
      <c r="G12112"/>
      <c r="H12112"/>
      <c r="I12112"/>
      <c r="J12112"/>
      <c r="K12112" s="1"/>
      <c r="L12112" s="2"/>
    </row>
    <row r="12113" spans="1:12" x14ac:dyDescent="0.2">
      <c r="A12113"/>
      <c r="B12113"/>
      <c r="C12113"/>
      <c r="D12113"/>
      <c r="E12113"/>
      <c r="F12113"/>
      <c r="G12113"/>
      <c r="H12113"/>
      <c r="I12113"/>
      <c r="J12113"/>
      <c r="K12113" s="1"/>
      <c r="L12113" s="2"/>
    </row>
    <row r="12114" spans="1:12" x14ac:dyDescent="0.2">
      <c r="A12114"/>
      <c r="B12114"/>
      <c r="C12114"/>
      <c r="D12114"/>
      <c r="E12114"/>
      <c r="F12114"/>
      <c r="G12114"/>
      <c r="H12114"/>
      <c r="I12114"/>
      <c r="J12114"/>
      <c r="K12114" s="1"/>
      <c r="L12114" s="2"/>
    </row>
    <row r="12115" spans="1:12" x14ac:dyDescent="0.2">
      <c r="A12115"/>
      <c r="B12115"/>
      <c r="C12115"/>
      <c r="D12115"/>
      <c r="E12115"/>
      <c r="F12115"/>
      <c r="G12115"/>
      <c r="H12115"/>
      <c r="I12115"/>
      <c r="J12115"/>
      <c r="K12115" s="1"/>
      <c r="L12115" s="2"/>
    </row>
    <row r="12116" spans="1:12" x14ac:dyDescent="0.2">
      <c r="A12116"/>
      <c r="B12116"/>
      <c r="C12116"/>
      <c r="D12116"/>
      <c r="E12116"/>
      <c r="F12116"/>
      <c r="G12116"/>
      <c r="H12116"/>
      <c r="I12116"/>
      <c r="J12116"/>
      <c r="K12116" s="1"/>
      <c r="L12116" s="2"/>
    </row>
    <row r="12117" spans="1:12" x14ac:dyDescent="0.2">
      <c r="A12117"/>
      <c r="B12117"/>
      <c r="C12117"/>
      <c r="D12117"/>
      <c r="E12117"/>
      <c r="F12117"/>
      <c r="G12117"/>
      <c r="H12117"/>
      <c r="I12117"/>
      <c r="J12117"/>
      <c r="K12117" s="1"/>
      <c r="L12117" s="2"/>
    </row>
    <row r="12118" spans="1:12" x14ac:dyDescent="0.2">
      <c r="A12118"/>
      <c r="B12118"/>
      <c r="C12118"/>
      <c r="D12118"/>
      <c r="E12118"/>
      <c r="F12118"/>
      <c r="G12118"/>
      <c r="H12118"/>
      <c r="I12118"/>
      <c r="J12118"/>
      <c r="K12118" s="1"/>
      <c r="L12118" s="2"/>
    </row>
    <row r="12119" spans="1:12" x14ac:dyDescent="0.2">
      <c r="A12119"/>
      <c r="B12119"/>
      <c r="C12119"/>
      <c r="D12119"/>
      <c r="E12119"/>
      <c r="F12119"/>
      <c r="G12119"/>
      <c r="H12119"/>
      <c r="I12119"/>
      <c r="J12119"/>
      <c r="K12119" s="1"/>
      <c r="L12119" s="2"/>
    </row>
    <row r="12120" spans="1:12" x14ac:dyDescent="0.2">
      <c r="A12120"/>
      <c r="B12120"/>
      <c r="C12120"/>
      <c r="D12120"/>
      <c r="E12120"/>
      <c r="F12120"/>
      <c r="G12120"/>
      <c r="H12120"/>
      <c r="I12120"/>
      <c r="J12120"/>
      <c r="K12120" s="1"/>
      <c r="L12120" s="2"/>
    </row>
    <row r="12121" spans="1:12" x14ac:dyDescent="0.2">
      <c r="A12121"/>
      <c r="B12121"/>
      <c r="C12121"/>
      <c r="D12121"/>
      <c r="E12121"/>
      <c r="F12121"/>
      <c r="G12121"/>
      <c r="H12121"/>
      <c r="I12121"/>
      <c r="J12121"/>
      <c r="K12121" s="1"/>
      <c r="L12121" s="2"/>
    </row>
    <row r="12122" spans="1:12" x14ac:dyDescent="0.2">
      <c r="A12122"/>
      <c r="B12122"/>
      <c r="C12122"/>
      <c r="D12122"/>
      <c r="E12122"/>
      <c r="F12122"/>
      <c r="G12122"/>
      <c r="H12122"/>
      <c r="I12122"/>
      <c r="J12122"/>
      <c r="K12122" s="1"/>
      <c r="L12122" s="2"/>
    </row>
    <row r="12123" spans="1:12" x14ac:dyDescent="0.2">
      <c r="A12123"/>
      <c r="B12123"/>
      <c r="C12123"/>
      <c r="D12123"/>
      <c r="E12123"/>
      <c r="F12123"/>
      <c r="G12123"/>
      <c r="H12123"/>
      <c r="I12123"/>
      <c r="J12123"/>
      <c r="K12123" s="1"/>
      <c r="L12123" s="2"/>
    </row>
    <row r="12124" spans="1:12" x14ac:dyDescent="0.2">
      <c r="A12124"/>
      <c r="B12124"/>
      <c r="C12124"/>
      <c r="D12124"/>
      <c r="E12124"/>
      <c r="F12124"/>
      <c r="G12124"/>
      <c r="H12124"/>
      <c r="I12124"/>
      <c r="J12124"/>
      <c r="K12124" s="1"/>
      <c r="L12124" s="2"/>
    </row>
    <row r="12125" spans="1:12" x14ac:dyDescent="0.2">
      <c r="A12125"/>
      <c r="B12125"/>
      <c r="C12125"/>
      <c r="D12125"/>
      <c r="E12125"/>
      <c r="F12125"/>
      <c r="G12125"/>
      <c r="H12125"/>
      <c r="I12125"/>
      <c r="J12125"/>
      <c r="K12125" s="1"/>
      <c r="L12125" s="2"/>
    </row>
    <row r="12126" spans="1:12" x14ac:dyDescent="0.2">
      <c r="A12126"/>
      <c r="B12126"/>
      <c r="C12126"/>
      <c r="D12126"/>
      <c r="E12126"/>
      <c r="F12126"/>
      <c r="G12126"/>
      <c r="H12126"/>
      <c r="I12126"/>
      <c r="J12126"/>
      <c r="K12126" s="1"/>
      <c r="L12126" s="2"/>
    </row>
    <row r="12127" spans="1:12" x14ac:dyDescent="0.2">
      <c r="A12127"/>
      <c r="B12127"/>
      <c r="C12127"/>
      <c r="D12127"/>
      <c r="E12127"/>
      <c r="F12127"/>
      <c r="G12127"/>
      <c r="H12127"/>
      <c r="I12127"/>
      <c r="J12127"/>
      <c r="K12127" s="1"/>
      <c r="L12127" s="2"/>
    </row>
    <row r="12128" spans="1:12" x14ac:dyDescent="0.2">
      <c r="A12128"/>
      <c r="B12128"/>
      <c r="C12128"/>
      <c r="D12128"/>
      <c r="E12128"/>
      <c r="F12128"/>
      <c r="G12128"/>
      <c r="H12128"/>
      <c r="I12128"/>
      <c r="J12128"/>
      <c r="K12128" s="1"/>
      <c r="L12128" s="2"/>
    </row>
    <row r="12129" spans="1:12" x14ac:dyDescent="0.2">
      <c r="A12129"/>
      <c r="B12129"/>
      <c r="C12129"/>
      <c r="D12129"/>
      <c r="E12129"/>
      <c r="F12129"/>
      <c r="G12129"/>
      <c r="H12129"/>
      <c r="I12129"/>
      <c r="J12129"/>
      <c r="K12129" s="1"/>
      <c r="L12129" s="2"/>
    </row>
    <row r="12130" spans="1:12" x14ac:dyDescent="0.2">
      <c r="A12130"/>
      <c r="B12130"/>
      <c r="C12130"/>
      <c r="D12130"/>
      <c r="E12130"/>
      <c r="F12130"/>
      <c r="G12130"/>
      <c r="H12130"/>
      <c r="I12130"/>
      <c r="J12130"/>
      <c r="K12130" s="1"/>
      <c r="L12130" s="2"/>
    </row>
    <row r="12131" spans="1:12" x14ac:dyDescent="0.2">
      <c r="A12131"/>
      <c r="B12131"/>
      <c r="C12131"/>
      <c r="D12131"/>
      <c r="E12131"/>
      <c r="F12131"/>
      <c r="G12131"/>
      <c r="H12131"/>
      <c r="I12131"/>
      <c r="J12131"/>
      <c r="K12131" s="1"/>
      <c r="L12131" s="2"/>
    </row>
    <row r="12132" spans="1:12" x14ac:dyDescent="0.2">
      <c r="A12132"/>
      <c r="B12132"/>
      <c r="C12132"/>
      <c r="D12132"/>
      <c r="E12132"/>
      <c r="F12132"/>
      <c r="G12132"/>
      <c r="H12132"/>
      <c r="I12132"/>
      <c r="J12132"/>
      <c r="K12132" s="1"/>
      <c r="L12132" s="2"/>
    </row>
    <row r="12133" spans="1:12" x14ac:dyDescent="0.2">
      <c r="A12133"/>
      <c r="B12133"/>
      <c r="C12133"/>
      <c r="D12133"/>
      <c r="E12133"/>
      <c r="F12133"/>
      <c r="G12133"/>
      <c r="H12133"/>
      <c r="I12133"/>
      <c r="J12133"/>
      <c r="K12133" s="1"/>
      <c r="L12133" s="2"/>
    </row>
    <row r="12134" spans="1:12" x14ac:dyDescent="0.2">
      <c r="A12134"/>
      <c r="B12134"/>
      <c r="C12134"/>
      <c r="D12134"/>
      <c r="E12134"/>
      <c r="F12134"/>
      <c r="G12134"/>
      <c r="H12134"/>
      <c r="I12134"/>
      <c r="J12134"/>
      <c r="K12134" s="1"/>
      <c r="L12134" s="2"/>
    </row>
    <row r="12135" spans="1:12" x14ac:dyDescent="0.2">
      <c r="A12135"/>
      <c r="B12135"/>
      <c r="C12135"/>
      <c r="D12135"/>
      <c r="E12135"/>
      <c r="F12135"/>
      <c r="G12135"/>
      <c r="H12135"/>
      <c r="I12135"/>
      <c r="J12135"/>
      <c r="K12135" s="1"/>
      <c r="L12135" s="2"/>
    </row>
    <row r="12136" spans="1:12" x14ac:dyDescent="0.2">
      <c r="A12136"/>
      <c r="B12136"/>
      <c r="C12136"/>
      <c r="D12136"/>
      <c r="E12136"/>
      <c r="F12136"/>
      <c r="G12136"/>
      <c r="H12136"/>
      <c r="I12136"/>
      <c r="J12136"/>
      <c r="K12136" s="1"/>
      <c r="L12136" s="2"/>
    </row>
    <row r="12137" spans="1:12" x14ac:dyDescent="0.2">
      <c r="A12137"/>
      <c r="B12137"/>
      <c r="C12137"/>
      <c r="D12137"/>
      <c r="E12137"/>
      <c r="F12137"/>
      <c r="G12137"/>
      <c r="H12137"/>
      <c r="I12137"/>
      <c r="J12137"/>
      <c r="K12137" s="1"/>
      <c r="L12137" s="2"/>
    </row>
    <row r="12138" spans="1:12" x14ac:dyDescent="0.2">
      <c r="A12138"/>
      <c r="B12138"/>
      <c r="C12138"/>
      <c r="D12138"/>
      <c r="E12138"/>
      <c r="F12138"/>
      <c r="G12138"/>
      <c r="H12138"/>
      <c r="I12138"/>
      <c r="J12138"/>
      <c r="K12138" s="1"/>
      <c r="L12138" s="2"/>
    </row>
    <row r="12139" spans="1:12" x14ac:dyDescent="0.2">
      <c r="A12139"/>
      <c r="B12139"/>
      <c r="C12139"/>
      <c r="D12139"/>
      <c r="E12139"/>
      <c r="F12139"/>
      <c r="G12139"/>
      <c r="H12139"/>
      <c r="I12139"/>
      <c r="J12139"/>
      <c r="K12139" s="1"/>
      <c r="L12139" s="2"/>
    </row>
    <row r="12140" spans="1:12" x14ac:dyDescent="0.2">
      <c r="A12140"/>
      <c r="B12140"/>
      <c r="C12140"/>
      <c r="D12140"/>
      <c r="E12140"/>
      <c r="F12140"/>
      <c r="G12140"/>
      <c r="H12140"/>
      <c r="I12140"/>
      <c r="J12140"/>
      <c r="K12140" s="1"/>
      <c r="L12140" s="2"/>
    </row>
    <row r="12141" spans="1:12" x14ac:dyDescent="0.2">
      <c r="A12141"/>
      <c r="B12141"/>
      <c r="C12141"/>
      <c r="D12141"/>
      <c r="E12141"/>
      <c r="F12141"/>
      <c r="G12141"/>
      <c r="H12141"/>
      <c r="I12141"/>
      <c r="J12141"/>
      <c r="K12141" s="1"/>
      <c r="L12141" s="2"/>
    </row>
    <row r="12142" spans="1:12" x14ac:dyDescent="0.2">
      <c r="A12142"/>
      <c r="B12142"/>
      <c r="C12142"/>
      <c r="D12142"/>
      <c r="E12142"/>
      <c r="F12142"/>
      <c r="G12142"/>
      <c r="H12142"/>
      <c r="I12142"/>
      <c r="J12142"/>
      <c r="K12142" s="1"/>
      <c r="L12142" s="2"/>
    </row>
    <row r="12143" spans="1:12" x14ac:dyDescent="0.2">
      <c r="A12143"/>
      <c r="B12143"/>
      <c r="C12143"/>
      <c r="D12143"/>
      <c r="E12143"/>
      <c r="F12143"/>
      <c r="G12143"/>
      <c r="H12143"/>
      <c r="I12143"/>
      <c r="J12143"/>
      <c r="K12143" s="1"/>
      <c r="L12143" s="2"/>
    </row>
    <row r="12144" spans="1:12" x14ac:dyDescent="0.2">
      <c r="A12144"/>
      <c r="B12144"/>
      <c r="C12144"/>
      <c r="D12144"/>
      <c r="E12144"/>
      <c r="F12144"/>
      <c r="G12144"/>
      <c r="H12144"/>
      <c r="I12144"/>
      <c r="J12144"/>
      <c r="K12144" s="1"/>
      <c r="L12144" s="2"/>
    </row>
    <row r="12145" spans="1:12" x14ac:dyDescent="0.2">
      <c r="A12145"/>
      <c r="B12145"/>
      <c r="C12145"/>
      <c r="D12145"/>
      <c r="E12145"/>
      <c r="F12145"/>
      <c r="G12145"/>
      <c r="H12145"/>
      <c r="I12145"/>
      <c r="J12145"/>
      <c r="K12145" s="1"/>
      <c r="L12145" s="2"/>
    </row>
    <row r="12146" spans="1:12" x14ac:dyDescent="0.2">
      <c r="A12146"/>
      <c r="B12146"/>
      <c r="C12146"/>
      <c r="D12146"/>
      <c r="E12146"/>
      <c r="F12146"/>
      <c r="G12146"/>
      <c r="H12146"/>
      <c r="I12146"/>
      <c r="J12146"/>
      <c r="K12146" s="1"/>
      <c r="L12146" s="2"/>
    </row>
    <row r="12147" spans="1:12" x14ac:dyDescent="0.2">
      <c r="A12147"/>
      <c r="B12147"/>
      <c r="C12147"/>
      <c r="D12147"/>
      <c r="E12147"/>
      <c r="F12147"/>
      <c r="G12147"/>
      <c r="H12147"/>
      <c r="I12147"/>
      <c r="J12147"/>
      <c r="K12147" s="1"/>
      <c r="L12147" s="2"/>
    </row>
    <row r="12148" spans="1:12" x14ac:dyDescent="0.2">
      <c r="A12148"/>
      <c r="B12148"/>
      <c r="C12148"/>
      <c r="D12148"/>
      <c r="E12148"/>
      <c r="F12148"/>
      <c r="G12148"/>
      <c r="H12148"/>
      <c r="I12148"/>
      <c r="J12148"/>
      <c r="K12148" s="1"/>
      <c r="L12148" s="2"/>
    </row>
    <row r="12149" spans="1:12" x14ac:dyDescent="0.2">
      <c r="A12149"/>
      <c r="B12149"/>
      <c r="C12149"/>
      <c r="D12149"/>
      <c r="E12149"/>
      <c r="F12149"/>
      <c r="G12149"/>
      <c r="H12149"/>
      <c r="I12149"/>
      <c r="J12149"/>
      <c r="K12149" s="1"/>
      <c r="L12149" s="2"/>
    </row>
    <row r="12150" spans="1:12" x14ac:dyDescent="0.2">
      <c r="A12150"/>
      <c r="B12150"/>
      <c r="C12150"/>
      <c r="D12150"/>
      <c r="E12150"/>
      <c r="F12150"/>
      <c r="G12150"/>
      <c r="H12150"/>
      <c r="I12150"/>
      <c r="J12150"/>
      <c r="K12150" s="1"/>
      <c r="L12150" s="2"/>
    </row>
    <row r="12151" spans="1:12" x14ac:dyDescent="0.2">
      <c r="A12151"/>
      <c r="B12151"/>
      <c r="C12151"/>
      <c r="D12151"/>
      <c r="E12151"/>
      <c r="F12151"/>
      <c r="G12151"/>
      <c r="H12151"/>
      <c r="I12151"/>
      <c r="J12151"/>
      <c r="K12151" s="1"/>
      <c r="L12151" s="2"/>
    </row>
    <row r="12152" spans="1:12" x14ac:dyDescent="0.2">
      <c r="A12152"/>
      <c r="B12152"/>
      <c r="C12152"/>
      <c r="D12152"/>
      <c r="E12152"/>
      <c r="F12152"/>
      <c r="G12152"/>
      <c r="H12152"/>
      <c r="I12152"/>
      <c r="J12152"/>
      <c r="K12152" s="1"/>
      <c r="L12152" s="2"/>
    </row>
    <row r="12153" spans="1:12" x14ac:dyDescent="0.2">
      <c r="A12153"/>
      <c r="B12153"/>
      <c r="C12153"/>
      <c r="D12153"/>
      <c r="E12153"/>
      <c r="F12153"/>
      <c r="G12153"/>
      <c r="H12153"/>
      <c r="I12153"/>
      <c r="J12153"/>
      <c r="K12153" s="1"/>
      <c r="L12153" s="2"/>
    </row>
    <row r="12154" spans="1:12" x14ac:dyDescent="0.2">
      <c r="A12154"/>
      <c r="B12154"/>
      <c r="C12154"/>
      <c r="D12154"/>
      <c r="E12154"/>
      <c r="F12154"/>
      <c r="G12154"/>
      <c r="H12154"/>
      <c r="I12154"/>
      <c r="J12154"/>
      <c r="K12154" s="1"/>
      <c r="L12154" s="2"/>
    </row>
    <row r="12155" spans="1:12" x14ac:dyDescent="0.2">
      <c r="A12155"/>
      <c r="B12155"/>
      <c r="C12155"/>
      <c r="D12155"/>
      <c r="E12155"/>
      <c r="F12155"/>
      <c r="G12155"/>
      <c r="H12155"/>
      <c r="I12155"/>
      <c r="J12155"/>
      <c r="K12155" s="1"/>
      <c r="L12155" s="2"/>
    </row>
    <row r="12156" spans="1:12" x14ac:dyDescent="0.2">
      <c r="A12156"/>
      <c r="B12156"/>
      <c r="C12156"/>
      <c r="D12156"/>
      <c r="E12156"/>
      <c r="F12156"/>
      <c r="G12156"/>
      <c r="H12156"/>
      <c r="I12156"/>
      <c r="J12156"/>
      <c r="K12156" s="1"/>
      <c r="L12156" s="2"/>
    </row>
    <row r="12157" spans="1:12" x14ac:dyDescent="0.2">
      <c r="A12157"/>
      <c r="B12157"/>
      <c r="C12157"/>
      <c r="D12157"/>
      <c r="E12157"/>
      <c r="F12157"/>
      <c r="G12157"/>
      <c r="H12157"/>
      <c r="I12157"/>
      <c r="J12157"/>
      <c r="K12157" s="1"/>
      <c r="L12157" s="2"/>
    </row>
    <row r="12158" spans="1:12" x14ac:dyDescent="0.2">
      <c r="A12158"/>
      <c r="B12158"/>
      <c r="C12158"/>
      <c r="D12158"/>
      <c r="E12158"/>
      <c r="F12158"/>
      <c r="G12158"/>
      <c r="H12158"/>
      <c r="I12158"/>
      <c r="J12158"/>
      <c r="K12158" s="1"/>
      <c r="L12158" s="2"/>
    </row>
    <row r="12159" spans="1:12" x14ac:dyDescent="0.2">
      <c r="A12159"/>
      <c r="B12159"/>
      <c r="C12159"/>
      <c r="D12159"/>
      <c r="E12159"/>
      <c r="F12159"/>
      <c r="G12159"/>
      <c r="H12159"/>
      <c r="I12159"/>
      <c r="J12159"/>
      <c r="K12159" s="1"/>
      <c r="L12159" s="2"/>
    </row>
    <row r="12160" spans="1:12" x14ac:dyDescent="0.2">
      <c r="A12160"/>
      <c r="B12160"/>
      <c r="C12160"/>
      <c r="D12160"/>
      <c r="E12160"/>
      <c r="F12160"/>
      <c r="G12160"/>
      <c r="H12160"/>
      <c r="I12160"/>
      <c r="J12160"/>
      <c r="K12160" s="1"/>
      <c r="L12160" s="2"/>
    </row>
    <row r="12161" spans="1:12" x14ac:dyDescent="0.2">
      <c r="A12161"/>
      <c r="B12161"/>
      <c r="C12161"/>
      <c r="D12161"/>
      <c r="E12161"/>
      <c r="F12161"/>
      <c r="G12161"/>
      <c r="H12161"/>
      <c r="I12161"/>
      <c r="J12161"/>
      <c r="K12161" s="1"/>
      <c r="L12161" s="2"/>
    </row>
    <row r="12162" spans="1:12" x14ac:dyDescent="0.2">
      <c r="A12162"/>
      <c r="B12162"/>
      <c r="C12162"/>
      <c r="D12162"/>
      <c r="E12162"/>
      <c r="F12162"/>
      <c r="G12162"/>
      <c r="H12162"/>
      <c r="I12162"/>
      <c r="J12162"/>
      <c r="K12162" s="1"/>
      <c r="L12162" s="2"/>
    </row>
    <row r="12163" spans="1:12" x14ac:dyDescent="0.2">
      <c r="A12163"/>
      <c r="B12163"/>
      <c r="C12163"/>
      <c r="D12163"/>
      <c r="E12163"/>
      <c r="F12163"/>
      <c r="G12163"/>
      <c r="H12163"/>
      <c r="I12163"/>
      <c r="J12163"/>
      <c r="K12163" s="1"/>
      <c r="L12163" s="2"/>
    </row>
    <row r="12164" spans="1:12" x14ac:dyDescent="0.2">
      <c r="A12164"/>
      <c r="B12164"/>
      <c r="C12164"/>
      <c r="D12164"/>
      <c r="E12164"/>
      <c r="F12164"/>
      <c r="G12164"/>
      <c r="H12164"/>
      <c r="I12164"/>
      <c r="J12164"/>
      <c r="K12164" s="1"/>
      <c r="L12164" s="2"/>
    </row>
    <row r="12165" spans="1:12" x14ac:dyDescent="0.2">
      <c r="A12165"/>
      <c r="B12165"/>
      <c r="C12165"/>
      <c r="D12165"/>
      <c r="E12165"/>
      <c r="F12165"/>
      <c r="G12165"/>
      <c r="H12165"/>
      <c r="I12165"/>
      <c r="J12165"/>
      <c r="K12165" s="1"/>
      <c r="L12165" s="2"/>
    </row>
    <row r="12166" spans="1:12" x14ac:dyDescent="0.2">
      <c r="A12166"/>
      <c r="B12166"/>
      <c r="C12166"/>
      <c r="D12166"/>
      <c r="E12166"/>
      <c r="F12166"/>
      <c r="G12166"/>
      <c r="H12166"/>
      <c r="I12166"/>
      <c r="J12166"/>
      <c r="K12166" s="1"/>
      <c r="L12166" s="2"/>
    </row>
    <row r="12167" spans="1:12" x14ac:dyDescent="0.2">
      <c r="A12167"/>
      <c r="B12167"/>
      <c r="C12167"/>
      <c r="D12167"/>
      <c r="E12167"/>
      <c r="F12167"/>
      <c r="G12167"/>
      <c r="H12167"/>
      <c r="I12167"/>
      <c r="J12167"/>
      <c r="K12167" s="1"/>
      <c r="L12167" s="2"/>
    </row>
    <row r="12168" spans="1:12" x14ac:dyDescent="0.2">
      <c r="A12168"/>
      <c r="B12168"/>
      <c r="C12168"/>
      <c r="D12168"/>
      <c r="E12168"/>
      <c r="F12168"/>
      <c r="G12168"/>
      <c r="H12168"/>
      <c r="I12168"/>
      <c r="J12168"/>
      <c r="K12168" s="1"/>
      <c r="L12168" s="2"/>
    </row>
    <row r="12169" spans="1:12" x14ac:dyDescent="0.2">
      <c r="A12169"/>
      <c r="B12169"/>
      <c r="C12169"/>
      <c r="D12169"/>
      <c r="E12169"/>
      <c r="F12169"/>
      <c r="G12169"/>
      <c r="H12169"/>
      <c r="I12169"/>
      <c r="J12169"/>
      <c r="K12169" s="1"/>
      <c r="L12169" s="2"/>
    </row>
    <row r="12170" spans="1:12" x14ac:dyDescent="0.2">
      <c r="A12170"/>
      <c r="B12170"/>
      <c r="C12170"/>
      <c r="D12170"/>
      <c r="E12170"/>
      <c r="F12170"/>
      <c r="G12170"/>
      <c r="H12170"/>
      <c r="I12170"/>
      <c r="J12170"/>
      <c r="K12170" s="1"/>
      <c r="L12170" s="2"/>
    </row>
    <row r="12171" spans="1:12" x14ac:dyDescent="0.2">
      <c r="A12171"/>
      <c r="B12171"/>
      <c r="C12171"/>
      <c r="D12171"/>
      <c r="E12171"/>
      <c r="F12171"/>
      <c r="G12171"/>
      <c r="H12171"/>
      <c r="I12171"/>
      <c r="J12171"/>
      <c r="K12171" s="1"/>
      <c r="L12171" s="2"/>
    </row>
    <row r="12172" spans="1:12" x14ac:dyDescent="0.2">
      <c r="A12172"/>
      <c r="B12172"/>
      <c r="C12172"/>
      <c r="D12172"/>
      <c r="E12172"/>
      <c r="F12172"/>
      <c r="G12172"/>
      <c r="H12172"/>
      <c r="I12172"/>
      <c r="J12172"/>
      <c r="K12172" s="1"/>
      <c r="L12172" s="2"/>
    </row>
    <row r="12173" spans="1:12" x14ac:dyDescent="0.2">
      <c r="A12173"/>
      <c r="B12173"/>
      <c r="C12173"/>
      <c r="D12173"/>
      <c r="E12173"/>
      <c r="F12173"/>
      <c r="G12173"/>
      <c r="H12173"/>
      <c r="I12173"/>
      <c r="J12173"/>
      <c r="K12173" s="1"/>
      <c r="L12173" s="2"/>
    </row>
    <row r="12174" spans="1:12" x14ac:dyDescent="0.2">
      <c r="A12174"/>
      <c r="B12174"/>
      <c r="C12174"/>
      <c r="D12174"/>
      <c r="E12174"/>
      <c r="F12174"/>
      <c r="G12174"/>
      <c r="H12174"/>
      <c r="I12174"/>
      <c r="J12174"/>
      <c r="K12174" s="1"/>
      <c r="L12174" s="2"/>
    </row>
    <row r="12175" spans="1:12" x14ac:dyDescent="0.2">
      <c r="A12175"/>
      <c r="B12175"/>
      <c r="C12175"/>
      <c r="D12175"/>
      <c r="E12175"/>
      <c r="F12175"/>
      <c r="G12175"/>
      <c r="H12175"/>
      <c r="I12175"/>
      <c r="J12175"/>
      <c r="K12175" s="1"/>
      <c r="L12175" s="2"/>
    </row>
    <row r="12176" spans="1:12" x14ac:dyDescent="0.2">
      <c r="A12176"/>
      <c r="B12176"/>
      <c r="C12176"/>
      <c r="D12176"/>
      <c r="E12176"/>
      <c r="F12176"/>
      <c r="G12176"/>
      <c r="H12176"/>
      <c r="I12176"/>
      <c r="J12176"/>
      <c r="K12176" s="1"/>
      <c r="L12176" s="2"/>
    </row>
    <row r="12177" spans="1:12" x14ac:dyDescent="0.2">
      <c r="A12177"/>
      <c r="B12177"/>
      <c r="C12177"/>
      <c r="D12177"/>
      <c r="E12177"/>
      <c r="F12177"/>
      <c r="G12177"/>
      <c r="H12177"/>
      <c r="I12177"/>
      <c r="J12177"/>
      <c r="K12177" s="1"/>
      <c r="L12177" s="2"/>
    </row>
    <row r="12178" spans="1:12" x14ac:dyDescent="0.2">
      <c r="A12178"/>
      <c r="B12178"/>
      <c r="C12178"/>
      <c r="D12178"/>
      <c r="E12178"/>
      <c r="F12178"/>
      <c r="G12178"/>
      <c r="H12178"/>
      <c r="I12178"/>
      <c r="J12178"/>
      <c r="K12178" s="1"/>
      <c r="L12178" s="2"/>
    </row>
    <row r="12179" spans="1:12" x14ac:dyDescent="0.2">
      <c r="A12179"/>
      <c r="B12179"/>
      <c r="C12179"/>
      <c r="D12179"/>
      <c r="E12179"/>
      <c r="F12179"/>
      <c r="G12179"/>
      <c r="H12179"/>
      <c r="I12179"/>
      <c r="J12179"/>
      <c r="K12179" s="1"/>
      <c r="L12179" s="2"/>
    </row>
    <row r="12180" spans="1:12" x14ac:dyDescent="0.2">
      <c r="A12180"/>
      <c r="B12180"/>
      <c r="C12180"/>
      <c r="D12180"/>
      <c r="E12180"/>
      <c r="F12180"/>
      <c r="G12180"/>
      <c r="H12180"/>
      <c r="I12180"/>
      <c r="J12180"/>
      <c r="K12180" s="1"/>
      <c r="L12180" s="2"/>
    </row>
    <row r="12181" spans="1:12" x14ac:dyDescent="0.2">
      <c r="A12181"/>
      <c r="B12181"/>
      <c r="C12181"/>
      <c r="D12181"/>
      <c r="E12181"/>
      <c r="F12181"/>
      <c r="G12181"/>
      <c r="H12181"/>
      <c r="I12181"/>
      <c r="J12181"/>
      <c r="K12181" s="1"/>
      <c r="L12181" s="2"/>
    </row>
    <row r="12182" spans="1:12" x14ac:dyDescent="0.2">
      <c r="A12182"/>
      <c r="B12182"/>
      <c r="C12182"/>
      <c r="D12182"/>
      <c r="E12182"/>
      <c r="F12182"/>
      <c r="G12182"/>
      <c r="H12182"/>
      <c r="I12182"/>
      <c r="J12182"/>
      <c r="K12182" s="1"/>
      <c r="L12182" s="2"/>
    </row>
    <row r="12183" spans="1:12" x14ac:dyDescent="0.2">
      <c r="A12183"/>
      <c r="B12183"/>
      <c r="C12183"/>
      <c r="D12183"/>
      <c r="E12183"/>
      <c r="F12183"/>
      <c r="G12183"/>
      <c r="H12183"/>
      <c r="I12183"/>
      <c r="J12183"/>
      <c r="K12183" s="1"/>
      <c r="L12183" s="2"/>
    </row>
    <row r="12184" spans="1:12" x14ac:dyDescent="0.2">
      <c r="A12184"/>
      <c r="B12184"/>
      <c r="C12184"/>
      <c r="D12184"/>
      <c r="E12184"/>
      <c r="F12184"/>
      <c r="G12184"/>
      <c r="H12184"/>
      <c r="I12184"/>
      <c r="J12184"/>
      <c r="K12184" s="1"/>
      <c r="L12184" s="2"/>
    </row>
    <row r="12185" spans="1:12" x14ac:dyDescent="0.2">
      <c r="A12185"/>
      <c r="B12185"/>
      <c r="C12185"/>
      <c r="D12185"/>
      <c r="E12185"/>
      <c r="F12185"/>
      <c r="G12185"/>
      <c r="H12185"/>
      <c r="I12185"/>
      <c r="J12185"/>
      <c r="K12185" s="1"/>
      <c r="L12185" s="2"/>
    </row>
    <row r="12186" spans="1:12" x14ac:dyDescent="0.2">
      <c r="A12186"/>
      <c r="B12186"/>
      <c r="C12186"/>
      <c r="D12186"/>
      <c r="E12186"/>
      <c r="F12186"/>
      <c r="G12186"/>
      <c r="H12186"/>
      <c r="I12186"/>
      <c r="J12186"/>
      <c r="K12186" s="1"/>
      <c r="L12186" s="2"/>
    </row>
    <row r="12187" spans="1:12" x14ac:dyDescent="0.2">
      <c r="A12187"/>
      <c r="B12187"/>
      <c r="C12187"/>
      <c r="D12187"/>
      <c r="E12187"/>
      <c r="F12187"/>
      <c r="G12187"/>
      <c r="H12187"/>
      <c r="I12187"/>
      <c r="J12187"/>
      <c r="K12187" s="1"/>
      <c r="L12187" s="2"/>
    </row>
    <row r="12188" spans="1:12" x14ac:dyDescent="0.2">
      <c r="A12188"/>
      <c r="B12188"/>
      <c r="C12188"/>
      <c r="D12188"/>
      <c r="E12188"/>
      <c r="F12188"/>
      <c r="G12188"/>
      <c r="H12188"/>
      <c r="I12188"/>
      <c r="J12188"/>
      <c r="K12188" s="1"/>
      <c r="L12188" s="2"/>
    </row>
    <row r="12189" spans="1:12" x14ac:dyDescent="0.2">
      <c r="A12189"/>
      <c r="B12189"/>
      <c r="C12189"/>
      <c r="D12189"/>
      <c r="E12189"/>
      <c r="F12189"/>
      <c r="G12189"/>
      <c r="H12189"/>
      <c r="I12189"/>
      <c r="J12189"/>
      <c r="K12189" s="1"/>
      <c r="L12189" s="2"/>
    </row>
    <row r="12190" spans="1:12" x14ac:dyDescent="0.2">
      <c r="A12190"/>
      <c r="B12190"/>
      <c r="C12190"/>
      <c r="D12190"/>
      <c r="E12190"/>
      <c r="F12190"/>
      <c r="G12190"/>
      <c r="H12190"/>
      <c r="I12190"/>
      <c r="J12190"/>
      <c r="K12190" s="1"/>
      <c r="L12190" s="2"/>
    </row>
    <row r="12191" spans="1:12" x14ac:dyDescent="0.2">
      <c r="A12191"/>
      <c r="B12191"/>
      <c r="C12191"/>
      <c r="D12191"/>
      <c r="E12191"/>
      <c r="F12191"/>
      <c r="G12191"/>
      <c r="H12191"/>
      <c r="I12191"/>
      <c r="J12191"/>
      <c r="K12191" s="1"/>
      <c r="L12191" s="2"/>
    </row>
    <row r="12192" spans="1:12" x14ac:dyDescent="0.2">
      <c r="A12192"/>
      <c r="B12192"/>
      <c r="C12192"/>
      <c r="D12192"/>
      <c r="E12192"/>
      <c r="F12192"/>
      <c r="G12192"/>
      <c r="H12192"/>
      <c r="I12192"/>
      <c r="J12192"/>
      <c r="K12192" s="1"/>
      <c r="L12192" s="2"/>
    </row>
    <row r="12193" spans="1:12" x14ac:dyDescent="0.2">
      <c r="A12193"/>
      <c r="B12193"/>
      <c r="C12193"/>
      <c r="D12193"/>
      <c r="E12193"/>
      <c r="F12193"/>
      <c r="G12193"/>
      <c r="H12193"/>
      <c r="I12193"/>
      <c r="J12193"/>
      <c r="K12193" s="1"/>
      <c r="L12193" s="2"/>
    </row>
    <row r="12194" spans="1:12" x14ac:dyDescent="0.2">
      <c r="A12194"/>
      <c r="B12194"/>
      <c r="C12194"/>
      <c r="D12194"/>
      <c r="E12194"/>
      <c r="F12194"/>
      <c r="G12194"/>
      <c r="H12194"/>
      <c r="I12194"/>
      <c r="J12194"/>
      <c r="K12194" s="1"/>
      <c r="L12194" s="2"/>
    </row>
    <row r="12195" spans="1:12" x14ac:dyDescent="0.2">
      <c r="A12195"/>
      <c r="B12195"/>
      <c r="C12195"/>
      <c r="D12195"/>
      <c r="E12195"/>
      <c r="F12195"/>
      <c r="G12195"/>
      <c r="H12195"/>
      <c r="I12195"/>
      <c r="J12195"/>
      <c r="K12195" s="1"/>
      <c r="L12195" s="2"/>
    </row>
    <row r="12196" spans="1:12" x14ac:dyDescent="0.2">
      <c r="A12196"/>
      <c r="B12196"/>
      <c r="C12196"/>
      <c r="D12196"/>
      <c r="E12196"/>
      <c r="F12196"/>
      <c r="G12196"/>
      <c r="H12196"/>
      <c r="I12196"/>
      <c r="J12196"/>
      <c r="K12196" s="1"/>
      <c r="L12196" s="2"/>
    </row>
    <row r="12197" spans="1:12" x14ac:dyDescent="0.2">
      <c r="A12197"/>
      <c r="B12197"/>
      <c r="C12197"/>
      <c r="D12197"/>
      <c r="E12197"/>
      <c r="F12197"/>
      <c r="G12197"/>
      <c r="H12197"/>
      <c r="I12197"/>
      <c r="J12197"/>
      <c r="K12197" s="1"/>
      <c r="L12197" s="2"/>
    </row>
    <row r="12198" spans="1:12" x14ac:dyDescent="0.2">
      <c r="A12198"/>
      <c r="B12198"/>
      <c r="C12198"/>
      <c r="D12198"/>
      <c r="E12198"/>
      <c r="F12198"/>
      <c r="G12198"/>
      <c r="H12198"/>
      <c r="I12198"/>
      <c r="J12198"/>
      <c r="K12198" s="1"/>
      <c r="L12198" s="2"/>
    </row>
    <row r="12199" spans="1:12" x14ac:dyDescent="0.2">
      <c r="A12199"/>
      <c r="B12199"/>
      <c r="C12199"/>
      <c r="D12199"/>
      <c r="E12199"/>
      <c r="F12199"/>
      <c r="G12199"/>
      <c r="H12199"/>
      <c r="I12199"/>
      <c r="J12199"/>
      <c r="K12199" s="1"/>
      <c r="L12199" s="2"/>
    </row>
    <row r="12200" spans="1:12" x14ac:dyDescent="0.2">
      <c r="A12200"/>
      <c r="B12200"/>
      <c r="C12200"/>
      <c r="D12200"/>
      <c r="E12200"/>
      <c r="F12200"/>
      <c r="G12200"/>
      <c r="H12200"/>
      <c r="I12200"/>
      <c r="J12200"/>
      <c r="K12200" s="1"/>
      <c r="L12200" s="2"/>
    </row>
    <row r="12201" spans="1:12" x14ac:dyDescent="0.2">
      <c r="A12201"/>
      <c r="B12201"/>
      <c r="C12201"/>
      <c r="D12201"/>
      <c r="E12201"/>
      <c r="F12201"/>
      <c r="G12201"/>
      <c r="H12201"/>
      <c r="I12201"/>
      <c r="J12201"/>
      <c r="K12201" s="1"/>
      <c r="L12201" s="2"/>
    </row>
    <row r="12202" spans="1:12" x14ac:dyDescent="0.2">
      <c r="A12202"/>
      <c r="B12202"/>
      <c r="C12202"/>
      <c r="D12202"/>
      <c r="E12202"/>
      <c r="F12202"/>
      <c r="G12202"/>
      <c r="H12202"/>
      <c r="I12202"/>
      <c r="J12202"/>
      <c r="K12202" s="1"/>
      <c r="L12202" s="2"/>
    </row>
    <row r="12203" spans="1:12" x14ac:dyDescent="0.2">
      <c r="A12203"/>
      <c r="B12203"/>
      <c r="C12203"/>
      <c r="D12203"/>
      <c r="E12203"/>
      <c r="F12203"/>
      <c r="G12203"/>
      <c r="H12203"/>
      <c r="I12203"/>
      <c r="J12203"/>
      <c r="K12203" s="1"/>
      <c r="L12203" s="2"/>
    </row>
    <row r="12204" spans="1:12" x14ac:dyDescent="0.2">
      <c r="A12204"/>
      <c r="B12204"/>
      <c r="C12204"/>
      <c r="D12204"/>
      <c r="E12204"/>
      <c r="F12204"/>
      <c r="G12204"/>
      <c r="H12204"/>
      <c r="I12204"/>
      <c r="J12204"/>
      <c r="K12204" s="1"/>
      <c r="L12204" s="2"/>
    </row>
    <row r="12205" spans="1:12" x14ac:dyDescent="0.2">
      <c r="A12205"/>
      <c r="B12205"/>
      <c r="C12205"/>
      <c r="D12205"/>
      <c r="E12205"/>
      <c r="F12205"/>
      <c r="G12205"/>
      <c r="H12205"/>
      <c r="I12205"/>
      <c r="J12205"/>
      <c r="K12205" s="1"/>
      <c r="L12205" s="2"/>
    </row>
    <row r="12206" spans="1:12" x14ac:dyDescent="0.2">
      <c r="A12206"/>
      <c r="B12206"/>
      <c r="C12206"/>
      <c r="D12206"/>
      <c r="E12206"/>
      <c r="F12206"/>
      <c r="G12206"/>
      <c r="H12206"/>
      <c r="I12206"/>
      <c r="J12206"/>
      <c r="K12206" s="1"/>
      <c r="L12206" s="2"/>
    </row>
    <row r="12207" spans="1:12" x14ac:dyDescent="0.2">
      <c r="A12207"/>
      <c r="B12207"/>
      <c r="C12207"/>
      <c r="D12207"/>
      <c r="E12207"/>
      <c r="F12207"/>
      <c r="G12207"/>
      <c r="H12207"/>
      <c r="I12207"/>
      <c r="J12207"/>
      <c r="K12207" s="1"/>
      <c r="L12207" s="2"/>
    </row>
    <row r="12208" spans="1:12" x14ac:dyDescent="0.2">
      <c r="A12208"/>
      <c r="B12208"/>
      <c r="C12208"/>
      <c r="D12208"/>
      <c r="E12208"/>
      <c r="F12208"/>
      <c r="G12208"/>
      <c r="H12208"/>
      <c r="I12208"/>
      <c r="J12208"/>
      <c r="K12208" s="1"/>
      <c r="L12208" s="2"/>
    </row>
    <row r="12209" spans="1:12" x14ac:dyDescent="0.2">
      <c r="A12209"/>
      <c r="B12209"/>
      <c r="C12209"/>
      <c r="D12209"/>
      <c r="E12209"/>
      <c r="F12209"/>
      <c r="G12209"/>
      <c r="H12209"/>
      <c r="I12209"/>
      <c r="J12209"/>
      <c r="K12209" s="1"/>
      <c r="L12209" s="2"/>
    </row>
    <row r="12210" spans="1:12" x14ac:dyDescent="0.2">
      <c r="A12210"/>
      <c r="B12210"/>
      <c r="C12210"/>
      <c r="D12210"/>
      <c r="E12210"/>
      <c r="F12210"/>
      <c r="G12210"/>
      <c r="H12210"/>
      <c r="I12210"/>
      <c r="J12210"/>
      <c r="K12210" s="1"/>
      <c r="L12210" s="2"/>
    </row>
    <row r="12211" spans="1:12" x14ac:dyDescent="0.2">
      <c r="A12211"/>
      <c r="B12211"/>
      <c r="C12211"/>
      <c r="D12211"/>
      <c r="E12211"/>
      <c r="F12211"/>
      <c r="G12211"/>
      <c r="H12211"/>
      <c r="I12211"/>
      <c r="J12211"/>
      <c r="K12211" s="1"/>
      <c r="L12211" s="2"/>
    </row>
    <row r="12212" spans="1:12" x14ac:dyDescent="0.2">
      <c r="A12212"/>
      <c r="B12212"/>
      <c r="C12212"/>
      <c r="D12212"/>
      <c r="E12212"/>
      <c r="F12212"/>
      <c r="G12212"/>
      <c r="H12212"/>
      <c r="I12212"/>
      <c r="J12212"/>
      <c r="K12212" s="1"/>
      <c r="L12212" s="2"/>
    </row>
    <row r="12213" spans="1:12" x14ac:dyDescent="0.2">
      <c r="A12213"/>
      <c r="B12213"/>
      <c r="C12213"/>
      <c r="D12213"/>
      <c r="E12213"/>
      <c r="F12213"/>
      <c r="G12213"/>
      <c r="H12213"/>
      <c r="I12213"/>
      <c r="J12213"/>
      <c r="K12213" s="1"/>
      <c r="L12213" s="2"/>
    </row>
    <row r="12214" spans="1:12" x14ac:dyDescent="0.2">
      <c r="A12214"/>
      <c r="B12214"/>
      <c r="C12214"/>
      <c r="D12214"/>
      <c r="E12214"/>
      <c r="F12214"/>
      <c r="G12214"/>
      <c r="H12214"/>
      <c r="I12214"/>
      <c r="J12214"/>
      <c r="K12214" s="1"/>
      <c r="L12214" s="2"/>
    </row>
    <row r="12215" spans="1:12" x14ac:dyDescent="0.2">
      <c r="A12215"/>
      <c r="B12215"/>
      <c r="C12215"/>
      <c r="D12215"/>
      <c r="E12215"/>
      <c r="F12215"/>
      <c r="G12215"/>
      <c r="H12215"/>
      <c r="I12215"/>
      <c r="J12215"/>
      <c r="K12215" s="1"/>
      <c r="L12215" s="2"/>
    </row>
    <row r="12216" spans="1:12" x14ac:dyDescent="0.2">
      <c r="A12216"/>
      <c r="B12216"/>
      <c r="C12216"/>
      <c r="D12216"/>
      <c r="E12216"/>
      <c r="F12216"/>
      <c r="G12216"/>
      <c r="H12216"/>
      <c r="I12216"/>
      <c r="J12216"/>
      <c r="K12216" s="1"/>
      <c r="L12216" s="2"/>
    </row>
    <row r="12217" spans="1:12" x14ac:dyDescent="0.2">
      <c r="A12217"/>
      <c r="B12217"/>
      <c r="C12217"/>
      <c r="D12217"/>
      <c r="E12217"/>
      <c r="F12217"/>
      <c r="G12217"/>
      <c r="H12217"/>
      <c r="I12217"/>
      <c r="J12217"/>
      <c r="K12217" s="1"/>
      <c r="L12217" s="2"/>
    </row>
    <row r="12218" spans="1:12" x14ac:dyDescent="0.2">
      <c r="A12218"/>
      <c r="B12218"/>
      <c r="C12218"/>
      <c r="D12218"/>
      <c r="E12218"/>
      <c r="F12218"/>
      <c r="G12218"/>
      <c r="H12218"/>
      <c r="I12218"/>
      <c r="J12218"/>
      <c r="K12218" s="1"/>
      <c r="L12218" s="2"/>
    </row>
    <row r="12219" spans="1:12" x14ac:dyDescent="0.2">
      <c r="A12219"/>
      <c r="B12219"/>
      <c r="C12219"/>
      <c r="D12219"/>
      <c r="E12219"/>
      <c r="F12219"/>
      <c r="G12219"/>
      <c r="H12219"/>
      <c r="I12219"/>
      <c r="J12219"/>
      <c r="K12219" s="1"/>
      <c r="L12219" s="2"/>
    </row>
    <row r="12220" spans="1:12" x14ac:dyDescent="0.2">
      <c r="A12220"/>
      <c r="B12220"/>
      <c r="C12220"/>
      <c r="D12220"/>
      <c r="E12220"/>
      <c r="F12220"/>
      <c r="G12220"/>
      <c r="H12220"/>
      <c r="I12220"/>
      <c r="J12220"/>
      <c r="K12220" s="1"/>
      <c r="L12220" s="2"/>
    </row>
    <row r="12221" spans="1:12" x14ac:dyDescent="0.2">
      <c r="A12221"/>
      <c r="B12221"/>
      <c r="C12221"/>
      <c r="D12221"/>
      <c r="E12221"/>
      <c r="F12221"/>
      <c r="G12221"/>
      <c r="H12221"/>
      <c r="I12221"/>
      <c r="J12221"/>
      <c r="K12221" s="1"/>
      <c r="L12221" s="2"/>
    </row>
    <row r="12222" spans="1:12" x14ac:dyDescent="0.2">
      <c r="A12222"/>
      <c r="B12222"/>
      <c r="C12222"/>
      <c r="D12222"/>
      <c r="E12222"/>
      <c r="F12222"/>
      <c r="G12222"/>
      <c r="H12222"/>
      <c r="I12222"/>
      <c r="J12222"/>
      <c r="K12222" s="1"/>
      <c r="L12222" s="2"/>
    </row>
    <row r="12223" spans="1:12" x14ac:dyDescent="0.2">
      <c r="A12223"/>
      <c r="B12223"/>
      <c r="C12223"/>
      <c r="D12223"/>
      <c r="E12223"/>
      <c r="F12223"/>
      <c r="G12223"/>
      <c r="H12223"/>
      <c r="I12223"/>
      <c r="J12223"/>
      <c r="K12223" s="1"/>
      <c r="L12223" s="2"/>
    </row>
    <row r="12224" spans="1:12" x14ac:dyDescent="0.2">
      <c r="A12224"/>
      <c r="B12224"/>
      <c r="C12224"/>
      <c r="D12224"/>
      <c r="E12224"/>
      <c r="F12224"/>
      <c r="G12224"/>
      <c r="H12224"/>
      <c r="I12224"/>
      <c r="J12224"/>
      <c r="K12224" s="1"/>
      <c r="L12224" s="2"/>
    </row>
    <row r="12225" spans="1:12" x14ac:dyDescent="0.2">
      <c r="A12225"/>
      <c r="B12225"/>
      <c r="C12225"/>
      <c r="D12225"/>
      <c r="E12225"/>
      <c r="F12225"/>
      <c r="G12225"/>
      <c r="H12225"/>
      <c r="I12225"/>
      <c r="J12225"/>
      <c r="K12225" s="1"/>
      <c r="L12225" s="2"/>
    </row>
    <row r="12226" spans="1:12" x14ac:dyDescent="0.2">
      <c r="A12226"/>
      <c r="B12226"/>
      <c r="C12226"/>
      <c r="D12226"/>
      <c r="E12226"/>
      <c r="F12226"/>
      <c r="G12226"/>
      <c r="H12226"/>
      <c r="I12226"/>
      <c r="J12226"/>
      <c r="K12226" s="1"/>
      <c r="L12226" s="2"/>
    </row>
    <row r="12227" spans="1:12" x14ac:dyDescent="0.2">
      <c r="A12227"/>
      <c r="B12227"/>
      <c r="C12227"/>
      <c r="D12227"/>
      <c r="E12227"/>
      <c r="F12227"/>
      <c r="G12227"/>
      <c r="H12227"/>
      <c r="I12227"/>
      <c r="J12227"/>
      <c r="K12227" s="1"/>
      <c r="L12227" s="2"/>
    </row>
    <row r="12228" spans="1:12" x14ac:dyDescent="0.2">
      <c r="A12228"/>
      <c r="B12228"/>
      <c r="C12228"/>
      <c r="D12228"/>
      <c r="E12228"/>
      <c r="F12228"/>
      <c r="G12228"/>
      <c r="H12228"/>
      <c r="I12228"/>
      <c r="J12228"/>
      <c r="K12228" s="1"/>
      <c r="L12228" s="2"/>
    </row>
    <row r="12229" spans="1:12" x14ac:dyDescent="0.2">
      <c r="A12229"/>
      <c r="B12229"/>
      <c r="C12229"/>
      <c r="D12229"/>
      <c r="E12229"/>
      <c r="F12229"/>
      <c r="G12229"/>
      <c r="H12229"/>
      <c r="I12229"/>
      <c r="J12229"/>
      <c r="K12229" s="1"/>
      <c r="L12229" s="2"/>
    </row>
    <row r="12230" spans="1:12" x14ac:dyDescent="0.2">
      <c r="A12230"/>
      <c r="B12230"/>
      <c r="C12230"/>
      <c r="D12230"/>
      <c r="E12230"/>
      <c r="F12230"/>
      <c r="G12230"/>
      <c r="H12230"/>
      <c r="I12230"/>
      <c r="J12230"/>
      <c r="K12230" s="1"/>
      <c r="L12230" s="2"/>
    </row>
    <row r="12231" spans="1:12" x14ac:dyDescent="0.2">
      <c r="A12231"/>
      <c r="B12231"/>
      <c r="C12231"/>
      <c r="D12231"/>
      <c r="E12231"/>
      <c r="F12231"/>
      <c r="G12231"/>
      <c r="H12231"/>
      <c r="I12231"/>
      <c r="J12231"/>
      <c r="K12231" s="1"/>
      <c r="L12231" s="2"/>
    </row>
    <row r="12232" spans="1:12" x14ac:dyDescent="0.2">
      <c r="A12232"/>
      <c r="B12232"/>
      <c r="C12232"/>
      <c r="D12232"/>
      <c r="E12232"/>
      <c r="F12232"/>
      <c r="G12232"/>
      <c r="H12232"/>
      <c r="I12232"/>
      <c r="J12232"/>
      <c r="K12232" s="1"/>
      <c r="L12232" s="2"/>
    </row>
    <row r="12233" spans="1:12" x14ac:dyDescent="0.2">
      <c r="A12233"/>
      <c r="B12233"/>
      <c r="C12233"/>
      <c r="D12233"/>
      <c r="E12233"/>
      <c r="F12233"/>
      <c r="G12233"/>
      <c r="H12233"/>
      <c r="I12233"/>
      <c r="J12233"/>
      <c r="K12233" s="1"/>
      <c r="L12233" s="2"/>
    </row>
    <row r="12234" spans="1:12" x14ac:dyDescent="0.2">
      <c r="A12234"/>
      <c r="B12234"/>
      <c r="C12234"/>
      <c r="D12234"/>
      <c r="E12234"/>
      <c r="F12234"/>
      <c r="G12234"/>
      <c r="H12234"/>
      <c r="I12234"/>
      <c r="J12234"/>
      <c r="K12234" s="1"/>
      <c r="L12234" s="2"/>
    </row>
    <row r="12235" spans="1:12" x14ac:dyDescent="0.2">
      <c r="A12235"/>
      <c r="B12235"/>
      <c r="C12235"/>
      <c r="D12235"/>
      <c r="E12235"/>
      <c r="F12235"/>
      <c r="G12235"/>
      <c r="H12235"/>
      <c r="I12235"/>
      <c r="J12235"/>
      <c r="K12235" s="1"/>
      <c r="L12235" s="2"/>
    </row>
    <row r="12236" spans="1:12" x14ac:dyDescent="0.2">
      <c r="A12236"/>
      <c r="B12236"/>
      <c r="C12236"/>
      <c r="D12236"/>
      <c r="E12236"/>
      <c r="F12236"/>
      <c r="G12236"/>
      <c r="H12236"/>
      <c r="I12236"/>
      <c r="J12236"/>
      <c r="K12236" s="1"/>
      <c r="L12236" s="2"/>
    </row>
    <row r="12237" spans="1:12" x14ac:dyDescent="0.2">
      <c r="A12237"/>
      <c r="B12237"/>
      <c r="C12237"/>
      <c r="D12237"/>
      <c r="E12237"/>
      <c r="F12237"/>
      <c r="G12237"/>
      <c r="H12237"/>
      <c r="I12237"/>
      <c r="J12237"/>
      <c r="K12237" s="1"/>
      <c r="L12237" s="2"/>
    </row>
    <row r="12238" spans="1:12" x14ac:dyDescent="0.2">
      <c r="A12238"/>
      <c r="B12238"/>
      <c r="C12238"/>
      <c r="D12238"/>
      <c r="E12238"/>
      <c r="F12238"/>
      <c r="G12238"/>
      <c r="H12238"/>
      <c r="I12238"/>
      <c r="J12238"/>
      <c r="K12238" s="1"/>
      <c r="L12238" s="2"/>
    </row>
    <row r="12239" spans="1:12" x14ac:dyDescent="0.2">
      <c r="A12239"/>
      <c r="B12239"/>
      <c r="C12239"/>
      <c r="D12239"/>
      <c r="E12239"/>
      <c r="F12239"/>
      <c r="G12239"/>
      <c r="H12239"/>
      <c r="I12239"/>
      <c r="J12239"/>
      <c r="K12239" s="1"/>
      <c r="L12239" s="2"/>
    </row>
    <row r="12240" spans="1:12" x14ac:dyDescent="0.2">
      <c r="A12240"/>
      <c r="B12240"/>
      <c r="C12240"/>
      <c r="D12240"/>
      <c r="E12240"/>
      <c r="F12240"/>
      <c r="G12240"/>
      <c r="H12240"/>
      <c r="I12240"/>
      <c r="J12240"/>
      <c r="K12240" s="1"/>
      <c r="L12240" s="2"/>
    </row>
    <row r="12241" spans="1:12" x14ac:dyDescent="0.2">
      <c r="A12241"/>
      <c r="B12241"/>
      <c r="C12241"/>
      <c r="D12241"/>
      <c r="E12241"/>
      <c r="F12241"/>
      <c r="G12241"/>
      <c r="H12241"/>
      <c r="I12241"/>
      <c r="J12241"/>
      <c r="K12241" s="1"/>
      <c r="L12241" s="2"/>
    </row>
    <row r="12242" spans="1:12" x14ac:dyDescent="0.2">
      <c r="A12242"/>
      <c r="B12242"/>
      <c r="C12242"/>
      <c r="D12242"/>
      <c r="E12242"/>
      <c r="F12242"/>
      <c r="G12242"/>
      <c r="H12242"/>
      <c r="I12242"/>
      <c r="J12242"/>
      <c r="K12242" s="1"/>
      <c r="L12242" s="2"/>
    </row>
    <row r="12243" spans="1:12" x14ac:dyDescent="0.2">
      <c r="A12243"/>
      <c r="B12243"/>
      <c r="C12243"/>
      <c r="D12243"/>
      <c r="E12243"/>
      <c r="F12243"/>
      <c r="G12243"/>
      <c r="H12243"/>
      <c r="I12243"/>
      <c r="J12243"/>
      <c r="K12243" s="1"/>
      <c r="L12243" s="2"/>
    </row>
    <row r="12244" spans="1:12" x14ac:dyDescent="0.2">
      <c r="A12244"/>
      <c r="B12244"/>
      <c r="C12244"/>
      <c r="D12244"/>
      <c r="E12244"/>
      <c r="F12244"/>
      <c r="G12244"/>
      <c r="H12244"/>
      <c r="I12244"/>
      <c r="J12244"/>
      <c r="K12244" s="1"/>
      <c r="L12244" s="2"/>
    </row>
    <row r="12245" spans="1:12" x14ac:dyDescent="0.2">
      <c r="A12245"/>
      <c r="B12245"/>
      <c r="C12245"/>
      <c r="D12245"/>
      <c r="E12245"/>
      <c r="F12245"/>
      <c r="G12245"/>
      <c r="H12245"/>
      <c r="I12245"/>
      <c r="J12245"/>
      <c r="K12245" s="1"/>
      <c r="L12245" s="2"/>
    </row>
    <row r="12246" spans="1:12" x14ac:dyDescent="0.2">
      <c r="A12246"/>
      <c r="B12246"/>
      <c r="C12246"/>
      <c r="D12246"/>
      <c r="E12246"/>
      <c r="F12246"/>
      <c r="G12246"/>
      <c r="H12246"/>
      <c r="I12246"/>
      <c r="J12246"/>
      <c r="K12246" s="1"/>
      <c r="L12246" s="2"/>
    </row>
    <row r="12247" spans="1:12" x14ac:dyDescent="0.2">
      <c r="A12247"/>
      <c r="B12247"/>
      <c r="C12247"/>
      <c r="D12247"/>
      <c r="E12247"/>
      <c r="F12247"/>
      <c r="G12247"/>
      <c r="H12247"/>
      <c r="I12247"/>
      <c r="J12247"/>
      <c r="K12247" s="1"/>
      <c r="L12247" s="2"/>
    </row>
    <row r="12248" spans="1:12" x14ac:dyDescent="0.2">
      <c r="A12248"/>
      <c r="B12248"/>
      <c r="C12248"/>
      <c r="D12248"/>
      <c r="E12248"/>
      <c r="F12248"/>
      <c r="G12248"/>
      <c r="H12248"/>
      <c r="I12248"/>
      <c r="J12248"/>
      <c r="K12248" s="1"/>
      <c r="L12248" s="2"/>
    </row>
    <row r="12249" spans="1:12" x14ac:dyDescent="0.2">
      <c r="A12249"/>
      <c r="B12249"/>
      <c r="C12249"/>
      <c r="D12249"/>
      <c r="E12249"/>
      <c r="F12249"/>
      <c r="G12249"/>
      <c r="H12249"/>
      <c r="I12249"/>
      <c r="J12249"/>
      <c r="K12249" s="1"/>
      <c r="L12249" s="2"/>
    </row>
    <row r="12250" spans="1:12" x14ac:dyDescent="0.2">
      <c r="A12250"/>
      <c r="B12250"/>
      <c r="C12250"/>
      <c r="D12250"/>
      <c r="E12250"/>
      <c r="F12250"/>
      <c r="G12250"/>
      <c r="H12250"/>
      <c r="I12250"/>
      <c r="J12250"/>
      <c r="K12250" s="1"/>
      <c r="L12250" s="2"/>
    </row>
    <row r="12251" spans="1:12" x14ac:dyDescent="0.2">
      <c r="A12251"/>
      <c r="B12251"/>
      <c r="C12251"/>
      <c r="D12251"/>
      <c r="E12251"/>
      <c r="F12251"/>
      <c r="G12251"/>
      <c r="H12251"/>
      <c r="I12251"/>
      <c r="J12251"/>
      <c r="K12251" s="1"/>
      <c r="L12251" s="2"/>
    </row>
    <row r="12252" spans="1:12" x14ac:dyDescent="0.2">
      <c r="A12252"/>
      <c r="B12252"/>
      <c r="C12252"/>
      <c r="D12252"/>
      <c r="E12252"/>
      <c r="F12252"/>
      <c r="G12252"/>
      <c r="H12252"/>
      <c r="I12252"/>
      <c r="J12252"/>
      <c r="K12252" s="1"/>
      <c r="L12252" s="2"/>
    </row>
    <row r="12253" spans="1:12" x14ac:dyDescent="0.2">
      <c r="A12253"/>
      <c r="B12253"/>
      <c r="C12253"/>
      <c r="D12253"/>
      <c r="E12253"/>
      <c r="F12253"/>
      <c r="G12253"/>
      <c r="H12253"/>
      <c r="I12253"/>
      <c r="J12253"/>
      <c r="K12253" s="1"/>
      <c r="L12253" s="2"/>
    </row>
    <row r="12254" spans="1:12" x14ac:dyDescent="0.2">
      <c r="A12254"/>
      <c r="B12254"/>
      <c r="C12254"/>
      <c r="D12254"/>
      <c r="E12254"/>
      <c r="F12254"/>
      <c r="G12254"/>
      <c r="H12254"/>
      <c r="I12254"/>
      <c r="J12254"/>
      <c r="K12254" s="1"/>
      <c r="L12254" s="2"/>
    </row>
    <row r="12255" spans="1:12" x14ac:dyDescent="0.2">
      <c r="A12255"/>
      <c r="B12255"/>
      <c r="C12255"/>
      <c r="D12255"/>
      <c r="E12255"/>
      <c r="F12255"/>
      <c r="G12255"/>
      <c r="H12255"/>
      <c r="I12255"/>
      <c r="J12255"/>
      <c r="K12255" s="1"/>
      <c r="L12255" s="2"/>
    </row>
    <row r="12256" spans="1:12" x14ac:dyDescent="0.2">
      <c r="A12256"/>
      <c r="B12256"/>
      <c r="C12256"/>
      <c r="D12256"/>
      <c r="E12256"/>
      <c r="F12256"/>
      <c r="G12256"/>
      <c r="H12256"/>
      <c r="I12256"/>
      <c r="J12256"/>
      <c r="K12256" s="1"/>
      <c r="L12256" s="2"/>
    </row>
    <row r="12257" spans="1:12" x14ac:dyDescent="0.2">
      <c r="A12257"/>
      <c r="B12257"/>
      <c r="C12257"/>
      <c r="D12257"/>
      <c r="E12257"/>
      <c r="F12257"/>
      <c r="G12257"/>
      <c r="H12257"/>
      <c r="I12257"/>
      <c r="J12257"/>
      <c r="K12257" s="1"/>
      <c r="L12257" s="2"/>
    </row>
    <row r="12258" spans="1:12" x14ac:dyDescent="0.2">
      <c r="A12258"/>
      <c r="B12258"/>
      <c r="C12258"/>
      <c r="D12258"/>
      <c r="E12258"/>
      <c r="F12258"/>
      <c r="G12258"/>
      <c r="H12258"/>
      <c r="I12258"/>
      <c r="J12258"/>
      <c r="K12258" s="1"/>
      <c r="L12258" s="2"/>
    </row>
    <row r="12259" spans="1:12" x14ac:dyDescent="0.2">
      <c r="A12259"/>
      <c r="B12259"/>
      <c r="C12259"/>
      <c r="D12259"/>
      <c r="E12259"/>
      <c r="F12259"/>
      <c r="G12259"/>
      <c r="H12259"/>
      <c r="I12259"/>
      <c r="J12259"/>
      <c r="K12259" s="1"/>
      <c r="L12259" s="2"/>
    </row>
    <row r="12260" spans="1:12" x14ac:dyDescent="0.2">
      <c r="A12260"/>
      <c r="B12260"/>
      <c r="C12260"/>
      <c r="D12260"/>
      <c r="E12260"/>
      <c r="F12260"/>
      <c r="G12260"/>
      <c r="H12260"/>
      <c r="I12260"/>
      <c r="J12260"/>
      <c r="K12260" s="1"/>
      <c r="L12260" s="2"/>
    </row>
    <row r="12261" spans="1:12" x14ac:dyDescent="0.2">
      <c r="A12261"/>
      <c r="B12261"/>
      <c r="C12261"/>
      <c r="D12261"/>
      <c r="E12261"/>
      <c r="F12261"/>
      <c r="G12261"/>
      <c r="H12261"/>
      <c r="I12261"/>
      <c r="J12261"/>
      <c r="K12261" s="1"/>
      <c r="L12261" s="2"/>
    </row>
    <row r="12262" spans="1:12" x14ac:dyDescent="0.2">
      <c r="A12262"/>
      <c r="B12262"/>
      <c r="C12262"/>
      <c r="D12262"/>
      <c r="E12262"/>
      <c r="F12262"/>
      <c r="G12262"/>
      <c r="H12262"/>
      <c r="I12262"/>
      <c r="J12262"/>
      <c r="K12262" s="1"/>
      <c r="L12262" s="2"/>
    </row>
    <row r="12263" spans="1:12" x14ac:dyDescent="0.2">
      <c r="A12263"/>
      <c r="B12263"/>
      <c r="C12263"/>
      <c r="D12263"/>
      <c r="E12263"/>
      <c r="F12263"/>
      <c r="G12263"/>
      <c r="H12263"/>
      <c r="I12263"/>
      <c r="J12263"/>
      <c r="K12263" s="1"/>
      <c r="L12263" s="2"/>
    </row>
    <row r="12264" spans="1:12" x14ac:dyDescent="0.2">
      <c r="A12264"/>
      <c r="B12264"/>
      <c r="C12264"/>
      <c r="D12264"/>
      <c r="E12264"/>
      <c r="F12264"/>
      <c r="G12264"/>
      <c r="H12264"/>
      <c r="I12264"/>
      <c r="J12264"/>
      <c r="K12264" s="1"/>
      <c r="L12264" s="2"/>
    </row>
    <row r="12265" spans="1:12" x14ac:dyDescent="0.2">
      <c r="A12265"/>
      <c r="B12265"/>
      <c r="C12265"/>
      <c r="D12265"/>
      <c r="E12265"/>
      <c r="F12265"/>
      <c r="G12265"/>
      <c r="H12265"/>
      <c r="I12265"/>
      <c r="J12265"/>
      <c r="K12265" s="1"/>
      <c r="L12265" s="2"/>
    </row>
    <row r="12266" spans="1:12" x14ac:dyDescent="0.2">
      <c r="A12266"/>
      <c r="B12266"/>
      <c r="C12266"/>
      <c r="D12266"/>
      <c r="E12266"/>
      <c r="F12266"/>
      <c r="G12266"/>
      <c r="H12266"/>
      <c r="I12266"/>
      <c r="J12266"/>
      <c r="K12266" s="1"/>
      <c r="L12266" s="2"/>
    </row>
    <row r="12267" spans="1:12" x14ac:dyDescent="0.2">
      <c r="A12267"/>
      <c r="B12267"/>
      <c r="C12267"/>
      <c r="D12267"/>
      <c r="E12267"/>
      <c r="F12267"/>
      <c r="G12267"/>
      <c r="H12267"/>
      <c r="I12267"/>
      <c r="J12267"/>
      <c r="K12267" s="1"/>
      <c r="L12267" s="2"/>
    </row>
    <row r="12268" spans="1:12" x14ac:dyDescent="0.2">
      <c r="A12268"/>
      <c r="B12268"/>
      <c r="C12268"/>
      <c r="D12268"/>
      <c r="E12268"/>
      <c r="F12268"/>
      <c r="G12268"/>
      <c r="H12268"/>
      <c r="I12268"/>
      <c r="J12268"/>
      <c r="K12268" s="1"/>
      <c r="L12268" s="2"/>
    </row>
    <row r="12269" spans="1:12" x14ac:dyDescent="0.2">
      <c r="A12269"/>
      <c r="B12269"/>
      <c r="C12269"/>
      <c r="D12269"/>
      <c r="E12269"/>
      <c r="F12269"/>
      <c r="G12269"/>
      <c r="H12269"/>
      <c r="I12269"/>
      <c r="J12269"/>
      <c r="K12269" s="1"/>
      <c r="L12269" s="2"/>
    </row>
    <row r="12270" spans="1:12" x14ac:dyDescent="0.2">
      <c r="A12270"/>
      <c r="B12270"/>
      <c r="C12270"/>
      <c r="D12270"/>
      <c r="E12270"/>
      <c r="F12270"/>
      <c r="G12270"/>
      <c r="H12270"/>
      <c r="I12270"/>
      <c r="J12270"/>
      <c r="K12270" s="1"/>
      <c r="L12270" s="2"/>
    </row>
    <row r="12271" spans="1:12" x14ac:dyDescent="0.2">
      <c r="A12271"/>
      <c r="B12271"/>
      <c r="C12271"/>
      <c r="D12271"/>
      <c r="E12271"/>
      <c r="F12271"/>
      <c r="G12271"/>
      <c r="H12271"/>
      <c r="I12271"/>
      <c r="J12271"/>
      <c r="K12271" s="1"/>
      <c r="L12271" s="2"/>
    </row>
    <row r="12272" spans="1:12" x14ac:dyDescent="0.2">
      <c r="A12272"/>
      <c r="B12272"/>
      <c r="C12272"/>
      <c r="D12272"/>
      <c r="E12272"/>
      <c r="F12272"/>
      <c r="G12272"/>
      <c r="H12272"/>
      <c r="I12272"/>
      <c r="J12272"/>
      <c r="K12272" s="1"/>
      <c r="L12272" s="2"/>
    </row>
    <row r="12273" spans="1:12" x14ac:dyDescent="0.2">
      <c r="A12273"/>
      <c r="B12273"/>
      <c r="C12273"/>
      <c r="D12273"/>
      <c r="E12273"/>
      <c r="F12273"/>
      <c r="G12273"/>
      <c r="H12273"/>
      <c r="I12273"/>
      <c r="J12273"/>
      <c r="K12273" s="1"/>
      <c r="L12273" s="2"/>
    </row>
    <row r="12274" spans="1:12" x14ac:dyDescent="0.2">
      <c r="A12274"/>
      <c r="B12274"/>
      <c r="C12274"/>
      <c r="D12274"/>
      <c r="E12274"/>
      <c r="F12274"/>
      <c r="G12274"/>
      <c r="H12274"/>
      <c r="I12274"/>
      <c r="J12274"/>
      <c r="K12274" s="1"/>
      <c r="L12274" s="2"/>
    </row>
    <row r="12275" spans="1:12" x14ac:dyDescent="0.2">
      <c r="A12275"/>
      <c r="B12275"/>
      <c r="C12275"/>
      <c r="D12275"/>
      <c r="E12275"/>
      <c r="F12275"/>
      <c r="G12275"/>
      <c r="H12275"/>
      <c r="I12275"/>
      <c r="J12275"/>
      <c r="K12275" s="1"/>
      <c r="L12275" s="2"/>
    </row>
    <row r="12276" spans="1:12" x14ac:dyDescent="0.2">
      <c r="A12276"/>
      <c r="B12276"/>
      <c r="C12276"/>
      <c r="D12276"/>
      <c r="E12276"/>
      <c r="F12276"/>
      <c r="G12276"/>
      <c r="H12276"/>
      <c r="I12276"/>
      <c r="J12276"/>
      <c r="K12276" s="1"/>
      <c r="L12276" s="2"/>
    </row>
    <row r="12277" spans="1:12" x14ac:dyDescent="0.2">
      <c r="A12277"/>
      <c r="B12277"/>
      <c r="C12277"/>
      <c r="D12277"/>
      <c r="E12277"/>
      <c r="F12277"/>
      <c r="G12277"/>
      <c r="H12277"/>
      <c r="I12277"/>
      <c r="J12277"/>
      <c r="K12277" s="1"/>
      <c r="L12277" s="2"/>
    </row>
    <row r="12278" spans="1:12" x14ac:dyDescent="0.2">
      <c r="A12278"/>
      <c r="B12278"/>
      <c r="C12278"/>
      <c r="D12278"/>
      <c r="E12278"/>
      <c r="F12278"/>
      <c r="G12278"/>
      <c r="H12278"/>
      <c r="I12278"/>
      <c r="J12278"/>
      <c r="K12278" s="1"/>
      <c r="L12278" s="2"/>
    </row>
    <row r="12279" spans="1:12" x14ac:dyDescent="0.2">
      <c r="A12279"/>
      <c r="B12279"/>
      <c r="C12279"/>
      <c r="D12279"/>
      <c r="E12279"/>
      <c r="F12279"/>
      <c r="G12279"/>
      <c r="H12279"/>
      <c r="I12279"/>
      <c r="J12279"/>
      <c r="K12279" s="1"/>
      <c r="L12279" s="2"/>
    </row>
    <row r="12280" spans="1:12" x14ac:dyDescent="0.2">
      <c r="A12280"/>
      <c r="B12280"/>
      <c r="C12280"/>
      <c r="D12280"/>
      <c r="E12280"/>
      <c r="F12280"/>
      <c r="G12280"/>
      <c r="H12280"/>
      <c r="I12280"/>
      <c r="J12280"/>
      <c r="K12280" s="1"/>
      <c r="L12280" s="2"/>
    </row>
    <row r="12281" spans="1:12" x14ac:dyDescent="0.2">
      <c r="A12281"/>
      <c r="B12281"/>
      <c r="C12281"/>
      <c r="D12281"/>
      <c r="E12281"/>
      <c r="F12281"/>
      <c r="G12281"/>
      <c r="H12281"/>
      <c r="I12281"/>
      <c r="J12281"/>
      <c r="K12281" s="1"/>
      <c r="L12281" s="2"/>
    </row>
    <row r="12282" spans="1:12" x14ac:dyDescent="0.2">
      <c r="A12282"/>
      <c r="B12282"/>
      <c r="C12282"/>
      <c r="D12282"/>
      <c r="E12282"/>
      <c r="F12282"/>
      <c r="G12282"/>
      <c r="H12282"/>
      <c r="I12282"/>
      <c r="J12282"/>
      <c r="K12282" s="1"/>
      <c r="L12282" s="2"/>
    </row>
    <row r="12283" spans="1:12" x14ac:dyDescent="0.2">
      <c r="A12283"/>
      <c r="B12283"/>
      <c r="C12283"/>
      <c r="D12283"/>
      <c r="E12283"/>
      <c r="F12283"/>
      <c r="G12283"/>
      <c r="H12283"/>
      <c r="I12283"/>
      <c r="J12283"/>
      <c r="K12283" s="1"/>
      <c r="L12283" s="2"/>
    </row>
    <row r="12284" spans="1:12" x14ac:dyDescent="0.2">
      <c r="A12284"/>
      <c r="B12284"/>
      <c r="C12284"/>
      <c r="D12284"/>
      <c r="E12284"/>
      <c r="F12284"/>
      <c r="G12284"/>
      <c r="H12284"/>
      <c r="I12284"/>
      <c r="J12284"/>
      <c r="K12284" s="1"/>
      <c r="L12284" s="2"/>
    </row>
    <row r="12285" spans="1:12" x14ac:dyDescent="0.2">
      <c r="A12285"/>
      <c r="B12285"/>
      <c r="C12285"/>
      <c r="D12285"/>
      <c r="E12285"/>
      <c r="F12285"/>
      <c r="G12285"/>
      <c r="H12285"/>
      <c r="I12285"/>
      <c r="J12285"/>
      <c r="K12285" s="1"/>
      <c r="L12285" s="2"/>
    </row>
    <row r="12286" spans="1:12" x14ac:dyDescent="0.2">
      <c r="A12286"/>
      <c r="B12286"/>
      <c r="C12286"/>
      <c r="D12286"/>
      <c r="E12286"/>
      <c r="F12286"/>
      <c r="G12286"/>
      <c r="H12286"/>
      <c r="I12286"/>
      <c r="J12286"/>
      <c r="K12286" s="1"/>
      <c r="L12286" s="2"/>
    </row>
    <row r="12287" spans="1:12" x14ac:dyDescent="0.2">
      <c r="A12287"/>
      <c r="B12287"/>
      <c r="C12287"/>
      <c r="D12287"/>
      <c r="E12287"/>
      <c r="F12287"/>
      <c r="G12287"/>
      <c r="H12287"/>
      <c r="I12287"/>
      <c r="J12287"/>
      <c r="K12287" s="1"/>
      <c r="L12287" s="2"/>
    </row>
    <row r="12288" spans="1:12" x14ac:dyDescent="0.2">
      <c r="A12288"/>
      <c r="B12288"/>
      <c r="C12288"/>
      <c r="D12288"/>
      <c r="E12288"/>
      <c r="F12288"/>
      <c r="G12288"/>
      <c r="H12288"/>
      <c r="I12288"/>
      <c r="J12288"/>
      <c r="K12288" s="1"/>
      <c r="L12288" s="2"/>
    </row>
    <row r="12289" spans="1:12" x14ac:dyDescent="0.2">
      <c r="A12289"/>
      <c r="B12289"/>
      <c r="C12289"/>
      <c r="D12289"/>
      <c r="E12289"/>
      <c r="F12289"/>
      <c r="G12289"/>
      <c r="H12289"/>
      <c r="I12289"/>
      <c r="J12289"/>
      <c r="K12289" s="1"/>
      <c r="L12289" s="2"/>
    </row>
    <row r="12290" spans="1:12" x14ac:dyDescent="0.2">
      <c r="A12290"/>
      <c r="B12290"/>
      <c r="C12290"/>
      <c r="D12290"/>
      <c r="E12290"/>
      <c r="F12290"/>
      <c r="G12290"/>
      <c r="H12290"/>
      <c r="I12290"/>
      <c r="J12290"/>
      <c r="K12290" s="1"/>
      <c r="L12290" s="2"/>
    </row>
    <row r="12291" spans="1:12" x14ac:dyDescent="0.2">
      <c r="A12291"/>
      <c r="B12291"/>
      <c r="C12291"/>
      <c r="D12291"/>
      <c r="E12291"/>
      <c r="F12291"/>
      <c r="G12291"/>
      <c r="H12291"/>
      <c r="I12291"/>
      <c r="J12291"/>
      <c r="K12291" s="1"/>
      <c r="L12291" s="2"/>
    </row>
    <row r="12292" spans="1:12" x14ac:dyDescent="0.2">
      <c r="A12292"/>
      <c r="B12292"/>
      <c r="C12292"/>
      <c r="D12292"/>
      <c r="E12292"/>
      <c r="F12292"/>
      <c r="G12292"/>
      <c r="H12292"/>
      <c r="I12292"/>
      <c r="J12292"/>
      <c r="K12292" s="1"/>
      <c r="L12292" s="2"/>
    </row>
    <row r="12293" spans="1:12" x14ac:dyDescent="0.2">
      <c r="A12293"/>
      <c r="B12293"/>
      <c r="C12293"/>
      <c r="D12293"/>
      <c r="E12293"/>
      <c r="F12293"/>
      <c r="G12293"/>
      <c r="H12293"/>
      <c r="I12293"/>
      <c r="J12293"/>
      <c r="K12293" s="1"/>
      <c r="L12293" s="2"/>
    </row>
    <row r="12294" spans="1:12" x14ac:dyDescent="0.2">
      <c r="A12294"/>
      <c r="B12294"/>
      <c r="C12294"/>
      <c r="D12294"/>
      <c r="E12294"/>
      <c r="F12294"/>
      <c r="G12294"/>
      <c r="H12294"/>
      <c r="I12294"/>
      <c r="J12294"/>
      <c r="K12294" s="1"/>
      <c r="L12294" s="2"/>
    </row>
    <row r="12295" spans="1:12" x14ac:dyDescent="0.2">
      <c r="A12295"/>
      <c r="B12295"/>
      <c r="C12295"/>
      <c r="D12295"/>
      <c r="E12295"/>
      <c r="F12295"/>
      <c r="G12295"/>
      <c r="H12295"/>
      <c r="I12295"/>
      <c r="J12295"/>
      <c r="K12295" s="1"/>
      <c r="L12295" s="2"/>
    </row>
    <row r="12296" spans="1:12" x14ac:dyDescent="0.2">
      <c r="A12296"/>
      <c r="B12296"/>
      <c r="C12296"/>
      <c r="D12296"/>
      <c r="E12296"/>
      <c r="F12296"/>
      <c r="G12296"/>
      <c r="H12296"/>
      <c r="I12296"/>
      <c r="J12296"/>
      <c r="K12296" s="1"/>
      <c r="L12296" s="2"/>
    </row>
    <row r="12297" spans="1:12" x14ac:dyDescent="0.2">
      <c r="A12297"/>
      <c r="B12297"/>
      <c r="C12297"/>
      <c r="D12297"/>
      <c r="E12297"/>
      <c r="F12297"/>
      <c r="G12297"/>
      <c r="H12297"/>
      <c r="I12297"/>
      <c r="J12297"/>
      <c r="K12297" s="1"/>
      <c r="L12297" s="2"/>
    </row>
    <row r="12298" spans="1:12" x14ac:dyDescent="0.2">
      <c r="A12298"/>
      <c r="B12298"/>
      <c r="C12298"/>
      <c r="D12298"/>
      <c r="E12298"/>
      <c r="F12298"/>
      <c r="G12298"/>
      <c r="H12298"/>
      <c r="I12298"/>
      <c r="J12298"/>
      <c r="K12298" s="1"/>
      <c r="L12298" s="2"/>
    </row>
    <row r="12299" spans="1:12" x14ac:dyDescent="0.2">
      <c r="A12299"/>
      <c r="B12299"/>
      <c r="C12299"/>
      <c r="D12299"/>
      <c r="E12299"/>
      <c r="F12299"/>
      <c r="G12299"/>
      <c r="H12299"/>
      <c r="I12299"/>
      <c r="J12299"/>
      <c r="K12299" s="1"/>
      <c r="L12299" s="2"/>
    </row>
    <row r="12300" spans="1:12" x14ac:dyDescent="0.2">
      <c r="A12300"/>
      <c r="B12300"/>
      <c r="C12300"/>
      <c r="D12300"/>
      <c r="E12300"/>
      <c r="F12300"/>
      <c r="G12300"/>
      <c r="H12300"/>
      <c r="I12300"/>
      <c r="J12300"/>
      <c r="K12300" s="1"/>
      <c r="L12300" s="2"/>
    </row>
    <row r="12301" spans="1:12" x14ac:dyDescent="0.2">
      <c r="A12301"/>
      <c r="B12301"/>
      <c r="C12301"/>
      <c r="D12301"/>
      <c r="E12301"/>
      <c r="F12301"/>
      <c r="G12301"/>
      <c r="H12301"/>
      <c r="I12301"/>
      <c r="J12301"/>
      <c r="K12301" s="1"/>
      <c r="L12301" s="2"/>
    </row>
    <row r="12302" spans="1:12" x14ac:dyDescent="0.2">
      <c r="A12302"/>
      <c r="B12302"/>
      <c r="C12302"/>
      <c r="D12302"/>
      <c r="E12302"/>
      <c r="F12302"/>
      <c r="G12302"/>
      <c r="H12302"/>
      <c r="I12302"/>
      <c r="J12302"/>
      <c r="K12302" s="1"/>
      <c r="L12302" s="2"/>
    </row>
    <row r="12303" spans="1:12" x14ac:dyDescent="0.2">
      <c r="A12303"/>
      <c r="B12303"/>
      <c r="C12303"/>
      <c r="D12303"/>
      <c r="E12303"/>
      <c r="F12303"/>
      <c r="G12303"/>
      <c r="H12303"/>
      <c r="I12303"/>
      <c r="J12303"/>
      <c r="K12303" s="1"/>
      <c r="L12303" s="2"/>
    </row>
    <row r="12304" spans="1:12" x14ac:dyDescent="0.2">
      <c r="A12304"/>
      <c r="B12304"/>
      <c r="C12304"/>
      <c r="D12304"/>
      <c r="E12304"/>
      <c r="F12304"/>
      <c r="G12304"/>
      <c r="H12304"/>
      <c r="I12304"/>
      <c r="J12304"/>
      <c r="K12304" s="1"/>
      <c r="L12304" s="2"/>
    </row>
    <row r="12305" spans="1:12" x14ac:dyDescent="0.2">
      <c r="A12305"/>
      <c r="B12305"/>
      <c r="C12305"/>
      <c r="D12305"/>
      <c r="E12305"/>
      <c r="F12305"/>
      <c r="G12305"/>
      <c r="H12305"/>
      <c r="I12305"/>
      <c r="J12305"/>
      <c r="K12305" s="1"/>
      <c r="L12305" s="2"/>
    </row>
    <row r="12306" spans="1:12" x14ac:dyDescent="0.2">
      <c r="A12306"/>
      <c r="B12306"/>
      <c r="C12306"/>
      <c r="D12306"/>
      <c r="E12306"/>
      <c r="F12306"/>
      <c r="G12306"/>
      <c r="H12306"/>
      <c r="I12306"/>
      <c r="J12306"/>
      <c r="K12306" s="1"/>
      <c r="L12306" s="2"/>
    </row>
    <row r="12307" spans="1:12" x14ac:dyDescent="0.2">
      <c r="A12307"/>
      <c r="B12307"/>
      <c r="C12307"/>
      <c r="D12307"/>
      <c r="E12307"/>
      <c r="F12307"/>
      <c r="G12307"/>
      <c r="H12307"/>
      <c r="I12307"/>
      <c r="J12307"/>
      <c r="K12307" s="1"/>
      <c r="L12307" s="2"/>
    </row>
    <row r="12308" spans="1:12" x14ac:dyDescent="0.2">
      <c r="A12308"/>
      <c r="B12308"/>
      <c r="C12308"/>
      <c r="D12308"/>
      <c r="E12308"/>
      <c r="F12308"/>
      <c r="G12308"/>
      <c r="H12308"/>
      <c r="I12308"/>
      <c r="J12308"/>
      <c r="K12308" s="1"/>
      <c r="L12308" s="2"/>
    </row>
    <row r="12309" spans="1:12" x14ac:dyDescent="0.2">
      <c r="A12309"/>
      <c r="B12309"/>
      <c r="C12309"/>
      <c r="D12309"/>
      <c r="E12309"/>
      <c r="F12309"/>
      <c r="G12309"/>
      <c r="H12309"/>
      <c r="I12309"/>
      <c r="J12309"/>
      <c r="K12309" s="1"/>
      <c r="L12309" s="2"/>
    </row>
    <row r="12310" spans="1:12" x14ac:dyDescent="0.2">
      <c r="A12310"/>
      <c r="B12310"/>
      <c r="C12310"/>
      <c r="D12310"/>
      <c r="E12310"/>
      <c r="F12310"/>
      <c r="G12310"/>
      <c r="H12310"/>
      <c r="I12310"/>
      <c r="J12310"/>
      <c r="K12310" s="1"/>
      <c r="L12310" s="2"/>
    </row>
    <row r="12311" spans="1:12" x14ac:dyDescent="0.2">
      <c r="A12311"/>
      <c r="B12311"/>
      <c r="C12311"/>
      <c r="D12311"/>
      <c r="E12311"/>
      <c r="F12311"/>
      <c r="G12311"/>
      <c r="H12311"/>
      <c r="I12311"/>
      <c r="J12311"/>
      <c r="K12311" s="1"/>
      <c r="L12311" s="2"/>
    </row>
    <row r="12312" spans="1:12" x14ac:dyDescent="0.2">
      <c r="A12312"/>
      <c r="B12312"/>
      <c r="C12312"/>
      <c r="D12312"/>
      <c r="E12312"/>
      <c r="F12312"/>
      <c r="G12312"/>
      <c r="H12312"/>
      <c r="I12312"/>
      <c r="J12312"/>
      <c r="K12312" s="1"/>
      <c r="L12312" s="2"/>
    </row>
    <row r="12313" spans="1:12" x14ac:dyDescent="0.2">
      <c r="A12313"/>
      <c r="B12313"/>
      <c r="C12313"/>
      <c r="D12313"/>
      <c r="E12313"/>
      <c r="F12313"/>
      <c r="G12313"/>
      <c r="H12313"/>
      <c r="I12313"/>
      <c r="J12313"/>
      <c r="K12313" s="1"/>
      <c r="L12313" s="2"/>
    </row>
    <row r="12314" spans="1:12" x14ac:dyDescent="0.2">
      <c r="A12314"/>
      <c r="B12314"/>
      <c r="C12314"/>
      <c r="D12314"/>
      <c r="E12314"/>
      <c r="F12314"/>
      <c r="G12314"/>
      <c r="H12314"/>
      <c r="I12314"/>
      <c r="J12314"/>
      <c r="K12314" s="1"/>
      <c r="L12314" s="2"/>
    </row>
    <row r="12315" spans="1:12" x14ac:dyDescent="0.2">
      <c r="A12315"/>
      <c r="B12315"/>
      <c r="C12315"/>
      <c r="D12315"/>
      <c r="E12315"/>
      <c r="F12315"/>
      <c r="G12315"/>
      <c r="H12315"/>
      <c r="I12315"/>
      <c r="J12315"/>
      <c r="K12315" s="1"/>
      <c r="L12315" s="2"/>
    </row>
    <row r="12316" spans="1:12" x14ac:dyDescent="0.2">
      <c r="A12316"/>
      <c r="B12316"/>
      <c r="C12316"/>
      <c r="D12316"/>
      <c r="E12316"/>
      <c r="F12316"/>
      <c r="G12316"/>
      <c r="H12316"/>
      <c r="I12316"/>
      <c r="J12316"/>
      <c r="K12316" s="1"/>
      <c r="L12316" s="2"/>
    </row>
    <row r="12317" spans="1:12" x14ac:dyDescent="0.2">
      <c r="A12317"/>
      <c r="B12317"/>
      <c r="C12317"/>
      <c r="D12317"/>
      <c r="E12317"/>
      <c r="F12317"/>
      <c r="G12317"/>
      <c r="H12317"/>
      <c r="I12317"/>
      <c r="J12317"/>
      <c r="K12317" s="1"/>
      <c r="L12317" s="2"/>
    </row>
    <row r="12318" spans="1:12" x14ac:dyDescent="0.2">
      <c r="A12318"/>
      <c r="B12318"/>
      <c r="C12318"/>
      <c r="D12318"/>
      <c r="E12318"/>
      <c r="F12318"/>
      <c r="G12318"/>
      <c r="H12318"/>
      <c r="I12318"/>
      <c r="J12318"/>
      <c r="K12318" s="1"/>
      <c r="L12318" s="2"/>
    </row>
    <row r="12319" spans="1:12" x14ac:dyDescent="0.2">
      <c r="A12319"/>
      <c r="B12319"/>
      <c r="C12319"/>
      <c r="D12319"/>
      <c r="E12319"/>
      <c r="F12319"/>
      <c r="G12319"/>
      <c r="H12319"/>
      <c r="I12319"/>
      <c r="J12319"/>
      <c r="K12319" s="1"/>
      <c r="L12319" s="2"/>
    </row>
    <row r="12320" spans="1:12" x14ac:dyDescent="0.2">
      <c r="A12320"/>
      <c r="B12320"/>
      <c r="C12320"/>
      <c r="D12320"/>
      <c r="E12320"/>
      <c r="F12320"/>
      <c r="G12320"/>
      <c r="H12320"/>
      <c r="I12320"/>
      <c r="J12320"/>
      <c r="K12320" s="1"/>
      <c r="L12320" s="2"/>
    </row>
    <row r="12321" spans="1:12" x14ac:dyDescent="0.2">
      <c r="A12321"/>
      <c r="B12321"/>
      <c r="C12321"/>
      <c r="D12321"/>
      <c r="E12321"/>
      <c r="F12321"/>
      <c r="G12321"/>
      <c r="H12321"/>
      <c r="I12321"/>
      <c r="J12321"/>
      <c r="K12321" s="1"/>
      <c r="L12321" s="2"/>
    </row>
    <row r="12322" spans="1:12" x14ac:dyDescent="0.2">
      <c r="A12322"/>
      <c r="B12322"/>
      <c r="C12322"/>
      <c r="D12322"/>
      <c r="E12322"/>
      <c r="F12322"/>
      <c r="G12322"/>
      <c r="H12322"/>
      <c r="I12322"/>
      <c r="J12322"/>
      <c r="K12322" s="1"/>
      <c r="L12322" s="2"/>
    </row>
    <row r="12323" spans="1:12" x14ac:dyDescent="0.2">
      <c r="A12323"/>
      <c r="B12323"/>
      <c r="C12323"/>
      <c r="D12323"/>
      <c r="E12323"/>
      <c r="F12323"/>
      <c r="G12323"/>
      <c r="H12323"/>
      <c r="I12323"/>
      <c r="J12323"/>
      <c r="K12323" s="1"/>
      <c r="L12323" s="2"/>
    </row>
    <row r="12324" spans="1:12" x14ac:dyDescent="0.2">
      <c r="A12324"/>
      <c r="B12324"/>
      <c r="C12324"/>
      <c r="D12324"/>
      <c r="E12324"/>
      <c r="F12324"/>
      <c r="G12324"/>
      <c r="H12324"/>
      <c r="I12324"/>
      <c r="J12324"/>
      <c r="K12324" s="1"/>
      <c r="L12324" s="2"/>
    </row>
    <row r="12325" spans="1:12" x14ac:dyDescent="0.2">
      <c r="A12325"/>
      <c r="B12325"/>
      <c r="C12325"/>
      <c r="D12325"/>
      <c r="E12325"/>
      <c r="F12325"/>
      <c r="G12325"/>
      <c r="H12325"/>
      <c r="I12325"/>
      <c r="J12325"/>
      <c r="K12325" s="1"/>
      <c r="L12325" s="2"/>
    </row>
    <row r="12326" spans="1:12" x14ac:dyDescent="0.2">
      <c r="A12326"/>
      <c r="B12326"/>
      <c r="C12326"/>
      <c r="D12326"/>
      <c r="E12326"/>
      <c r="F12326"/>
      <c r="G12326"/>
      <c r="H12326"/>
      <c r="I12326"/>
      <c r="J12326"/>
      <c r="K12326" s="1"/>
      <c r="L12326" s="2"/>
    </row>
    <row r="12327" spans="1:12" x14ac:dyDescent="0.2">
      <c r="A12327"/>
      <c r="B12327"/>
      <c r="C12327"/>
      <c r="D12327"/>
      <c r="E12327"/>
      <c r="F12327"/>
      <c r="G12327"/>
      <c r="H12327"/>
      <c r="I12327"/>
      <c r="J12327"/>
      <c r="K12327" s="1"/>
      <c r="L12327" s="2"/>
    </row>
    <row r="12328" spans="1:12" x14ac:dyDescent="0.2">
      <c r="A12328"/>
      <c r="B12328"/>
      <c r="C12328"/>
      <c r="D12328"/>
      <c r="E12328"/>
      <c r="F12328"/>
      <c r="G12328"/>
      <c r="H12328"/>
      <c r="I12328"/>
      <c r="J12328"/>
      <c r="K12328" s="1"/>
      <c r="L12328" s="2"/>
    </row>
    <row r="12329" spans="1:12" x14ac:dyDescent="0.2">
      <c r="A12329"/>
      <c r="B12329"/>
      <c r="C12329"/>
      <c r="D12329"/>
      <c r="E12329"/>
      <c r="F12329"/>
      <c r="G12329"/>
      <c r="H12329"/>
      <c r="I12329"/>
      <c r="J12329"/>
      <c r="K12329" s="1"/>
      <c r="L12329" s="2"/>
    </row>
    <row r="12330" spans="1:12" x14ac:dyDescent="0.2">
      <c r="A12330"/>
      <c r="B12330"/>
      <c r="C12330"/>
      <c r="D12330"/>
      <c r="E12330"/>
      <c r="F12330"/>
      <c r="G12330"/>
      <c r="H12330"/>
      <c r="I12330"/>
      <c r="J12330"/>
      <c r="K12330" s="1"/>
      <c r="L12330" s="2"/>
    </row>
    <row r="12331" spans="1:12" x14ac:dyDescent="0.2">
      <c r="A12331"/>
      <c r="B12331"/>
      <c r="C12331"/>
      <c r="D12331"/>
      <c r="E12331"/>
      <c r="F12331"/>
      <c r="G12331"/>
      <c r="H12331"/>
      <c r="I12331"/>
      <c r="J12331"/>
      <c r="K12331" s="1"/>
      <c r="L12331" s="2"/>
    </row>
    <row r="12332" spans="1:12" x14ac:dyDescent="0.2">
      <c r="A12332"/>
      <c r="B12332"/>
      <c r="C12332"/>
      <c r="D12332"/>
      <c r="E12332"/>
      <c r="F12332"/>
      <c r="G12332"/>
      <c r="H12332"/>
      <c r="I12332"/>
      <c r="J12332"/>
      <c r="K12332" s="1"/>
      <c r="L12332" s="2"/>
    </row>
    <row r="12333" spans="1:12" x14ac:dyDescent="0.2">
      <c r="A12333"/>
      <c r="B12333"/>
      <c r="C12333"/>
      <c r="D12333"/>
      <c r="E12333"/>
      <c r="F12333"/>
      <c r="G12333"/>
      <c r="H12333"/>
      <c r="I12333"/>
      <c r="J12333"/>
      <c r="K12333" s="1"/>
      <c r="L12333" s="2"/>
    </row>
    <row r="12334" spans="1:12" x14ac:dyDescent="0.2">
      <c r="A12334"/>
      <c r="B12334"/>
      <c r="C12334"/>
      <c r="D12334"/>
      <c r="E12334"/>
      <c r="F12334"/>
      <c r="G12334"/>
      <c r="H12334"/>
      <c r="I12334"/>
      <c r="J12334"/>
      <c r="K12334" s="1"/>
      <c r="L12334" s="2"/>
    </row>
    <row r="12335" spans="1:12" x14ac:dyDescent="0.2">
      <c r="A12335"/>
      <c r="B12335"/>
      <c r="C12335"/>
      <c r="D12335"/>
      <c r="E12335"/>
      <c r="F12335"/>
      <c r="G12335"/>
      <c r="H12335"/>
      <c r="I12335"/>
      <c r="J12335"/>
      <c r="K12335" s="1"/>
      <c r="L12335" s="2"/>
    </row>
    <row r="12336" spans="1:12" x14ac:dyDescent="0.2">
      <c r="A12336"/>
      <c r="B12336"/>
      <c r="C12336"/>
      <c r="D12336"/>
      <c r="E12336"/>
      <c r="F12336"/>
      <c r="G12336"/>
      <c r="H12336"/>
      <c r="I12336"/>
      <c r="J12336"/>
      <c r="K12336" s="1"/>
      <c r="L12336" s="2"/>
    </row>
    <row r="12337" spans="1:12" x14ac:dyDescent="0.2">
      <c r="A12337"/>
      <c r="B12337"/>
      <c r="C12337"/>
      <c r="D12337"/>
      <c r="E12337"/>
      <c r="F12337"/>
      <c r="G12337"/>
      <c r="H12337"/>
      <c r="I12337"/>
      <c r="J12337"/>
      <c r="K12337" s="1"/>
      <c r="L12337" s="2"/>
    </row>
    <row r="12338" spans="1:12" x14ac:dyDescent="0.2">
      <c r="A12338"/>
      <c r="B12338"/>
      <c r="C12338"/>
      <c r="D12338"/>
      <c r="E12338"/>
      <c r="F12338"/>
      <c r="G12338"/>
      <c r="H12338"/>
      <c r="I12338"/>
      <c r="J12338"/>
      <c r="K12338" s="1"/>
      <c r="L12338" s="2"/>
    </row>
    <row r="12339" spans="1:12" x14ac:dyDescent="0.2">
      <c r="A12339"/>
      <c r="B12339"/>
      <c r="C12339"/>
      <c r="D12339"/>
      <c r="E12339"/>
      <c r="F12339"/>
      <c r="G12339"/>
      <c r="H12339"/>
      <c r="I12339"/>
      <c r="J12339"/>
      <c r="K12339" s="1"/>
      <c r="L12339" s="2"/>
    </row>
    <row r="12340" spans="1:12" x14ac:dyDescent="0.2">
      <c r="A12340"/>
      <c r="B12340"/>
      <c r="C12340"/>
      <c r="D12340"/>
      <c r="E12340"/>
      <c r="F12340"/>
      <c r="G12340"/>
      <c r="H12340"/>
      <c r="I12340"/>
      <c r="J12340"/>
      <c r="K12340" s="1"/>
      <c r="L12340" s="2"/>
    </row>
    <row r="12341" spans="1:12" x14ac:dyDescent="0.2">
      <c r="A12341"/>
      <c r="B12341"/>
      <c r="C12341"/>
      <c r="D12341"/>
      <c r="E12341"/>
      <c r="F12341"/>
      <c r="G12341"/>
      <c r="H12341"/>
      <c r="I12341"/>
      <c r="J12341"/>
      <c r="K12341" s="1"/>
      <c r="L12341" s="2"/>
    </row>
    <row r="12342" spans="1:12" x14ac:dyDescent="0.2">
      <c r="A12342"/>
      <c r="B12342"/>
      <c r="C12342"/>
      <c r="D12342"/>
      <c r="E12342"/>
      <c r="F12342"/>
      <c r="G12342"/>
      <c r="H12342"/>
      <c r="I12342"/>
      <c r="J12342"/>
      <c r="K12342" s="1"/>
      <c r="L12342" s="2"/>
    </row>
    <row r="12343" spans="1:12" x14ac:dyDescent="0.2">
      <c r="A12343"/>
      <c r="B12343"/>
      <c r="C12343"/>
      <c r="D12343"/>
      <c r="E12343"/>
      <c r="F12343"/>
      <c r="G12343"/>
      <c r="H12343"/>
      <c r="I12343"/>
      <c r="J12343"/>
      <c r="K12343" s="1"/>
      <c r="L12343" s="2"/>
    </row>
    <row r="12344" spans="1:12" x14ac:dyDescent="0.2">
      <c r="A12344"/>
      <c r="B12344"/>
      <c r="C12344"/>
      <c r="D12344"/>
      <c r="E12344"/>
      <c r="F12344"/>
      <c r="G12344"/>
      <c r="H12344"/>
      <c r="I12344"/>
      <c r="J12344"/>
      <c r="K12344" s="1"/>
      <c r="L12344" s="2"/>
    </row>
    <row r="12345" spans="1:12" x14ac:dyDescent="0.2">
      <c r="A12345"/>
      <c r="B12345"/>
      <c r="C12345"/>
      <c r="D12345"/>
      <c r="E12345"/>
      <c r="F12345"/>
      <c r="G12345"/>
      <c r="H12345"/>
      <c r="I12345"/>
      <c r="J12345"/>
      <c r="K12345" s="1"/>
      <c r="L12345" s="2"/>
    </row>
    <row r="12346" spans="1:12" x14ac:dyDescent="0.2">
      <c r="A12346"/>
      <c r="B12346"/>
      <c r="C12346"/>
      <c r="D12346"/>
      <c r="E12346"/>
      <c r="F12346"/>
      <c r="G12346"/>
      <c r="H12346"/>
      <c r="I12346"/>
      <c r="J12346"/>
      <c r="K12346" s="1"/>
      <c r="L12346" s="2"/>
    </row>
    <row r="12347" spans="1:12" x14ac:dyDescent="0.2">
      <c r="A12347"/>
      <c r="B12347"/>
      <c r="C12347"/>
      <c r="D12347"/>
      <c r="E12347"/>
      <c r="F12347"/>
      <c r="G12347"/>
      <c r="H12347"/>
      <c r="I12347"/>
      <c r="J12347"/>
      <c r="K12347" s="1"/>
      <c r="L12347" s="2"/>
    </row>
    <row r="12348" spans="1:12" x14ac:dyDescent="0.2">
      <c r="A12348"/>
      <c r="B12348"/>
      <c r="C12348"/>
      <c r="D12348"/>
      <c r="E12348"/>
      <c r="F12348"/>
      <c r="G12348"/>
      <c r="H12348"/>
      <c r="I12348"/>
      <c r="J12348"/>
      <c r="K12348" s="1"/>
      <c r="L12348" s="2"/>
    </row>
    <row r="12349" spans="1:12" x14ac:dyDescent="0.2">
      <c r="A12349"/>
      <c r="B12349"/>
      <c r="C12349"/>
      <c r="D12349"/>
      <c r="E12349"/>
      <c r="F12349"/>
      <c r="G12349"/>
      <c r="H12349"/>
      <c r="I12349"/>
      <c r="J12349"/>
      <c r="K12349" s="1"/>
      <c r="L12349" s="2"/>
    </row>
    <row r="12350" spans="1:12" x14ac:dyDescent="0.2">
      <c r="A12350"/>
      <c r="B12350"/>
      <c r="C12350"/>
      <c r="D12350"/>
      <c r="E12350"/>
      <c r="F12350"/>
      <c r="G12350"/>
      <c r="H12350"/>
      <c r="I12350"/>
      <c r="J12350"/>
      <c r="K12350" s="1"/>
      <c r="L12350" s="2"/>
    </row>
    <row r="12351" spans="1:12" x14ac:dyDescent="0.2">
      <c r="A12351"/>
      <c r="B12351"/>
      <c r="C12351"/>
      <c r="D12351"/>
      <c r="E12351"/>
      <c r="F12351"/>
      <c r="G12351"/>
      <c r="H12351"/>
      <c r="I12351"/>
      <c r="J12351"/>
      <c r="K12351" s="1"/>
      <c r="L12351" s="2"/>
    </row>
    <row r="12352" spans="1:12" x14ac:dyDescent="0.2">
      <c r="A12352"/>
      <c r="B12352"/>
      <c r="C12352"/>
      <c r="D12352"/>
      <c r="E12352"/>
      <c r="F12352"/>
      <c r="G12352"/>
      <c r="H12352"/>
      <c r="I12352"/>
      <c r="J12352"/>
      <c r="K12352" s="1"/>
      <c r="L12352" s="2"/>
    </row>
    <row r="12353" spans="1:12" x14ac:dyDescent="0.2">
      <c r="A12353"/>
      <c r="B12353"/>
      <c r="C12353"/>
      <c r="D12353"/>
      <c r="E12353"/>
      <c r="F12353"/>
      <c r="G12353"/>
      <c r="H12353"/>
      <c r="I12353"/>
      <c r="J12353"/>
      <c r="K12353" s="1"/>
      <c r="L12353" s="2"/>
    </row>
    <row r="12354" spans="1:12" x14ac:dyDescent="0.2">
      <c r="A12354"/>
      <c r="B12354"/>
      <c r="C12354"/>
      <c r="D12354"/>
      <c r="E12354"/>
      <c r="F12354"/>
      <c r="G12354"/>
      <c r="H12354"/>
      <c r="I12354"/>
      <c r="J12354"/>
      <c r="K12354" s="1"/>
      <c r="L12354" s="2"/>
    </row>
    <row r="12355" spans="1:12" x14ac:dyDescent="0.2">
      <c r="A12355"/>
      <c r="B12355"/>
      <c r="C12355"/>
      <c r="D12355"/>
      <c r="E12355"/>
      <c r="F12355"/>
      <c r="G12355"/>
      <c r="H12355"/>
      <c r="I12355"/>
      <c r="J12355"/>
      <c r="K12355" s="1"/>
      <c r="L12355" s="2"/>
    </row>
    <row r="12356" spans="1:12" x14ac:dyDescent="0.2">
      <c r="A12356"/>
      <c r="B12356"/>
      <c r="C12356"/>
      <c r="D12356"/>
      <c r="E12356"/>
      <c r="F12356"/>
      <c r="G12356"/>
      <c r="H12356"/>
      <c r="I12356"/>
      <c r="J12356"/>
      <c r="K12356" s="1"/>
      <c r="L12356" s="2"/>
    </row>
    <row r="12357" spans="1:12" x14ac:dyDescent="0.2">
      <c r="A12357"/>
      <c r="B12357"/>
      <c r="C12357"/>
      <c r="D12357"/>
      <c r="E12357"/>
      <c r="F12357"/>
      <c r="G12357"/>
      <c r="H12357"/>
      <c r="I12357"/>
      <c r="J12357"/>
      <c r="K12357" s="1"/>
      <c r="L12357" s="2"/>
    </row>
    <row r="12358" spans="1:12" x14ac:dyDescent="0.2">
      <c r="A12358"/>
      <c r="B12358"/>
      <c r="C12358"/>
      <c r="D12358"/>
      <c r="E12358"/>
      <c r="F12358"/>
      <c r="G12358"/>
      <c r="H12358"/>
      <c r="I12358"/>
      <c r="J12358"/>
      <c r="K12358" s="1"/>
      <c r="L12358" s="2"/>
    </row>
    <row r="12359" spans="1:12" x14ac:dyDescent="0.2">
      <c r="A12359"/>
      <c r="B12359"/>
      <c r="C12359"/>
      <c r="D12359"/>
      <c r="E12359"/>
      <c r="F12359"/>
      <c r="G12359"/>
      <c r="H12359"/>
      <c r="I12359"/>
      <c r="J12359"/>
      <c r="K12359" s="1"/>
      <c r="L12359" s="2"/>
    </row>
    <row r="12360" spans="1:12" x14ac:dyDescent="0.2">
      <c r="A12360"/>
      <c r="B12360"/>
      <c r="C12360"/>
      <c r="D12360"/>
      <c r="E12360"/>
      <c r="F12360"/>
      <c r="G12360"/>
      <c r="H12360"/>
      <c r="I12360"/>
      <c r="J12360"/>
      <c r="K12360" s="1"/>
      <c r="L12360" s="2"/>
    </row>
    <row r="12361" spans="1:12" x14ac:dyDescent="0.2">
      <c r="A12361"/>
      <c r="B12361"/>
      <c r="C12361"/>
      <c r="D12361"/>
      <c r="E12361"/>
      <c r="F12361"/>
      <c r="G12361"/>
      <c r="H12361"/>
      <c r="I12361"/>
      <c r="J12361"/>
      <c r="K12361" s="1"/>
      <c r="L12361" s="2"/>
    </row>
    <row r="12362" spans="1:12" x14ac:dyDescent="0.2">
      <c r="A12362"/>
      <c r="B12362"/>
      <c r="C12362"/>
      <c r="D12362"/>
      <c r="E12362"/>
      <c r="F12362"/>
      <c r="G12362"/>
      <c r="H12362"/>
      <c r="I12362"/>
      <c r="J12362"/>
      <c r="K12362" s="1"/>
      <c r="L12362" s="2"/>
    </row>
    <row r="12363" spans="1:12" x14ac:dyDescent="0.2">
      <c r="A12363"/>
      <c r="B12363"/>
      <c r="C12363"/>
      <c r="D12363"/>
      <c r="E12363"/>
      <c r="F12363"/>
      <c r="G12363"/>
      <c r="H12363"/>
      <c r="I12363"/>
      <c r="J12363"/>
      <c r="K12363" s="1"/>
      <c r="L12363" s="2"/>
    </row>
    <row r="12364" spans="1:12" x14ac:dyDescent="0.2">
      <c r="A12364"/>
      <c r="B12364"/>
      <c r="C12364"/>
      <c r="D12364"/>
      <c r="E12364"/>
      <c r="F12364"/>
      <c r="G12364"/>
      <c r="H12364"/>
      <c r="I12364"/>
      <c r="J12364"/>
      <c r="K12364" s="1"/>
      <c r="L12364" s="2"/>
    </row>
    <row r="12365" spans="1:12" x14ac:dyDescent="0.2">
      <c r="A12365"/>
      <c r="B12365"/>
      <c r="C12365"/>
      <c r="D12365"/>
      <c r="E12365"/>
      <c r="F12365"/>
      <c r="G12365"/>
      <c r="H12365"/>
      <c r="I12365"/>
      <c r="J12365"/>
      <c r="K12365" s="1"/>
      <c r="L12365" s="2"/>
    </row>
    <row r="12366" spans="1:12" x14ac:dyDescent="0.2">
      <c r="A12366"/>
      <c r="B12366"/>
      <c r="C12366"/>
      <c r="D12366"/>
      <c r="E12366"/>
      <c r="F12366"/>
      <c r="G12366"/>
      <c r="H12366"/>
      <c r="I12366"/>
      <c r="J12366"/>
      <c r="K12366" s="1"/>
      <c r="L12366" s="2"/>
    </row>
    <row r="12367" spans="1:12" x14ac:dyDescent="0.2">
      <c r="A12367"/>
      <c r="B12367"/>
      <c r="C12367"/>
      <c r="D12367"/>
      <c r="E12367"/>
      <c r="F12367"/>
      <c r="G12367"/>
      <c r="H12367"/>
      <c r="I12367"/>
      <c r="J12367"/>
      <c r="K12367" s="1"/>
      <c r="L12367" s="2"/>
    </row>
    <row r="12368" spans="1:12" x14ac:dyDescent="0.2">
      <c r="A12368"/>
      <c r="B12368"/>
      <c r="C12368"/>
      <c r="D12368"/>
      <c r="E12368"/>
      <c r="F12368"/>
      <c r="G12368"/>
      <c r="H12368"/>
      <c r="I12368"/>
      <c r="J12368"/>
      <c r="K12368" s="1"/>
      <c r="L12368" s="2"/>
    </row>
    <row r="12369" spans="1:12" x14ac:dyDescent="0.2">
      <c r="A12369"/>
      <c r="B12369"/>
      <c r="C12369"/>
      <c r="D12369"/>
      <c r="E12369"/>
      <c r="F12369"/>
      <c r="G12369"/>
      <c r="H12369"/>
      <c r="I12369"/>
      <c r="J12369"/>
      <c r="K12369" s="1"/>
      <c r="L12369" s="2"/>
    </row>
    <row r="12370" spans="1:12" x14ac:dyDescent="0.2">
      <c r="A12370"/>
      <c r="B12370"/>
      <c r="C12370"/>
      <c r="D12370"/>
      <c r="E12370"/>
      <c r="F12370"/>
      <c r="G12370"/>
      <c r="H12370"/>
      <c r="I12370"/>
      <c r="J12370"/>
      <c r="K12370" s="1"/>
      <c r="L12370" s="2"/>
    </row>
    <row r="12371" spans="1:12" x14ac:dyDescent="0.2">
      <c r="A12371"/>
      <c r="B12371"/>
      <c r="C12371"/>
      <c r="D12371"/>
      <c r="E12371"/>
      <c r="F12371"/>
      <c r="G12371"/>
      <c r="H12371"/>
      <c r="I12371"/>
      <c r="J12371"/>
      <c r="K12371" s="1"/>
      <c r="L12371" s="2"/>
    </row>
    <row r="12372" spans="1:12" x14ac:dyDescent="0.2">
      <c r="A12372"/>
      <c r="B12372"/>
      <c r="C12372"/>
      <c r="D12372"/>
      <c r="E12372"/>
      <c r="F12372"/>
      <c r="G12372"/>
      <c r="H12372"/>
      <c r="I12372"/>
      <c r="J12372"/>
      <c r="K12372" s="1"/>
      <c r="L12372" s="2"/>
    </row>
    <row r="12373" spans="1:12" x14ac:dyDescent="0.2">
      <c r="A12373"/>
      <c r="B12373"/>
      <c r="C12373"/>
      <c r="D12373"/>
      <c r="E12373"/>
      <c r="F12373"/>
      <c r="G12373"/>
      <c r="H12373"/>
      <c r="I12373"/>
      <c r="J12373"/>
      <c r="K12373" s="1"/>
      <c r="L12373" s="2"/>
    </row>
    <row r="12374" spans="1:12" x14ac:dyDescent="0.2">
      <c r="A12374"/>
      <c r="B12374"/>
      <c r="C12374"/>
      <c r="D12374"/>
      <c r="E12374"/>
      <c r="F12374"/>
      <c r="G12374"/>
      <c r="H12374"/>
      <c r="I12374"/>
      <c r="J12374"/>
      <c r="K12374" s="1"/>
      <c r="L12374" s="2"/>
    </row>
    <row r="12375" spans="1:12" x14ac:dyDescent="0.2">
      <c r="A12375"/>
      <c r="B12375"/>
      <c r="C12375"/>
      <c r="D12375"/>
      <c r="E12375"/>
      <c r="F12375"/>
      <c r="G12375"/>
      <c r="H12375"/>
      <c r="I12375"/>
      <c r="J12375"/>
      <c r="K12375" s="1"/>
      <c r="L12375" s="2"/>
    </row>
    <row r="12376" spans="1:12" x14ac:dyDescent="0.2">
      <c r="A12376"/>
      <c r="B12376"/>
      <c r="C12376"/>
      <c r="D12376"/>
      <c r="E12376"/>
      <c r="F12376"/>
      <c r="G12376"/>
      <c r="H12376"/>
      <c r="I12376"/>
      <c r="J12376"/>
      <c r="K12376" s="1"/>
      <c r="L12376" s="2"/>
    </row>
    <row r="12377" spans="1:12" x14ac:dyDescent="0.2">
      <c r="A12377"/>
      <c r="B12377"/>
      <c r="C12377"/>
      <c r="D12377"/>
      <c r="E12377"/>
      <c r="F12377"/>
      <c r="G12377"/>
      <c r="H12377"/>
      <c r="I12377"/>
      <c r="J12377"/>
      <c r="K12377" s="1"/>
      <c r="L12377" s="2"/>
    </row>
    <row r="12378" spans="1:12" x14ac:dyDescent="0.2">
      <c r="A12378"/>
      <c r="B12378"/>
      <c r="C12378"/>
      <c r="D12378"/>
      <c r="E12378"/>
      <c r="F12378"/>
      <c r="G12378"/>
      <c r="H12378"/>
      <c r="I12378"/>
      <c r="J12378"/>
      <c r="K12378" s="1"/>
      <c r="L12378" s="2"/>
    </row>
    <row r="12379" spans="1:12" x14ac:dyDescent="0.2">
      <c r="A12379"/>
      <c r="B12379"/>
      <c r="C12379"/>
      <c r="D12379"/>
      <c r="E12379"/>
      <c r="F12379"/>
      <c r="G12379"/>
      <c r="H12379"/>
      <c r="I12379"/>
      <c r="J12379"/>
      <c r="K12379" s="1"/>
      <c r="L12379" s="2"/>
    </row>
    <row r="12380" spans="1:12" x14ac:dyDescent="0.2">
      <c r="A12380"/>
      <c r="B12380"/>
      <c r="C12380"/>
      <c r="D12380"/>
      <c r="E12380"/>
      <c r="F12380"/>
      <c r="G12380"/>
      <c r="H12380"/>
      <c r="I12380"/>
      <c r="J12380"/>
      <c r="K12380" s="1"/>
      <c r="L12380" s="2"/>
    </row>
    <row r="12381" spans="1:12" x14ac:dyDescent="0.2">
      <c r="A12381"/>
      <c r="B12381"/>
      <c r="C12381"/>
      <c r="D12381"/>
      <c r="E12381"/>
      <c r="F12381"/>
      <c r="G12381"/>
      <c r="H12381"/>
      <c r="I12381"/>
      <c r="J12381"/>
      <c r="K12381" s="1"/>
      <c r="L12381" s="2"/>
    </row>
    <row r="12382" spans="1:12" x14ac:dyDescent="0.2">
      <c r="A12382"/>
      <c r="B12382"/>
      <c r="C12382"/>
      <c r="D12382"/>
      <c r="E12382"/>
      <c r="F12382"/>
      <c r="G12382"/>
      <c r="H12382"/>
      <c r="I12382"/>
      <c r="J12382"/>
      <c r="K12382" s="1"/>
      <c r="L12382" s="2"/>
    </row>
    <row r="12383" spans="1:12" x14ac:dyDescent="0.2">
      <c r="A12383"/>
      <c r="B12383"/>
      <c r="C12383"/>
      <c r="D12383"/>
      <c r="E12383"/>
      <c r="F12383"/>
      <c r="G12383"/>
      <c r="H12383"/>
      <c r="I12383"/>
      <c r="J12383"/>
      <c r="K12383" s="1"/>
      <c r="L12383" s="2"/>
    </row>
    <row r="12384" spans="1:12" x14ac:dyDescent="0.2">
      <c r="A12384"/>
      <c r="B12384"/>
      <c r="C12384"/>
      <c r="D12384"/>
      <c r="E12384"/>
      <c r="F12384"/>
      <c r="G12384"/>
      <c r="H12384"/>
      <c r="I12384"/>
      <c r="J12384"/>
      <c r="K12384" s="1"/>
      <c r="L12384" s="2"/>
    </row>
    <row r="12385" spans="1:12" x14ac:dyDescent="0.2">
      <c r="A12385"/>
      <c r="B12385"/>
      <c r="C12385"/>
      <c r="D12385"/>
      <c r="E12385"/>
      <c r="F12385"/>
      <c r="G12385"/>
      <c r="H12385"/>
      <c r="I12385"/>
      <c r="J12385"/>
      <c r="K12385" s="1"/>
      <c r="L12385" s="2"/>
    </row>
    <row r="12386" spans="1:12" x14ac:dyDescent="0.2">
      <c r="A12386"/>
      <c r="B12386"/>
      <c r="C12386"/>
      <c r="D12386"/>
      <c r="E12386"/>
      <c r="F12386"/>
      <c r="G12386"/>
      <c r="H12386"/>
      <c r="I12386"/>
      <c r="J12386"/>
      <c r="K12386" s="1"/>
      <c r="L12386" s="2"/>
    </row>
    <row r="12387" spans="1:12" x14ac:dyDescent="0.2">
      <c r="A12387"/>
      <c r="B12387"/>
      <c r="C12387"/>
      <c r="D12387"/>
      <c r="E12387"/>
      <c r="F12387"/>
      <c r="G12387"/>
      <c r="H12387"/>
      <c r="I12387"/>
      <c r="J12387"/>
      <c r="K12387" s="1"/>
      <c r="L12387" s="2"/>
    </row>
    <row r="12388" spans="1:12" x14ac:dyDescent="0.2">
      <c r="A12388"/>
      <c r="B12388"/>
      <c r="C12388"/>
      <c r="D12388"/>
      <c r="E12388"/>
      <c r="F12388"/>
      <c r="G12388"/>
      <c r="H12388"/>
      <c r="I12388"/>
      <c r="J12388"/>
      <c r="K12388" s="1"/>
      <c r="L12388" s="2"/>
    </row>
    <row r="12389" spans="1:12" x14ac:dyDescent="0.2">
      <c r="A12389"/>
      <c r="B12389"/>
      <c r="C12389"/>
      <c r="D12389"/>
      <c r="E12389"/>
      <c r="F12389"/>
      <c r="G12389"/>
      <c r="H12389"/>
      <c r="I12389"/>
      <c r="J12389"/>
      <c r="K12389" s="1"/>
      <c r="L12389" s="2"/>
    </row>
    <row r="12390" spans="1:12" x14ac:dyDescent="0.2">
      <c r="A12390"/>
      <c r="B12390"/>
      <c r="C12390"/>
      <c r="D12390"/>
      <c r="E12390"/>
      <c r="F12390"/>
      <c r="G12390"/>
      <c r="H12390"/>
      <c r="I12390"/>
      <c r="J12390"/>
      <c r="K12390" s="1"/>
      <c r="L12390" s="2"/>
    </row>
    <row r="12391" spans="1:12" x14ac:dyDescent="0.2">
      <c r="A12391"/>
      <c r="B12391"/>
      <c r="C12391"/>
      <c r="D12391"/>
      <c r="E12391"/>
      <c r="F12391"/>
      <c r="G12391"/>
      <c r="H12391"/>
      <c r="I12391"/>
      <c r="J12391"/>
      <c r="K12391" s="1"/>
      <c r="L12391" s="2"/>
    </row>
    <row r="12392" spans="1:12" x14ac:dyDescent="0.2">
      <c r="A12392"/>
      <c r="B12392"/>
      <c r="C12392"/>
      <c r="D12392"/>
      <c r="E12392"/>
      <c r="F12392"/>
      <c r="G12392"/>
      <c r="H12392"/>
      <c r="I12392"/>
      <c r="J12392"/>
      <c r="K12392" s="1"/>
      <c r="L12392" s="2"/>
    </row>
    <row r="12393" spans="1:12" x14ac:dyDescent="0.2">
      <c r="A12393"/>
      <c r="B12393"/>
      <c r="C12393"/>
      <c r="D12393"/>
      <c r="E12393"/>
      <c r="F12393"/>
      <c r="G12393"/>
      <c r="H12393"/>
      <c r="I12393"/>
      <c r="J12393"/>
      <c r="K12393" s="1"/>
      <c r="L12393" s="2"/>
    </row>
    <row r="12394" spans="1:12" x14ac:dyDescent="0.2">
      <c r="A12394"/>
      <c r="B12394"/>
      <c r="C12394"/>
      <c r="D12394"/>
      <c r="E12394"/>
      <c r="F12394"/>
      <c r="G12394"/>
      <c r="H12394"/>
      <c r="I12394"/>
      <c r="J12394"/>
      <c r="K12394" s="1"/>
      <c r="L12394" s="2"/>
    </row>
    <row r="12395" spans="1:12" x14ac:dyDescent="0.2">
      <c r="A12395"/>
      <c r="B12395"/>
      <c r="C12395"/>
      <c r="D12395"/>
      <c r="E12395"/>
      <c r="F12395"/>
      <c r="G12395"/>
      <c r="H12395"/>
      <c r="I12395"/>
      <c r="J12395"/>
      <c r="K12395" s="1"/>
      <c r="L12395" s="2"/>
    </row>
    <row r="12396" spans="1:12" x14ac:dyDescent="0.2">
      <c r="A12396"/>
      <c r="B12396"/>
      <c r="C12396"/>
      <c r="D12396"/>
      <c r="E12396"/>
      <c r="F12396"/>
      <c r="G12396"/>
      <c r="H12396"/>
      <c r="I12396"/>
      <c r="J12396"/>
      <c r="K12396" s="1"/>
      <c r="L12396" s="2"/>
    </row>
    <row r="12397" spans="1:12" x14ac:dyDescent="0.2">
      <c r="A12397"/>
      <c r="B12397"/>
      <c r="C12397"/>
      <c r="D12397"/>
      <c r="E12397"/>
      <c r="F12397"/>
      <c r="G12397"/>
      <c r="H12397"/>
      <c r="I12397"/>
      <c r="J12397"/>
      <c r="K12397" s="1"/>
      <c r="L12397" s="2"/>
    </row>
    <row r="12398" spans="1:12" x14ac:dyDescent="0.2">
      <c r="A12398"/>
      <c r="B12398"/>
      <c r="C12398"/>
      <c r="D12398"/>
      <c r="E12398"/>
      <c r="F12398"/>
      <c r="G12398"/>
      <c r="H12398"/>
      <c r="I12398"/>
      <c r="J12398"/>
      <c r="K12398" s="1"/>
      <c r="L12398" s="2"/>
    </row>
    <row r="12399" spans="1:12" x14ac:dyDescent="0.2">
      <c r="A12399"/>
      <c r="B12399"/>
      <c r="C12399"/>
      <c r="D12399"/>
      <c r="E12399"/>
      <c r="F12399"/>
      <c r="G12399"/>
      <c r="H12399"/>
      <c r="I12399"/>
      <c r="J12399"/>
      <c r="K12399" s="1"/>
      <c r="L12399" s="2"/>
    </row>
    <row r="12400" spans="1:12" x14ac:dyDescent="0.2">
      <c r="A12400"/>
      <c r="B12400"/>
      <c r="C12400"/>
      <c r="D12400"/>
      <c r="E12400"/>
      <c r="F12400"/>
      <c r="G12400"/>
      <c r="H12400"/>
      <c r="I12400"/>
      <c r="J12400"/>
      <c r="K12400" s="1"/>
      <c r="L12400" s="2"/>
    </row>
    <row r="12401" spans="1:12" x14ac:dyDescent="0.2">
      <c r="A12401"/>
      <c r="B12401"/>
      <c r="C12401"/>
      <c r="D12401"/>
      <c r="E12401"/>
      <c r="F12401"/>
      <c r="G12401"/>
      <c r="H12401"/>
      <c r="I12401"/>
      <c r="J12401"/>
      <c r="K12401" s="1"/>
      <c r="L12401" s="2"/>
    </row>
    <row r="12402" spans="1:12" x14ac:dyDescent="0.2">
      <c r="A12402"/>
      <c r="B12402"/>
      <c r="C12402"/>
      <c r="D12402"/>
      <c r="E12402"/>
      <c r="F12402"/>
      <c r="G12402"/>
      <c r="H12402"/>
      <c r="I12402"/>
      <c r="J12402"/>
      <c r="K12402" s="1"/>
      <c r="L12402" s="2"/>
    </row>
    <row r="12403" spans="1:12" x14ac:dyDescent="0.2">
      <c r="A12403"/>
      <c r="B12403"/>
      <c r="C12403"/>
      <c r="D12403"/>
      <c r="E12403"/>
      <c r="F12403"/>
      <c r="G12403"/>
      <c r="H12403"/>
      <c r="I12403"/>
      <c r="J12403"/>
      <c r="K12403" s="1"/>
      <c r="L12403" s="2"/>
    </row>
    <row r="12404" spans="1:12" x14ac:dyDescent="0.2">
      <c r="A12404"/>
      <c r="B12404"/>
      <c r="C12404"/>
      <c r="D12404"/>
      <c r="E12404"/>
      <c r="F12404"/>
      <c r="G12404"/>
      <c r="H12404"/>
      <c r="I12404"/>
      <c r="J12404"/>
      <c r="K12404" s="1"/>
      <c r="L12404" s="2"/>
    </row>
    <row r="12405" spans="1:12" x14ac:dyDescent="0.2">
      <c r="A12405"/>
      <c r="B12405"/>
      <c r="C12405"/>
      <c r="D12405"/>
      <c r="E12405"/>
      <c r="F12405"/>
      <c r="G12405"/>
      <c r="H12405"/>
      <c r="I12405"/>
      <c r="J12405"/>
      <c r="K12405" s="1"/>
      <c r="L12405" s="2"/>
    </row>
    <row r="12406" spans="1:12" x14ac:dyDescent="0.2">
      <c r="A12406"/>
      <c r="B12406"/>
      <c r="C12406"/>
      <c r="D12406"/>
      <c r="E12406"/>
      <c r="F12406"/>
      <c r="G12406"/>
      <c r="H12406"/>
      <c r="I12406"/>
      <c r="J12406"/>
      <c r="K12406" s="1"/>
      <c r="L12406" s="2"/>
    </row>
    <row r="12407" spans="1:12" x14ac:dyDescent="0.2">
      <c r="A12407"/>
      <c r="B12407"/>
      <c r="C12407"/>
      <c r="D12407"/>
      <c r="E12407"/>
      <c r="F12407"/>
      <c r="G12407"/>
      <c r="H12407"/>
      <c r="I12407"/>
      <c r="J12407"/>
      <c r="K12407" s="1"/>
      <c r="L12407" s="2"/>
    </row>
    <row r="12408" spans="1:12" x14ac:dyDescent="0.2">
      <c r="A12408"/>
      <c r="B12408"/>
      <c r="C12408"/>
      <c r="D12408"/>
      <c r="E12408"/>
      <c r="F12408"/>
      <c r="G12408"/>
      <c r="H12408"/>
      <c r="I12408"/>
      <c r="J12408"/>
      <c r="K12408" s="1"/>
      <c r="L12408" s="2"/>
    </row>
    <row r="12409" spans="1:12" x14ac:dyDescent="0.2">
      <c r="A12409"/>
      <c r="B12409"/>
      <c r="C12409"/>
      <c r="D12409"/>
      <c r="E12409"/>
      <c r="F12409"/>
      <c r="G12409"/>
      <c r="H12409"/>
      <c r="I12409"/>
      <c r="J12409"/>
      <c r="K12409" s="1"/>
      <c r="L12409" s="2"/>
    </row>
    <row r="12410" spans="1:12" x14ac:dyDescent="0.2">
      <c r="A12410"/>
      <c r="B12410"/>
      <c r="C12410"/>
      <c r="D12410"/>
      <c r="E12410"/>
      <c r="F12410"/>
      <c r="G12410"/>
      <c r="H12410"/>
      <c r="I12410"/>
      <c r="J12410"/>
      <c r="K12410" s="1"/>
      <c r="L12410" s="2"/>
    </row>
    <row r="12411" spans="1:12" x14ac:dyDescent="0.2">
      <c r="A12411"/>
      <c r="B12411"/>
      <c r="C12411"/>
      <c r="D12411"/>
      <c r="E12411"/>
      <c r="F12411"/>
      <c r="G12411"/>
      <c r="H12411"/>
      <c r="I12411"/>
      <c r="J12411"/>
      <c r="K12411" s="1"/>
      <c r="L12411" s="2"/>
    </row>
    <row r="12412" spans="1:12" x14ac:dyDescent="0.2">
      <c r="A12412"/>
      <c r="B12412"/>
      <c r="C12412"/>
      <c r="D12412"/>
      <c r="E12412"/>
      <c r="F12412"/>
      <c r="G12412"/>
      <c r="H12412"/>
      <c r="I12412"/>
      <c r="J12412"/>
      <c r="K12412" s="1"/>
      <c r="L12412" s="2"/>
    </row>
    <row r="12413" spans="1:12" x14ac:dyDescent="0.2">
      <c r="A12413"/>
      <c r="B12413"/>
      <c r="C12413"/>
      <c r="D12413"/>
      <c r="E12413"/>
      <c r="F12413"/>
      <c r="G12413"/>
      <c r="H12413"/>
      <c r="I12413"/>
      <c r="J12413"/>
      <c r="K12413" s="1"/>
      <c r="L12413" s="2"/>
    </row>
    <row r="12414" spans="1:12" x14ac:dyDescent="0.2">
      <c r="A12414"/>
      <c r="B12414"/>
      <c r="C12414"/>
      <c r="D12414"/>
      <c r="E12414"/>
      <c r="F12414"/>
      <c r="G12414"/>
      <c r="H12414"/>
      <c r="I12414"/>
      <c r="J12414"/>
      <c r="K12414" s="1"/>
      <c r="L12414" s="2"/>
    </row>
    <row r="12415" spans="1:12" x14ac:dyDescent="0.2">
      <c r="A12415"/>
      <c r="B12415"/>
      <c r="C12415"/>
      <c r="D12415"/>
      <c r="E12415"/>
      <c r="F12415"/>
      <c r="G12415"/>
      <c r="H12415"/>
      <c r="I12415"/>
      <c r="J12415"/>
      <c r="K12415" s="1"/>
      <c r="L12415" s="2"/>
    </row>
    <row r="12416" spans="1:12" x14ac:dyDescent="0.2">
      <c r="A12416"/>
      <c r="B12416"/>
      <c r="C12416"/>
      <c r="D12416"/>
      <c r="E12416"/>
      <c r="F12416"/>
      <c r="G12416"/>
      <c r="H12416"/>
      <c r="I12416"/>
      <c r="J12416"/>
      <c r="K12416" s="1"/>
      <c r="L12416" s="2"/>
    </row>
    <row r="12417" spans="1:12" x14ac:dyDescent="0.2">
      <c r="A12417"/>
      <c r="B12417"/>
      <c r="C12417"/>
      <c r="D12417"/>
      <c r="E12417"/>
      <c r="F12417"/>
      <c r="G12417"/>
      <c r="H12417"/>
      <c r="I12417"/>
      <c r="J12417"/>
      <c r="K12417" s="1"/>
      <c r="L12417" s="2"/>
    </row>
    <row r="12418" spans="1:12" x14ac:dyDescent="0.2">
      <c r="A12418"/>
      <c r="B12418"/>
      <c r="C12418"/>
      <c r="D12418"/>
      <c r="E12418"/>
      <c r="F12418"/>
      <c r="G12418"/>
      <c r="H12418"/>
      <c r="I12418"/>
      <c r="J12418"/>
      <c r="K12418" s="1"/>
      <c r="L12418" s="2"/>
    </row>
    <row r="12419" spans="1:12" x14ac:dyDescent="0.2">
      <c r="A12419"/>
      <c r="B12419"/>
      <c r="C12419"/>
      <c r="D12419"/>
      <c r="E12419"/>
      <c r="F12419"/>
      <c r="G12419"/>
      <c r="H12419"/>
      <c r="I12419"/>
      <c r="J12419"/>
      <c r="K12419" s="1"/>
      <c r="L12419" s="2"/>
    </row>
    <row r="12420" spans="1:12" x14ac:dyDescent="0.2">
      <c r="A12420"/>
      <c r="B12420"/>
      <c r="C12420"/>
      <c r="D12420"/>
      <c r="E12420"/>
      <c r="F12420"/>
      <c r="G12420"/>
      <c r="H12420"/>
      <c r="I12420"/>
      <c r="J12420"/>
      <c r="K12420" s="1"/>
      <c r="L12420" s="2"/>
    </row>
    <row r="12421" spans="1:12" x14ac:dyDescent="0.2">
      <c r="A12421"/>
      <c r="B12421"/>
      <c r="C12421"/>
      <c r="D12421"/>
      <c r="E12421"/>
      <c r="F12421"/>
      <c r="G12421"/>
      <c r="H12421"/>
      <c r="I12421"/>
      <c r="J12421"/>
      <c r="K12421" s="1"/>
      <c r="L12421" s="2"/>
    </row>
    <row r="12422" spans="1:12" x14ac:dyDescent="0.2">
      <c r="A12422"/>
      <c r="B12422"/>
      <c r="C12422"/>
      <c r="D12422"/>
      <c r="E12422"/>
      <c r="F12422"/>
      <c r="G12422"/>
      <c r="H12422"/>
      <c r="I12422"/>
      <c r="J12422"/>
      <c r="K12422" s="1"/>
      <c r="L12422" s="2"/>
    </row>
    <row r="12423" spans="1:12" x14ac:dyDescent="0.2">
      <c r="A12423"/>
      <c r="B12423"/>
      <c r="C12423"/>
      <c r="D12423"/>
      <c r="E12423"/>
      <c r="F12423"/>
      <c r="G12423"/>
      <c r="H12423"/>
      <c r="I12423"/>
      <c r="J12423"/>
      <c r="K12423" s="1"/>
      <c r="L12423" s="2"/>
    </row>
    <row r="12424" spans="1:12" x14ac:dyDescent="0.2">
      <c r="A12424"/>
      <c r="B12424"/>
      <c r="C12424"/>
      <c r="D12424"/>
      <c r="E12424"/>
      <c r="F12424"/>
      <c r="G12424"/>
      <c r="H12424"/>
      <c r="I12424"/>
      <c r="J12424"/>
      <c r="K12424" s="1"/>
      <c r="L12424" s="2"/>
    </row>
    <row r="12425" spans="1:12" x14ac:dyDescent="0.2">
      <c r="A12425"/>
      <c r="B12425"/>
      <c r="C12425"/>
      <c r="D12425"/>
      <c r="E12425"/>
      <c r="F12425"/>
      <c r="G12425"/>
      <c r="H12425"/>
      <c r="I12425"/>
      <c r="J12425"/>
      <c r="K12425" s="1"/>
      <c r="L12425" s="2"/>
    </row>
    <row r="12426" spans="1:12" x14ac:dyDescent="0.2">
      <c r="A12426"/>
      <c r="B12426"/>
      <c r="C12426"/>
      <c r="D12426"/>
      <c r="E12426"/>
      <c r="F12426"/>
      <c r="G12426"/>
      <c r="H12426"/>
      <c r="I12426"/>
      <c r="J12426"/>
      <c r="K12426" s="1"/>
      <c r="L12426" s="2"/>
    </row>
    <row r="12427" spans="1:12" x14ac:dyDescent="0.2">
      <c r="A12427"/>
      <c r="B12427"/>
      <c r="C12427"/>
      <c r="D12427"/>
      <c r="E12427"/>
      <c r="F12427"/>
      <c r="G12427"/>
      <c r="H12427"/>
      <c r="I12427"/>
      <c r="J12427"/>
      <c r="K12427" s="1"/>
      <c r="L12427" s="2"/>
    </row>
    <row r="12428" spans="1:12" x14ac:dyDescent="0.2">
      <c r="A12428"/>
      <c r="B12428"/>
      <c r="C12428"/>
      <c r="D12428"/>
      <c r="E12428"/>
      <c r="F12428"/>
      <c r="G12428"/>
      <c r="H12428"/>
      <c r="I12428"/>
      <c r="J12428"/>
      <c r="K12428" s="1"/>
      <c r="L12428" s="2"/>
    </row>
    <row r="12429" spans="1:12" x14ac:dyDescent="0.2">
      <c r="A12429"/>
      <c r="B12429"/>
      <c r="C12429"/>
      <c r="D12429"/>
      <c r="E12429"/>
      <c r="F12429"/>
      <c r="G12429"/>
      <c r="H12429"/>
      <c r="I12429"/>
      <c r="J12429"/>
      <c r="K12429" s="1"/>
      <c r="L12429" s="2"/>
    </row>
    <row r="12430" spans="1:12" x14ac:dyDescent="0.2">
      <c r="A12430"/>
      <c r="B12430"/>
      <c r="C12430"/>
      <c r="D12430"/>
      <c r="E12430"/>
      <c r="F12430"/>
      <c r="G12430"/>
      <c r="H12430"/>
      <c r="I12430"/>
      <c r="J12430"/>
      <c r="K12430" s="1"/>
      <c r="L12430" s="2"/>
    </row>
    <row r="12431" spans="1:12" x14ac:dyDescent="0.2">
      <c r="A12431"/>
      <c r="B12431"/>
      <c r="C12431"/>
      <c r="D12431"/>
      <c r="E12431"/>
      <c r="F12431"/>
      <c r="G12431"/>
      <c r="H12431"/>
      <c r="I12431"/>
      <c r="J12431"/>
      <c r="K12431" s="1"/>
      <c r="L12431" s="2"/>
    </row>
    <row r="12432" spans="1:12" x14ac:dyDescent="0.2">
      <c r="A12432"/>
      <c r="B12432"/>
      <c r="C12432"/>
      <c r="D12432"/>
      <c r="E12432"/>
      <c r="F12432"/>
      <c r="G12432"/>
      <c r="H12432"/>
      <c r="I12432"/>
      <c r="J12432"/>
      <c r="K12432" s="1"/>
      <c r="L12432" s="2"/>
    </row>
    <row r="12433" spans="1:12" x14ac:dyDescent="0.2">
      <c r="A12433"/>
      <c r="B12433"/>
      <c r="C12433"/>
      <c r="D12433"/>
      <c r="E12433"/>
      <c r="F12433"/>
      <c r="G12433"/>
      <c r="H12433"/>
      <c r="I12433"/>
      <c r="J12433"/>
      <c r="K12433" s="1"/>
      <c r="L12433" s="2"/>
    </row>
    <row r="12434" spans="1:12" x14ac:dyDescent="0.2">
      <c r="A12434"/>
      <c r="B12434"/>
      <c r="C12434"/>
      <c r="D12434"/>
      <c r="E12434"/>
      <c r="F12434"/>
      <c r="G12434"/>
      <c r="H12434"/>
      <c r="I12434"/>
      <c r="J12434"/>
      <c r="K12434" s="1"/>
      <c r="L12434" s="2"/>
    </row>
    <row r="12435" spans="1:12" x14ac:dyDescent="0.2">
      <c r="A12435"/>
      <c r="B12435"/>
      <c r="C12435"/>
      <c r="D12435"/>
      <c r="E12435"/>
      <c r="F12435"/>
      <c r="G12435"/>
      <c r="H12435"/>
      <c r="I12435"/>
      <c r="J12435"/>
      <c r="K12435" s="1"/>
      <c r="L12435" s="2"/>
    </row>
    <row r="12436" spans="1:12" x14ac:dyDescent="0.2">
      <c r="A12436"/>
      <c r="B12436"/>
      <c r="C12436"/>
      <c r="D12436"/>
      <c r="E12436"/>
      <c r="F12436"/>
      <c r="G12436"/>
      <c r="H12436"/>
      <c r="I12436"/>
      <c r="J12436"/>
      <c r="K12436" s="1"/>
      <c r="L12436" s="2"/>
    </row>
    <row r="12437" spans="1:12" x14ac:dyDescent="0.2">
      <c r="A12437"/>
      <c r="B12437"/>
      <c r="C12437"/>
      <c r="D12437"/>
      <c r="E12437"/>
      <c r="F12437"/>
      <c r="G12437"/>
      <c r="H12437"/>
      <c r="I12437"/>
      <c r="J12437"/>
      <c r="K12437" s="1"/>
      <c r="L12437" s="2"/>
    </row>
    <row r="12438" spans="1:12" x14ac:dyDescent="0.2">
      <c r="A12438"/>
      <c r="B12438"/>
      <c r="C12438"/>
      <c r="D12438"/>
      <c r="E12438"/>
      <c r="F12438"/>
      <c r="G12438"/>
      <c r="H12438"/>
      <c r="I12438"/>
      <c r="J12438"/>
      <c r="K12438" s="1"/>
      <c r="L12438" s="2"/>
    </row>
    <row r="12439" spans="1:12" x14ac:dyDescent="0.2">
      <c r="A12439"/>
      <c r="B12439"/>
      <c r="C12439"/>
      <c r="D12439"/>
      <c r="E12439"/>
      <c r="F12439"/>
      <c r="G12439"/>
      <c r="H12439"/>
      <c r="I12439"/>
      <c r="J12439"/>
      <c r="K12439" s="1"/>
      <c r="L12439" s="2"/>
    </row>
    <row r="12440" spans="1:12" x14ac:dyDescent="0.2">
      <c r="A12440"/>
      <c r="B12440"/>
      <c r="C12440"/>
      <c r="D12440"/>
      <c r="E12440"/>
      <c r="F12440"/>
      <c r="G12440"/>
      <c r="H12440"/>
      <c r="I12440"/>
      <c r="J12440"/>
      <c r="K12440" s="1"/>
      <c r="L12440" s="2"/>
    </row>
    <row r="12441" spans="1:12" x14ac:dyDescent="0.2">
      <c r="A12441"/>
      <c r="B12441"/>
      <c r="C12441"/>
      <c r="D12441"/>
      <c r="E12441"/>
      <c r="F12441"/>
      <c r="G12441"/>
      <c r="H12441"/>
      <c r="I12441"/>
      <c r="J12441"/>
      <c r="K12441" s="1"/>
      <c r="L12441" s="2"/>
    </row>
    <row r="12442" spans="1:12" x14ac:dyDescent="0.2">
      <c r="A12442"/>
      <c r="B12442"/>
      <c r="C12442"/>
      <c r="D12442"/>
      <c r="E12442"/>
      <c r="F12442"/>
      <c r="G12442"/>
      <c r="H12442"/>
      <c r="I12442"/>
      <c r="J12442"/>
      <c r="K12442" s="1"/>
      <c r="L12442" s="2"/>
    </row>
    <row r="12443" spans="1:12" x14ac:dyDescent="0.2">
      <c r="A12443"/>
      <c r="B12443"/>
      <c r="C12443"/>
      <c r="D12443"/>
      <c r="E12443"/>
      <c r="F12443"/>
      <c r="G12443"/>
      <c r="H12443"/>
      <c r="I12443"/>
      <c r="J12443"/>
      <c r="K12443" s="1"/>
      <c r="L12443" s="2"/>
    </row>
    <row r="12444" spans="1:12" x14ac:dyDescent="0.2">
      <c r="A12444"/>
      <c r="B12444"/>
      <c r="C12444"/>
      <c r="D12444"/>
      <c r="E12444"/>
      <c r="F12444"/>
      <c r="G12444"/>
      <c r="H12444"/>
      <c r="I12444"/>
      <c r="J12444"/>
      <c r="K12444" s="1"/>
      <c r="L12444" s="2"/>
    </row>
    <row r="12445" spans="1:12" x14ac:dyDescent="0.2">
      <c r="A12445"/>
      <c r="B12445"/>
      <c r="C12445"/>
      <c r="D12445"/>
      <c r="E12445"/>
      <c r="F12445"/>
      <c r="G12445"/>
      <c r="H12445"/>
      <c r="I12445"/>
      <c r="J12445"/>
      <c r="K12445" s="1"/>
      <c r="L12445" s="2"/>
    </row>
    <row r="12446" spans="1:12" x14ac:dyDescent="0.2">
      <c r="A12446"/>
      <c r="B12446"/>
      <c r="C12446"/>
      <c r="D12446"/>
      <c r="E12446"/>
      <c r="F12446"/>
      <c r="G12446"/>
      <c r="H12446"/>
      <c r="I12446"/>
      <c r="J12446"/>
      <c r="K12446" s="1"/>
      <c r="L12446" s="2"/>
    </row>
    <row r="12447" spans="1:12" x14ac:dyDescent="0.2">
      <c r="A12447"/>
      <c r="B12447"/>
      <c r="C12447"/>
      <c r="D12447"/>
      <c r="E12447"/>
      <c r="F12447"/>
      <c r="G12447"/>
      <c r="H12447"/>
      <c r="I12447"/>
      <c r="J12447"/>
      <c r="K12447" s="1"/>
      <c r="L12447" s="2"/>
    </row>
    <row r="12448" spans="1:12" x14ac:dyDescent="0.2">
      <c r="A12448"/>
      <c r="B12448"/>
      <c r="C12448"/>
      <c r="D12448"/>
      <c r="E12448"/>
      <c r="F12448"/>
      <c r="G12448"/>
      <c r="H12448"/>
      <c r="I12448"/>
      <c r="J12448"/>
      <c r="K12448" s="1"/>
      <c r="L12448" s="2"/>
    </row>
    <row r="12449" spans="1:12" x14ac:dyDescent="0.2">
      <c r="A12449"/>
      <c r="B12449"/>
      <c r="C12449"/>
      <c r="D12449"/>
      <c r="E12449"/>
      <c r="F12449"/>
      <c r="G12449"/>
      <c r="H12449"/>
      <c r="I12449"/>
      <c r="J12449"/>
      <c r="K12449" s="1"/>
      <c r="L12449" s="2"/>
    </row>
    <row r="12450" spans="1:12" x14ac:dyDescent="0.2">
      <c r="A12450"/>
      <c r="B12450"/>
      <c r="C12450"/>
      <c r="D12450"/>
      <c r="E12450"/>
      <c r="F12450"/>
      <c r="G12450"/>
      <c r="H12450"/>
      <c r="I12450"/>
      <c r="J12450"/>
      <c r="K12450" s="1"/>
      <c r="L12450" s="2"/>
    </row>
    <row r="12451" spans="1:12" x14ac:dyDescent="0.2">
      <c r="A12451"/>
      <c r="B12451"/>
      <c r="C12451"/>
      <c r="D12451"/>
      <c r="E12451"/>
      <c r="F12451"/>
      <c r="G12451"/>
      <c r="H12451"/>
      <c r="I12451"/>
      <c r="J12451"/>
      <c r="K12451" s="1"/>
      <c r="L12451" s="2"/>
    </row>
    <row r="12452" spans="1:12" x14ac:dyDescent="0.2">
      <c r="A12452"/>
      <c r="B12452"/>
      <c r="C12452"/>
      <c r="D12452"/>
      <c r="E12452"/>
      <c r="F12452"/>
      <c r="G12452"/>
      <c r="H12452"/>
      <c r="I12452"/>
      <c r="J12452"/>
      <c r="K12452" s="1"/>
      <c r="L12452" s="2"/>
    </row>
    <row r="12453" spans="1:12" x14ac:dyDescent="0.2">
      <c r="A12453"/>
      <c r="B12453"/>
      <c r="C12453"/>
      <c r="D12453"/>
      <c r="E12453"/>
      <c r="F12453"/>
      <c r="G12453"/>
      <c r="H12453"/>
      <c r="I12453"/>
      <c r="J12453"/>
      <c r="K12453" s="1"/>
      <c r="L12453" s="2"/>
    </row>
    <row r="12454" spans="1:12" x14ac:dyDescent="0.2">
      <c r="A12454"/>
      <c r="B12454"/>
      <c r="C12454"/>
      <c r="D12454"/>
      <c r="E12454"/>
      <c r="F12454"/>
      <c r="G12454"/>
      <c r="H12454"/>
      <c r="I12454"/>
      <c r="J12454"/>
      <c r="K12454" s="1"/>
      <c r="L12454" s="2"/>
    </row>
    <row r="12455" spans="1:12" x14ac:dyDescent="0.2">
      <c r="A12455"/>
      <c r="B12455"/>
      <c r="C12455"/>
      <c r="D12455"/>
      <c r="E12455"/>
      <c r="F12455"/>
      <c r="G12455"/>
      <c r="H12455"/>
      <c r="I12455"/>
      <c r="J12455"/>
      <c r="K12455" s="1"/>
      <c r="L12455" s="2"/>
    </row>
    <row r="12456" spans="1:12" x14ac:dyDescent="0.2">
      <c r="A12456"/>
      <c r="B12456"/>
      <c r="C12456"/>
      <c r="D12456"/>
      <c r="E12456"/>
      <c r="F12456"/>
      <c r="G12456"/>
      <c r="H12456"/>
      <c r="I12456"/>
      <c r="J12456"/>
      <c r="K12456" s="1"/>
      <c r="L12456" s="2"/>
    </row>
    <row r="12457" spans="1:12" x14ac:dyDescent="0.2">
      <c r="A12457"/>
      <c r="B12457"/>
      <c r="C12457"/>
      <c r="D12457"/>
      <c r="E12457"/>
      <c r="F12457"/>
      <c r="G12457"/>
      <c r="H12457"/>
      <c r="I12457"/>
      <c r="J12457"/>
      <c r="K12457" s="1"/>
      <c r="L12457" s="2"/>
    </row>
    <row r="12458" spans="1:12" x14ac:dyDescent="0.2">
      <c r="A12458"/>
      <c r="B12458"/>
      <c r="C12458"/>
      <c r="D12458"/>
      <c r="E12458"/>
      <c r="F12458"/>
      <c r="G12458"/>
      <c r="H12458"/>
      <c r="I12458"/>
      <c r="J12458"/>
      <c r="K12458" s="1"/>
      <c r="L12458" s="2"/>
    </row>
    <row r="12459" spans="1:12" x14ac:dyDescent="0.2">
      <c r="A12459"/>
      <c r="B12459"/>
      <c r="C12459"/>
      <c r="D12459"/>
      <c r="E12459"/>
      <c r="F12459"/>
      <c r="G12459"/>
      <c r="H12459"/>
      <c r="I12459"/>
      <c r="J12459"/>
      <c r="K12459" s="1"/>
      <c r="L12459" s="2"/>
    </row>
    <row r="12460" spans="1:12" x14ac:dyDescent="0.2">
      <c r="A12460"/>
      <c r="B12460"/>
      <c r="C12460"/>
      <c r="D12460"/>
      <c r="E12460"/>
      <c r="F12460"/>
      <c r="G12460"/>
      <c r="H12460"/>
      <c r="I12460"/>
      <c r="J12460"/>
      <c r="K12460" s="1"/>
      <c r="L12460" s="2"/>
    </row>
    <row r="12461" spans="1:12" x14ac:dyDescent="0.2">
      <c r="A12461"/>
      <c r="B12461"/>
      <c r="C12461"/>
      <c r="D12461"/>
      <c r="E12461"/>
      <c r="F12461"/>
      <c r="G12461"/>
      <c r="H12461"/>
      <c r="I12461"/>
      <c r="J12461"/>
      <c r="K12461" s="1"/>
      <c r="L12461" s="2"/>
    </row>
    <row r="12462" spans="1:12" x14ac:dyDescent="0.2">
      <c r="A12462"/>
      <c r="B12462"/>
      <c r="C12462"/>
      <c r="D12462"/>
      <c r="E12462"/>
      <c r="F12462"/>
      <c r="G12462"/>
      <c r="H12462"/>
      <c r="I12462"/>
      <c r="J12462"/>
      <c r="K12462" s="1"/>
      <c r="L12462" s="2"/>
    </row>
    <row r="12463" spans="1:12" x14ac:dyDescent="0.2">
      <c r="A12463"/>
      <c r="B12463"/>
      <c r="C12463"/>
      <c r="D12463"/>
      <c r="E12463"/>
      <c r="F12463"/>
      <c r="G12463"/>
      <c r="H12463"/>
      <c r="I12463"/>
      <c r="J12463"/>
      <c r="K12463" s="1"/>
      <c r="L12463" s="2"/>
    </row>
    <row r="12464" spans="1:12" x14ac:dyDescent="0.2">
      <c r="A12464"/>
      <c r="B12464"/>
      <c r="C12464"/>
      <c r="D12464"/>
      <c r="E12464"/>
      <c r="F12464"/>
      <c r="G12464"/>
      <c r="H12464"/>
      <c r="I12464"/>
      <c r="J12464"/>
      <c r="K12464" s="1"/>
      <c r="L12464" s="2"/>
    </row>
    <row r="12465" spans="1:12" x14ac:dyDescent="0.2">
      <c r="A12465"/>
      <c r="B12465"/>
      <c r="C12465"/>
      <c r="D12465"/>
      <c r="E12465"/>
      <c r="F12465"/>
      <c r="G12465"/>
      <c r="H12465"/>
      <c r="I12465"/>
      <c r="J12465"/>
      <c r="K12465" s="1"/>
      <c r="L12465" s="2"/>
    </row>
    <row r="12466" spans="1:12" x14ac:dyDescent="0.2">
      <c r="A12466"/>
      <c r="B12466"/>
      <c r="C12466"/>
      <c r="D12466"/>
      <c r="E12466"/>
      <c r="F12466"/>
      <c r="G12466"/>
      <c r="H12466"/>
      <c r="I12466"/>
      <c r="J12466"/>
      <c r="K12466" s="1"/>
      <c r="L12466" s="2"/>
    </row>
    <row r="12467" spans="1:12" x14ac:dyDescent="0.2">
      <c r="A12467"/>
      <c r="B12467"/>
      <c r="C12467"/>
      <c r="D12467"/>
      <c r="E12467"/>
      <c r="F12467"/>
      <c r="G12467"/>
      <c r="H12467"/>
      <c r="I12467"/>
      <c r="J12467"/>
      <c r="K12467" s="1"/>
      <c r="L12467" s="2"/>
    </row>
    <row r="12468" spans="1:12" x14ac:dyDescent="0.2">
      <c r="A12468"/>
      <c r="B12468"/>
      <c r="C12468"/>
      <c r="D12468"/>
      <c r="E12468"/>
      <c r="F12468"/>
      <c r="G12468"/>
      <c r="H12468"/>
      <c r="I12468"/>
      <c r="J12468"/>
      <c r="K12468" s="1"/>
      <c r="L12468" s="2"/>
    </row>
    <row r="12469" spans="1:12" x14ac:dyDescent="0.2">
      <c r="A12469"/>
      <c r="B12469"/>
      <c r="C12469"/>
      <c r="D12469"/>
      <c r="E12469"/>
      <c r="F12469"/>
      <c r="G12469"/>
      <c r="H12469"/>
      <c r="I12469"/>
      <c r="J12469"/>
      <c r="K12469" s="1"/>
      <c r="L12469" s="2"/>
    </row>
    <row r="12470" spans="1:12" x14ac:dyDescent="0.2">
      <c r="A12470"/>
      <c r="B12470"/>
      <c r="C12470"/>
      <c r="D12470"/>
      <c r="E12470"/>
      <c r="F12470"/>
      <c r="G12470"/>
      <c r="H12470"/>
      <c r="I12470"/>
      <c r="J12470"/>
      <c r="K12470" s="1"/>
      <c r="L12470" s="2"/>
    </row>
    <row r="12471" spans="1:12" x14ac:dyDescent="0.2">
      <c r="A12471"/>
      <c r="B12471"/>
      <c r="C12471"/>
      <c r="D12471"/>
      <c r="E12471"/>
      <c r="F12471"/>
      <c r="G12471"/>
      <c r="H12471"/>
      <c r="I12471"/>
      <c r="J12471"/>
      <c r="K12471" s="1"/>
      <c r="L12471" s="2"/>
    </row>
    <row r="12472" spans="1:12" x14ac:dyDescent="0.2">
      <c r="A12472"/>
      <c r="B12472"/>
      <c r="C12472"/>
      <c r="D12472"/>
      <c r="E12472"/>
      <c r="F12472"/>
      <c r="G12472"/>
      <c r="H12472"/>
      <c r="I12472"/>
      <c r="J12472"/>
      <c r="K12472" s="1"/>
      <c r="L12472" s="2"/>
    </row>
    <row r="12473" spans="1:12" x14ac:dyDescent="0.2">
      <c r="A12473"/>
      <c r="B12473"/>
      <c r="C12473"/>
      <c r="D12473"/>
      <c r="E12473"/>
      <c r="F12473"/>
      <c r="G12473"/>
      <c r="H12473"/>
      <c r="I12473"/>
      <c r="J12473"/>
      <c r="K12473" s="1"/>
      <c r="L12473" s="2"/>
    </row>
    <row r="12474" spans="1:12" x14ac:dyDescent="0.2">
      <c r="A12474"/>
      <c r="B12474"/>
      <c r="C12474"/>
      <c r="D12474"/>
      <c r="E12474"/>
      <c r="F12474"/>
      <c r="G12474"/>
      <c r="H12474"/>
      <c r="I12474"/>
      <c r="J12474"/>
      <c r="K12474" s="1"/>
      <c r="L12474" s="2"/>
    </row>
    <row r="12475" spans="1:12" x14ac:dyDescent="0.2">
      <c r="A12475"/>
      <c r="B12475"/>
      <c r="C12475"/>
      <c r="D12475"/>
      <c r="E12475"/>
      <c r="F12475"/>
      <c r="G12475"/>
      <c r="H12475"/>
      <c r="I12475"/>
      <c r="J12475"/>
      <c r="K12475" s="1"/>
      <c r="L12475" s="2"/>
    </row>
    <row r="12476" spans="1:12" x14ac:dyDescent="0.2">
      <c r="A12476"/>
      <c r="B12476"/>
      <c r="C12476"/>
      <c r="D12476"/>
      <c r="E12476"/>
      <c r="F12476"/>
      <c r="G12476"/>
      <c r="H12476"/>
      <c r="I12476"/>
      <c r="J12476"/>
      <c r="K12476" s="1"/>
      <c r="L12476" s="2"/>
    </row>
    <row r="12477" spans="1:12" x14ac:dyDescent="0.2">
      <c r="A12477"/>
      <c r="B12477"/>
      <c r="C12477"/>
      <c r="D12477"/>
      <c r="E12477"/>
      <c r="F12477"/>
      <c r="G12477"/>
      <c r="H12477"/>
      <c r="I12477"/>
      <c r="J12477"/>
      <c r="K12477" s="1"/>
      <c r="L12477" s="2"/>
    </row>
    <row r="12478" spans="1:12" x14ac:dyDescent="0.2">
      <c r="A12478"/>
      <c r="B12478"/>
      <c r="C12478"/>
      <c r="D12478"/>
      <c r="E12478"/>
      <c r="F12478"/>
      <c r="G12478"/>
      <c r="H12478"/>
      <c r="I12478"/>
      <c r="J12478"/>
      <c r="K12478" s="1"/>
      <c r="L12478" s="2"/>
    </row>
    <row r="12479" spans="1:12" x14ac:dyDescent="0.2">
      <c r="A12479"/>
      <c r="B12479"/>
      <c r="C12479"/>
      <c r="D12479"/>
      <c r="E12479"/>
      <c r="F12479"/>
      <c r="G12479"/>
      <c r="H12479"/>
      <c r="I12479"/>
      <c r="J12479"/>
      <c r="K12479" s="1"/>
      <c r="L12479" s="2"/>
    </row>
    <row r="12480" spans="1:12" x14ac:dyDescent="0.2">
      <c r="A12480"/>
      <c r="B12480"/>
      <c r="C12480"/>
      <c r="D12480"/>
      <c r="E12480"/>
      <c r="F12480"/>
      <c r="G12480"/>
      <c r="H12480"/>
      <c r="I12480"/>
      <c r="J12480"/>
      <c r="K12480" s="1"/>
      <c r="L12480" s="2"/>
    </row>
    <row r="12481" spans="1:12" x14ac:dyDescent="0.2">
      <c r="A12481"/>
      <c r="B12481"/>
      <c r="C12481"/>
      <c r="D12481"/>
      <c r="E12481"/>
      <c r="F12481"/>
      <c r="G12481"/>
      <c r="H12481"/>
      <c r="I12481"/>
      <c r="J12481"/>
      <c r="K12481" s="1"/>
      <c r="L12481" s="2"/>
    </row>
    <row r="12482" spans="1:12" x14ac:dyDescent="0.2">
      <c r="A12482"/>
      <c r="B12482"/>
      <c r="C12482"/>
      <c r="D12482"/>
      <c r="E12482"/>
      <c r="F12482"/>
      <c r="G12482"/>
      <c r="H12482"/>
      <c r="I12482"/>
      <c r="J12482"/>
      <c r="K12482" s="1"/>
      <c r="L12482" s="2"/>
    </row>
    <row r="12483" spans="1:12" x14ac:dyDescent="0.2">
      <c r="A12483"/>
      <c r="B12483"/>
      <c r="C12483"/>
      <c r="D12483"/>
      <c r="E12483"/>
      <c r="F12483"/>
      <c r="G12483"/>
      <c r="H12483"/>
      <c r="I12483"/>
      <c r="J12483"/>
      <c r="K12483" s="1"/>
      <c r="L12483" s="2"/>
    </row>
    <row r="12484" spans="1:12" x14ac:dyDescent="0.2">
      <c r="A12484"/>
      <c r="B12484"/>
      <c r="C12484"/>
      <c r="D12484"/>
      <c r="E12484"/>
      <c r="F12484"/>
      <c r="G12484"/>
      <c r="H12484"/>
      <c r="I12484"/>
      <c r="J12484"/>
      <c r="K12484" s="1"/>
      <c r="L12484" s="2"/>
    </row>
    <row r="12485" spans="1:12" x14ac:dyDescent="0.2">
      <c r="A12485"/>
      <c r="B12485"/>
      <c r="C12485"/>
      <c r="D12485"/>
      <c r="E12485"/>
      <c r="F12485"/>
      <c r="G12485"/>
      <c r="H12485"/>
      <c r="I12485"/>
      <c r="J12485"/>
      <c r="K12485" s="1"/>
      <c r="L12485" s="2"/>
    </row>
    <row r="12486" spans="1:12" x14ac:dyDescent="0.2">
      <c r="A12486"/>
      <c r="B12486"/>
      <c r="C12486"/>
      <c r="D12486"/>
      <c r="E12486"/>
      <c r="F12486"/>
      <c r="G12486"/>
      <c r="H12486"/>
      <c r="I12486"/>
      <c r="J12486"/>
      <c r="K12486" s="1"/>
      <c r="L12486" s="2"/>
    </row>
    <row r="12487" spans="1:12" x14ac:dyDescent="0.2">
      <c r="A12487"/>
      <c r="B12487"/>
      <c r="C12487"/>
      <c r="D12487"/>
      <c r="E12487"/>
      <c r="F12487"/>
      <c r="G12487"/>
      <c r="H12487"/>
      <c r="I12487"/>
      <c r="J12487"/>
      <c r="K12487" s="1"/>
      <c r="L12487" s="2"/>
    </row>
    <row r="12488" spans="1:12" x14ac:dyDescent="0.2">
      <c r="A12488"/>
      <c r="B12488"/>
      <c r="C12488"/>
      <c r="D12488"/>
      <c r="E12488"/>
      <c r="F12488"/>
      <c r="G12488"/>
      <c r="H12488"/>
      <c r="I12488"/>
      <c r="J12488"/>
      <c r="K12488" s="1"/>
      <c r="L12488" s="2"/>
    </row>
    <row r="12489" spans="1:12" x14ac:dyDescent="0.2">
      <c r="A12489"/>
      <c r="B12489"/>
      <c r="C12489"/>
      <c r="D12489"/>
      <c r="E12489"/>
      <c r="F12489"/>
      <c r="G12489"/>
      <c r="H12489"/>
      <c r="I12489"/>
      <c r="J12489"/>
      <c r="K12489" s="1"/>
      <c r="L12489" s="2"/>
    </row>
    <row r="12490" spans="1:12" x14ac:dyDescent="0.2">
      <c r="A12490"/>
      <c r="B12490"/>
      <c r="C12490"/>
      <c r="D12490"/>
      <c r="E12490"/>
      <c r="F12490"/>
      <c r="G12490"/>
      <c r="H12490"/>
      <c r="I12490"/>
      <c r="J12490"/>
      <c r="K12490" s="1"/>
      <c r="L12490" s="2"/>
    </row>
    <row r="12491" spans="1:12" x14ac:dyDescent="0.2">
      <c r="A12491"/>
      <c r="B12491"/>
      <c r="C12491"/>
      <c r="D12491"/>
      <c r="E12491"/>
      <c r="F12491"/>
      <c r="G12491"/>
      <c r="H12491"/>
      <c r="I12491"/>
      <c r="J12491"/>
      <c r="K12491" s="1"/>
      <c r="L12491" s="2"/>
    </row>
    <row r="12492" spans="1:12" x14ac:dyDescent="0.2">
      <c r="A12492"/>
      <c r="B12492"/>
      <c r="C12492"/>
      <c r="D12492"/>
      <c r="E12492"/>
      <c r="F12492"/>
      <c r="G12492"/>
      <c r="H12492"/>
      <c r="I12492"/>
      <c r="J12492"/>
      <c r="K12492" s="1"/>
      <c r="L12492" s="2"/>
    </row>
    <row r="12493" spans="1:12" x14ac:dyDescent="0.2">
      <c r="A12493"/>
      <c r="B12493"/>
      <c r="C12493"/>
      <c r="D12493"/>
      <c r="E12493"/>
      <c r="F12493"/>
      <c r="G12493"/>
      <c r="H12493"/>
      <c r="I12493"/>
      <c r="J12493"/>
      <c r="K12493" s="1"/>
      <c r="L12493" s="2"/>
    </row>
    <row r="12494" spans="1:12" x14ac:dyDescent="0.2">
      <c r="A12494"/>
      <c r="B12494"/>
      <c r="C12494"/>
      <c r="D12494"/>
      <c r="E12494"/>
      <c r="F12494"/>
      <c r="G12494"/>
      <c r="H12494"/>
      <c r="I12494"/>
      <c r="J12494"/>
      <c r="K12494" s="1"/>
      <c r="L12494" s="2"/>
    </row>
    <row r="12495" spans="1:12" x14ac:dyDescent="0.2">
      <c r="A12495"/>
      <c r="B12495"/>
      <c r="C12495"/>
      <c r="D12495"/>
      <c r="E12495"/>
      <c r="F12495"/>
      <c r="G12495"/>
      <c r="H12495"/>
      <c r="I12495"/>
      <c r="J12495"/>
      <c r="K12495" s="1"/>
      <c r="L12495" s="2"/>
    </row>
    <row r="12496" spans="1:12" x14ac:dyDescent="0.2">
      <c r="A12496"/>
      <c r="B12496"/>
      <c r="C12496"/>
      <c r="D12496"/>
      <c r="E12496"/>
      <c r="F12496"/>
      <c r="G12496"/>
      <c r="H12496"/>
      <c r="I12496"/>
      <c r="J12496"/>
      <c r="K12496" s="1"/>
      <c r="L12496" s="2"/>
    </row>
    <row r="12497" spans="1:12" x14ac:dyDescent="0.2">
      <c r="A12497"/>
      <c r="B12497"/>
      <c r="C12497"/>
      <c r="D12497"/>
      <c r="E12497"/>
      <c r="F12497"/>
      <c r="G12497"/>
      <c r="H12497"/>
      <c r="I12497"/>
      <c r="J12497"/>
      <c r="K12497" s="1"/>
      <c r="L12497" s="2"/>
    </row>
    <row r="12498" spans="1:12" x14ac:dyDescent="0.2">
      <c r="A12498"/>
      <c r="B12498"/>
      <c r="C12498"/>
      <c r="D12498"/>
      <c r="E12498"/>
      <c r="F12498"/>
      <c r="G12498"/>
      <c r="H12498"/>
      <c r="I12498"/>
      <c r="J12498"/>
      <c r="K12498" s="1"/>
      <c r="L12498" s="2"/>
    </row>
    <row r="12499" spans="1:12" x14ac:dyDescent="0.2">
      <c r="A12499"/>
      <c r="B12499"/>
      <c r="C12499"/>
      <c r="D12499"/>
      <c r="E12499"/>
      <c r="F12499"/>
      <c r="G12499"/>
      <c r="H12499"/>
      <c r="I12499"/>
      <c r="J12499"/>
      <c r="K12499" s="1"/>
      <c r="L12499" s="2"/>
    </row>
    <row r="12500" spans="1:12" x14ac:dyDescent="0.2">
      <c r="A12500"/>
      <c r="B12500"/>
      <c r="C12500"/>
      <c r="D12500"/>
      <c r="E12500"/>
      <c r="F12500"/>
      <c r="G12500"/>
      <c r="H12500"/>
      <c r="I12500"/>
      <c r="J12500"/>
      <c r="K12500" s="1"/>
      <c r="L12500" s="2"/>
    </row>
    <row r="12501" spans="1:12" x14ac:dyDescent="0.2">
      <c r="A12501"/>
      <c r="B12501"/>
      <c r="C12501"/>
      <c r="D12501"/>
      <c r="E12501"/>
      <c r="F12501"/>
      <c r="G12501"/>
      <c r="H12501"/>
      <c r="I12501"/>
      <c r="J12501"/>
      <c r="K12501" s="1"/>
      <c r="L12501" s="2"/>
    </row>
    <row r="12502" spans="1:12" x14ac:dyDescent="0.2">
      <c r="A12502"/>
      <c r="B12502"/>
      <c r="C12502"/>
      <c r="D12502"/>
      <c r="E12502"/>
      <c r="F12502"/>
      <c r="G12502"/>
      <c r="H12502"/>
      <c r="I12502"/>
      <c r="J12502"/>
      <c r="K12502" s="1"/>
      <c r="L12502" s="2"/>
    </row>
    <row r="12503" spans="1:12" x14ac:dyDescent="0.2">
      <c r="A12503"/>
      <c r="B12503"/>
      <c r="C12503"/>
      <c r="D12503"/>
      <c r="E12503"/>
      <c r="F12503"/>
      <c r="G12503"/>
      <c r="H12503"/>
      <c r="I12503"/>
      <c r="J12503"/>
      <c r="K12503" s="1"/>
      <c r="L12503" s="2"/>
    </row>
    <row r="12504" spans="1:12" x14ac:dyDescent="0.2">
      <c r="A12504"/>
      <c r="B12504"/>
      <c r="C12504"/>
      <c r="D12504"/>
      <c r="E12504"/>
      <c r="F12504"/>
      <c r="G12504"/>
      <c r="H12504"/>
      <c r="I12504"/>
      <c r="J12504"/>
      <c r="K12504" s="1"/>
      <c r="L12504" s="2"/>
    </row>
    <row r="12505" spans="1:12" x14ac:dyDescent="0.2">
      <c r="A12505"/>
      <c r="B12505"/>
      <c r="C12505"/>
      <c r="D12505"/>
      <c r="E12505"/>
      <c r="F12505"/>
      <c r="G12505"/>
      <c r="H12505"/>
      <c r="I12505"/>
      <c r="J12505"/>
      <c r="K12505" s="1"/>
      <c r="L12505" s="2"/>
    </row>
    <row r="12506" spans="1:12" x14ac:dyDescent="0.2">
      <c r="A12506"/>
      <c r="B12506"/>
      <c r="C12506"/>
      <c r="D12506"/>
      <c r="E12506"/>
      <c r="F12506"/>
      <c r="G12506"/>
      <c r="H12506"/>
      <c r="I12506"/>
      <c r="J12506"/>
      <c r="K12506" s="1"/>
      <c r="L12506" s="2"/>
    </row>
    <row r="12507" spans="1:12" x14ac:dyDescent="0.2">
      <c r="A12507"/>
      <c r="B12507"/>
      <c r="C12507"/>
      <c r="D12507"/>
      <c r="E12507"/>
      <c r="F12507"/>
      <c r="G12507"/>
      <c r="H12507"/>
      <c r="I12507"/>
      <c r="J12507"/>
      <c r="K12507" s="1"/>
      <c r="L12507" s="2"/>
    </row>
    <row r="12508" spans="1:12" x14ac:dyDescent="0.2">
      <c r="A12508"/>
      <c r="B12508"/>
      <c r="C12508"/>
      <c r="D12508"/>
      <c r="E12508"/>
      <c r="F12508"/>
      <c r="G12508"/>
      <c r="H12508"/>
      <c r="I12508"/>
      <c r="J12508"/>
      <c r="K12508" s="1"/>
      <c r="L12508" s="2"/>
    </row>
    <row r="12509" spans="1:12" x14ac:dyDescent="0.2">
      <c r="A12509"/>
      <c r="B12509"/>
      <c r="C12509"/>
      <c r="D12509"/>
      <c r="E12509"/>
      <c r="F12509"/>
      <c r="G12509"/>
      <c r="H12509"/>
      <c r="I12509"/>
      <c r="J12509"/>
      <c r="K12509" s="1"/>
      <c r="L12509" s="2"/>
    </row>
    <row r="12510" spans="1:12" x14ac:dyDescent="0.2">
      <c r="A12510"/>
      <c r="B12510"/>
      <c r="C12510"/>
      <c r="D12510"/>
      <c r="E12510"/>
      <c r="F12510"/>
      <c r="G12510"/>
      <c r="H12510"/>
      <c r="I12510"/>
      <c r="J12510"/>
      <c r="K12510" s="1"/>
      <c r="L12510" s="2"/>
    </row>
    <row r="12511" spans="1:12" x14ac:dyDescent="0.2">
      <c r="A12511"/>
      <c r="B12511"/>
      <c r="C12511"/>
      <c r="D12511"/>
      <c r="E12511"/>
      <c r="F12511"/>
      <c r="G12511"/>
      <c r="H12511"/>
      <c r="I12511"/>
      <c r="J12511"/>
      <c r="K12511" s="1"/>
      <c r="L12511" s="2"/>
    </row>
    <row r="12512" spans="1:12" x14ac:dyDescent="0.2">
      <c r="A12512"/>
      <c r="B12512"/>
      <c r="C12512"/>
      <c r="D12512"/>
      <c r="E12512"/>
      <c r="F12512"/>
      <c r="G12512"/>
      <c r="H12512"/>
      <c r="I12512"/>
      <c r="J12512"/>
      <c r="K12512" s="1"/>
      <c r="L12512" s="2"/>
    </row>
    <row r="12513" spans="1:12" x14ac:dyDescent="0.2">
      <c r="A12513"/>
      <c r="B12513"/>
      <c r="C12513"/>
      <c r="D12513"/>
      <c r="E12513"/>
      <c r="F12513"/>
      <c r="G12513"/>
      <c r="H12513"/>
      <c r="I12513"/>
      <c r="J12513"/>
      <c r="K12513" s="1"/>
      <c r="L12513" s="2"/>
    </row>
    <row r="12514" spans="1:12" x14ac:dyDescent="0.2">
      <c r="A12514"/>
      <c r="B12514"/>
      <c r="C12514"/>
      <c r="D12514"/>
      <c r="E12514"/>
      <c r="F12514"/>
      <c r="G12514"/>
      <c r="H12514"/>
      <c r="I12514"/>
      <c r="J12514"/>
      <c r="K12514" s="1"/>
      <c r="L12514" s="2"/>
    </row>
    <row r="12515" spans="1:12" x14ac:dyDescent="0.2">
      <c r="A12515"/>
      <c r="B12515"/>
      <c r="C12515"/>
      <c r="D12515"/>
      <c r="E12515"/>
      <c r="F12515"/>
      <c r="G12515"/>
      <c r="H12515"/>
      <c r="I12515"/>
      <c r="J12515"/>
      <c r="K12515" s="1"/>
      <c r="L12515" s="2"/>
    </row>
    <row r="12516" spans="1:12" x14ac:dyDescent="0.2">
      <c r="A12516"/>
      <c r="B12516"/>
      <c r="C12516"/>
      <c r="D12516"/>
      <c r="E12516"/>
      <c r="F12516"/>
      <c r="G12516"/>
      <c r="H12516"/>
      <c r="I12516"/>
      <c r="J12516"/>
      <c r="K12516" s="1"/>
      <c r="L12516" s="2"/>
    </row>
    <row r="12517" spans="1:12" x14ac:dyDescent="0.2">
      <c r="A12517"/>
      <c r="B12517"/>
      <c r="C12517"/>
      <c r="D12517"/>
      <c r="E12517"/>
      <c r="F12517"/>
      <c r="G12517"/>
      <c r="H12517"/>
      <c r="I12517"/>
      <c r="J12517"/>
      <c r="K12517" s="1"/>
      <c r="L12517" s="2"/>
    </row>
    <row r="12518" spans="1:12" x14ac:dyDescent="0.2">
      <c r="A12518"/>
      <c r="B12518"/>
      <c r="C12518"/>
      <c r="D12518"/>
      <c r="E12518"/>
      <c r="F12518"/>
      <c r="G12518"/>
      <c r="H12518"/>
      <c r="I12518"/>
      <c r="J12518"/>
      <c r="K12518" s="1"/>
      <c r="L12518" s="2"/>
    </row>
    <row r="12519" spans="1:12" x14ac:dyDescent="0.2">
      <c r="A12519"/>
      <c r="B12519"/>
      <c r="C12519"/>
      <c r="D12519"/>
      <c r="E12519"/>
      <c r="F12519"/>
      <c r="G12519"/>
      <c r="H12519"/>
      <c r="I12519"/>
      <c r="J12519"/>
      <c r="K12519" s="1"/>
      <c r="L12519" s="2"/>
    </row>
    <row r="12520" spans="1:12" x14ac:dyDescent="0.2">
      <c r="A12520"/>
      <c r="B12520"/>
      <c r="C12520"/>
      <c r="D12520"/>
      <c r="E12520"/>
      <c r="F12520"/>
      <c r="G12520"/>
      <c r="H12520"/>
      <c r="I12520"/>
      <c r="J12520"/>
      <c r="K12520" s="1"/>
      <c r="L12520" s="2"/>
    </row>
    <row r="12521" spans="1:12" x14ac:dyDescent="0.2">
      <c r="A12521"/>
      <c r="B12521"/>
      <c r="C12521"/>
      <c r="D12521"/>
      <c r="E12521"/>
      <c r="F12521"/>
      <c r="G12521"/>
      <c r="H12521"/>
      <c r="I12521"/>
      <c r="J12521"/>
      <c r="K12521" s="1"/>
      <c r="L12521" s="2"/>
    </row>
    <row r="12522" spans="1:12" x14ac:dyDescent="0.2">
      <c r="A12522"/>
      <c r="B12522"/>
      <c r="C12522"/>
      <c r="D12522"/>
      <c r="E12522"/>
      <c r="F12522"/>
      <c r="G12522"/>
      <c r="H12522"/>
      <c r="I12522"/>
      <c r="J12522"/>
      <c r="K12522" s="1"/>
      <c r="L12522" s="2"/>
    </row>
    <row r="12523" spans="1:12" x14ac:dyDescent="0.2">
      <c r="A12523"/>
      <c r="B12523"/>
      <c r="C12523"/>
      <c r="D12523"/>
      <c r="E12523"/>
      <c r="F12523"/>
      <c r="G12523"/>
      <c r="H12523"/>
      <c r="I12523"/>
      <c r="J12523"/>
      <c r="K12523" s="1"/>
      <c r="L12523" s="2"/>
    </row>
    <row r="12524" spans="1:12" x14ac:dyDescent="0.2">
      <c r="A12524"/>
      <c r="B12524"/>
      <c r="C12524"/>
      <c r="D12524"/>
      <c r="E12524"/>
      <c r="F12524"/>
      <c r="G12524"/>
      <c r="H12524"/>
      <c r="I12524"/>
      <c r="J12524"/>
      <c r="K12524" s="1"/>
      <c r="L12524" s="2"/>
    </row>
    <row r="12525" spans="1:12" x14ac:dyDescent="0.2">
      <c r="A12525"/>
      <c r="B12525"/>
      <c r="C12525"/>
      <c r="D12525"/>
      <c r="E12525"/>
      <c r="F12525"/>
      <c r="G12525"/>
      <c r="H12525"/>
      <c r="I12525"/>
      <c r="J12525"/>
      <c r="K12525" s="1"/>
      <c r="L12525" s="2"/>
    </row>
    <row r="12526" spans="1:12" x14ac:dyDescent="0.2">
      <c r="A12526"/>
      <c r="B12526"/>
      <c r="C12526"/>
      <c r="D12526"/>
      <c r="E12526"/>
      <c r="F12526"/>
      <c r="G12526"/>
      <c r="H12526"/>
      <c r="I12526"/>
      <c r="J12526"/>
      <c r="K12526" s="1"/>
      <c r="L12526" s="2"/>
    </row>
    <row r="12527" spans="1:12" x14ac:dyDescent="0.2">
      <c r="A12527"/>
      <c r="B12527"/>
      <c r="C12527"/>
      <c r="D12527"/>
      <c r="E12527"/>
      <c r="F12527"/>
      <c r="G12527"/>
      <c r="H12527"/>
      <c r="I12527"/>
      <c r="J12527"/>
      <c r="K12527" s="1"/>
      <c r="L12527" s="2"/>
    </row>
    <row r="12528" spans="1:12" x14ac:dyDescent="0.2">
      <c r="A12528"/>
      <c r="B12528"/>
      <c r="C12528"/>
      <c r="D12528"/>
      <c r="E12528"/>
      <c r="F12528"/>
      <c r="G12528"/>
      <c r="H12528"/>
      <c r="I12528"/>
      <c r="J12528"/>
      <c r="K12528" s="1"/>
      <c r="L12528" s="2"/>
    </row>
    <row r="12529" spans="1:12" x14ac:dyDescent="0.2">
      <c r="A12529"/>
      <c r="B12529"/>
      <c r="C12529"/>
      <c r="D12529"/>
      <c r="E12529"/>
      <c r="F12529"/>
      <c r="G12529"/>
      <c r="H12529"/>
      <c r="I12529"/>
      <c r="J12529"/>
      <c r="K12529" s="1"/>
      <c r="L12529" s="2"/>
    </row>
    <row r="12530" spans="1:12" x14ac:dyDescent="0.2">
      <c r="A12530"/>
      <c r="B12530"/>
      <c r="C12530"/>
      <c r="D12530"/>
      <c r="E12530"/>
      <c r="F12530"/>
      <c r="G12530"/>
      <c r="H12530"/>
      <c r="I12530"/>
      <c r="J12530"/>
      <c r="K12530" s="1"/>
      <c r="L12530" s="2"/>
    </row>
    <row r="12531" spans="1:12" x14ac:dyDescent="0.2">
      <c r="A12531"/>
      <c r="B12531"/>
      <c r="C12531"/>
      <c r="D12531"/>
      <c r="E12531"/>
      <c r="F12531"/>
      <c r="G12531"/>
      <c r="H12531"/>
      <c r="I12531"/>
      <c r="J12531"/>
      <c r="K12531" s="1"/>
      <c r="L12531" s="2"/>
    </row>
    <row r="12532" spans="1:12" x14ac:dyDescent="0.2">
      <c r="A12532"/>
      <c r="B12532"/>
      <c r="C12532"/>
      <c r="D12532"/>
      <c r="E12532"/>
      <c r="F12532"/>
      <c r="G12532"/>
      <c r="H12532"/>
      <c r="I12532"/>
      <c r="J12532"/>
      <c r="K12532" s="1"/>
      <c r="L12532" s="2"/>
    </row>
    <row r="12533" spans="1:12" x14ac:dyDescent="0.2">
      <c r="A12533"/>
      <c r="B12533"/>
      <c r="C12533"/>
      <c r="D12533"/>
      <c r="E12533"/>
      <c r="F12533"/>
      <c r="G12533"/>
      <c r="H12533"/>
      <c r="I12533"/>
      <c r="J12533"/>
      <c r="K12533" s="1"/>
      <c r="L12533" s="2"/>
    </row>
    <row r="12534" spans="1:12" x14ac:dyDescent="0.2">
      <c r="A12534"/>
      <c r="B12534"/>
      <c r="C12534"/>
      <c r="D12534"/>
      <c r="E12534"/>
      <c r="F12534"/>
      <c r="G12534"/>
      <c r="H12534"/>
      <c r="I12534"/>
      <c r="J12534"/>
      <c r="K12534" s="1"/>
      <c r="L12534" s="2"/>
    </row>
    <row r="12535" spans="1:12" x14ac:dyDescent="0.2">
      <c r="A12535"/>
      <c r="B12535"/>
      <c r="C12535"/>
      <c r="D12535"/>
      <c r="E12535"/>
      <c r="F12535"/>
      <c r="G12535"/>
      <c r="H12535"/>
      <c r="I12535"/>
      <c r="J12535"/>
      <c r="K12535" s="1"/>
      <c r="L12535" s="2"/>
    </row>
    <row r="12536" spans="1:12" x14ac:dyDescent="0.2">
      <c r="A12536"/>
      <c r="B12536"/>
      <c r="C12536"/>
      <c r="D12536"/>
      <c r="E12536"/>
      <c r="F12536"/>
      <c r="G12536"/>
      <c r="H12536"/>
      <c r="I12536"/>
      <c r="J12536"/>
      <c r="K12536" s="1"/>
      <c r="L12536" s="2"/>
    </row>
    <row r="12537" spans="1:12" x14ac:dyDescent="0.2">
      <c r="A12537"/>
      <c r="B12537"/>
      <c r="C12537"/>
      <c r="D12537"/>
      <c r="E12537"/>
      <c r="F12537"/>
      <c r="G12537"/>
      <c r="H12537"/>
      <c r="I12537"/>
      <c r="J12537"/>
      <c r="K12537" s="1"/>
      <c r="L12537" s="2"/>
    </row>
    <row r="12538" spans="1:12" x14ac:dyDescent="0.2">
      <c r="A12538"/>
      <c r="B12538"/>
      <c r="C12538"/>
      <c r="D12538"/>
      <c r="E12538"/>
      <c r="F12538"/>
      <c r="G12538"/>
      <c r="H12538"/>
      <c r="I12538"/>
      <c r="J12538"/>
      <c r="K12538" s="1"/>
      <c r="L12538" s="2"/>
    </row>
    <row r="12539" spans="1:12" x14ac:dyDescent="0.2">
      <c r="A12539"/>
      <c r="B12539"/>
      <c r="C12539"/>
      <c r="D12539"/>
      <c r="E12539"/>
      <c r="F12539"/>
      <c r="G12539"/>
      <c r="H12539"/>
      <c r="I12539"/>
      <c r="J12539"/>
      <c r="K12539" s="1"/>
      <c r="L12539" s="2"/>
    </row>
    <row r="12540" spans="1:12" x14ac:dyDescent="0.2">
      <c r="A12540"/>
      <c r="B12540"/>
      <c r="C12540"/>
      <c r="D12540"/>
      <c r="E12540"/>
      <c r="F12540"/>
      <c r="G12540"/>
      <c r="H12540"/>
      <c r="I12540"/>
      <c r="J12540"/>
      <c r="K12540" s="1"/>
      <c r="L12540" s="2"/>
    </row>
    <row r="12541" spans="1:12" x14ac:dyDescent="0.2">
      <c r="A12541"/>
      <c r="B12541"/>
      <c r="C12541"/>
      <c r="D12541"/>
      <c r="E12541"/>
      <c r="F12541"/>
      <c r="G12541"/>
      <c r="H12541"/>
      <c r="I12541"/>
      <c r="J12541"/>
      <c r="K12541" s="1"/>
      <c r="L12541" s="2"/>
    </row>
    <row r="12542" spans="1:12" x14ac:dyDescent="0.2">
      <c r="A12542"/>
      <c r="B12542"/>
      <c r="C12542"/>
      <c r="D12542"/>
      <c r="E12542"/>
      <c r="F12542"/>
      <c r="G12542"/>
      <c r="H12542"/>
      <c r="I12542"/>
      <c r="J12542"/>
      <c r="K12542" s="1"/>
      <c r="L12542" s="2"/>
    </row>
    <row r="12543" spans="1:12" x14ac:dyDescent="0.2">
      <c r="A12543"/>
      <c r="B12543"/>
      <c r="C12543"/>
      <c r="D12543"/>
      <c r="E12543"/>
      <c r="F12543"/>
      <c r="G12543"/>
      <c r="H12543"/>
      <c r="I12543"/>
      <c r="J12543"/>
      <c r="K12543" s="1"/>
      <c r="L12543" s="2"/>
    </row>
    <row r="12544" spans="1:12" x14ac:dyDescent="0.2">
      <c r="A12544"/>
      <c r="B12544"/>
      <c r="C12544"/>
      <c r="D12544"/>
      <c r="E12544"/>
      <c r="F12544"/>
      <c r="G12544"/>
      <c r="H12544"/>
      <c r="I12544"/>
      <c r="J12544"/>
      <c r="K12544" s="1"/>
      <c r="L12544" s="2"/>
    </row>
    <row r="12545" spans="1:12" x14ac:dyDescent="0.2">
      <c r="A12545"/>
      <c r="B12545"/>
      <c r="C12545"/>
      <c r="D12545"/>
      <c r="E12545"/>
      <c r="F12545"/>
      <c r="G12545"/>
      <c r="H12545"/>
      <c r="I12545"/>
      <c r="J12545"/>
      <c r="K12545" s="1"/>
      <c r="L12545" s="2"/>
    </row>
    <row r="12546" spans="1:12" x14ac:dyDescent="0.2">
      <c r="A12546"/>
      <c r="B12546"/>
      <c r="C12546"/>
      <c r="D12546"/>
      <c r="E12546"/>
      <c r="F12546"/>
      <c r="G12546"/>
      <c r="H12546"/>
      <c r="I12546"/>
      <c r="J12546"/>
      <c r="K12546" s="1"/>
      <c r="L12546" s="2"/>
    </row>
    <row r="12547" spans="1:12" x14ac:dyDescent="0.2">
      <c r="A12547"/>
      <c r="B12547"/>
      <c r="C12547"/>
      <c r="D12547"/>
      <c r="E12547"/>
      <c r="F12547"/>
      <c r="G12547"/>
      <c r="H12547"/>
      <c r="I12547"/>
      <c r="J12547"/>
      <c r="K12547" s="1"/>
      <c r="L12547" s="2"/>
    </row>
    <row r="12548" spans="1:12" x14ac:dyDescent="0.2">
      <c r="A12548"/>
      <c r="B12548"/>
      <c r="C12548"/>
      <c r="D12548"/>
      <c r="E12548"/>
      <c r="F12548"/>
      <c r="G12548"/>
      <c r="H12548"/>
      <c r="I12548"/>
      <c r="J12548"/>
      <c r="K12548" s="1"/>
      <c r="L12548" s="2"/>
    </row>
    <row r="12549" spans="1:12" x14ac:dyDescent="0.2">
      <c r="A12549"/>
      <c r="B12549"/>
      <c r="C12549"/>
      <c r="D12549"/>
      <c r="E12549"/>
      <c r="F12549"/>
      <c r="G12549"/>
      <c r="H12549"/>
      <c r="I12549"/>
      <c r="J12549"/>
      <c r="K12549" s="1"/>
      <c r="L12549" s="2"/>
    </row>
    <row r="12550" spans="1:12" x14ac:dyDescent="0.2">
      <c r="A12550"/>
      <c r="B12550"/>
      <c r="C12550"/>
      <c r="D12550"/>
      <c r="E12550"/>
      <c r="F12550"/>
      <c r="G12550"/>
      <c r="H12550"/>
      <c r="I12550"/>
      <c r="J12550"/>
      <c r="K12550" s="1"/>
      <c r="L12550" s="2"/>
    </row>
    <row r="12551" spans="1:12" x14ac:dyDescent="0.2">
      <c r="A12551"/>
      <c r="B12551"/>
      <c r="C12551"/>
      <c r="D12551"/>
      <c r="E12551"/>
      <c r="F12551"/>
      <c r="G12551"/>
      <c r="H12551"/>
      <c r="I12551"/>
      <c r="J12551"/>
      <c r="K12551" s="1"/>
      <c r="L12551" s="2"/>
    </row>
    <row r="12552" spans="1:12" x14ac:dyDescent="0.2">
      <c r="A12552"/>
      <c r="B12552"/>
      <c r="C12552"/>
      <c r="D12552"/>
      <c r="E12552"/>
      <c r="F12552"/>
      <c r="G12552"/>
      <c r="H12552"/>
      <c r="I12552"/>
      <c r="J12552"/>
      <c r="K12552" s="1"/>
      <c r="L12552" s="2"/>
    </row>
    <row r="12553" spans="1:12" x14ac:dyDescent="0.2">
      <c r="A12553"/>
      <c r="B12553"/>
      <c r="C12553"/>
      <c r="D12553"/>
      <c r="E12553"/>
      <c r="F12553"/>
      <c r="G12553"/>
      <c r="H12553"/>
      <c r="I12553"/>
      <c r="J12553"/>
      <c r="K12553" s="1"/>
      <c r="L12553" s="2"/>
    </row>
    <row r="12554" spans="1:12" x14ac:dyDescent="0.2">
      <c r="A12554"/>
      <c r="B12554"/>
      <c r="C12554"/>
      <c r="D12554"/>
      <c r="E12554"/>
      <c r="F12554"/>
      <c r="G12554"/>
      <c r="H12554"/>
      <c r="I12554"/>
      <c r="J12554"/>
      <c r="K12554" s="1"/>
      <c r="L12554" s="2"/>
    </row>
    <row r="12555" spans="1:12" x14ac:dyDescent="0.2">
      <c r="A12555"/>
      <c r="B12555"/>
      <c r="C12555"/>
      <c r="D12555"/>
      <c r="E12555"/>
      <c r="F12555"/>
      <c r="G12555"/>
      <c r="H12555"/>
      <c r="I12555"/>
      <c r="J12555"/>
      <c r="K12555" s="1"/>
      <c r="L12555" s="2"/>
    </row>
    <row r="12556" spans="1:12" x14ac:dyDescent="0.2">
      <c r="A12556"/>
      <c r="B12556"/>
      <c r="C12556"/>
      <c r="D12556"/>
      <c r="E12556"/>
      <c r="F12556"/>
      <c r="G12556"/>
      <c r="H12556"/>
      <c r="I12556"/>
      <c r="J12556"/>
      <c r="K12556" s="1"/>
      <c r="L12556" s="2"/>
    </row>
    <row r="12557" spans="1:12" x14ac:dyDescent="0.2">
      <c r="A12557"/>
      <c r="B12557"/>
      <c r="C12557"/>
      <c r="D12557"/>
      <c r="E12557"/>
      <c r="F12557"/>
      <c r="G12557"/>
      <c r="H12557"/>
      <c r="I12557"/>
      <c r="J12557"/>
      <c r="K12557" s="1"/>
      <c r="L12557" s="2"/>
    </row>
    <row r="12558" spans="1:12" x14ac:dyDescent="0.2">
      <c r="A12558"/>
      <c r="B12558"/>
      <c r="C12558"/>
      <c r="D12558"/>
      <c r="E12558"/>
      <c r="F12558"/>
      <c r="G12558"/>
      <c r="H12558"/>
      <c r="I12558"/>
      <c r="J12558"/>
      <c r="K12558" s="1"/>
      <c r="L12558" s="2"/>
    </row>
    <row r="12559" spans="1:12" x14ac:dyDescent="0.2">
      <c r="A12559"/>
      <c r="B12559"/>
      <c r="C12559"/>
      <c r="D12559"/>
      <c r="E12559"/>
      <c r="F12559"/>
      <c r="G12559"/>
      <c r="H12559"/>
      <c r="I12559"/>
      <c r="J12559"/>
      <c r="K12559" s="1"/>
      <c r="L12559" s="2"/>
    </row>
    <row r="12560" spans="1:12" x14ac:dyDescent="0.2">
      <c r="A12560"/>
      <c r="B12560"/>
      <c r="C12560"/>
      <c r="D12560"/>
      <c r="E12560"/>
      <c r="F12560"/>
      <c r="G12560"/>
      <c r="H12560"/>
      <c r="I12560"/>
      <c r="J12560"/>
      <c r="K12560" s="1"/>
      <c r="L12560" s="2"/>
    </row>
    <row r="12561" spans="1:12" x14ac:dyDescent="0.2">
      <c r="A12561"/>
      <c r="B12561"/>
      <c r="C12561"/>
      <c r="D12561"/>
      <c r="E12561"/>
      <c r="F12561"/>
      <c r="G12561"/>
      <c r="H12561"/>
      <c r="I12561"/>
      <c r="J12561"/>
      <c r="K12561" s="1"/>
      <c r="L12561" s="2"/>
    </row>
    <row r="12562" spans="1:12" x14ac:dyDescent="0.2">
      <c r="A12562"/>
      <c r="B12562"/>
      <c r="C12562"/>
      <c r="D12562"/>
      <c r="E12562"/>
      <c r="F12562"/>
      <c r="G12562"/>
      <c r="H12562"/>
      <c r="I12562"/>
      <c r="J12562"/>
      <c r="K12562" s="1"/>
      <c r="L12562" s="2"/>
    </row>
    <row r="12563" spans="1:12" x14ac:dyDescent="0.2">
      <c r="A12563"/>
      <c r="B12563"/>
      <c r="C12563"/>
      <c r="D12563"/>
      <c r="E12563"/>
      <c r="F12563"/>
      <c r="G12563"/>
      <c r="H12563"/>
      <c r="I12563"/>
      <c r="J12563"/>
      <c r="K12563" s="1"/>
      <c r="L12563" s="2"/>
    </row>
    <row r="12564" spans="1:12" x14ac:dyDescent="0.2">
      <c r="A12564"/>
      <c r="B12564"/>
      <c r="C12564"/>
      <c r="D12564"/>
      <c r="E12564"/>
      <c r="F12564"/>
      <c r="G12564"/>
      <c r="H12564"/>
      <c r="I12564"/>
      <c r="J12564"/>
      <c r="K12564" s="1"/>
      <c r="L12564" s="2"/>
    </row>
    <row r="12565" spans="1:12" x14ac:dyDescent="0.2">
      <c r="A12565"/>
      <c r="B12565"/>
      <c r="C12565"/>
      <c r="D12565"/>
      <c r="E12565"/>
      <c r="F12565"/>
      <c r="G12565"/>
      <c r="H12565"/>
      <c r="I12565"/>
      <c r="J12565"/>
      <c r="K12565" s="1"/>
      <c r="L12565" s="2"/>
    </row>
    <row r="12566" spans="1:12" x14ac:dyDescent="0.2">
      <c r="A12566"/>
      <c r="B12566"/>
      <c r="C12566"/>
      <c r="D12566"/>
      <c r="E12566"/>
      <c r="F12566"/>
      <c r="G12566"/>
      <c r="H12566"/>
      <c r="I12566"/>
      <c r="J12566"/>
      <c r="K12566" s="1"/>
      <c r="L12566" s="2"/>
    </row>
    <row r="12567" spans="1:12" x14ac:dyDescent="0.2">
      <c r="A12567"/>
      <c r="B12567"/>
      <c r="C12567"/>
      <c r="D12567"/>
      <c r="E12567"/>
      <c r="F12567"/>
      <c r="G12567"/>
      <c r="H12567"/>
      <c r="I12567"/>
      <c r="J12567"/>
      <c r="K12567" s="1"/>
      <c r="L12567" s="2"/>
    </row>
    <row r="12568" spans="1:12" x14ac:dyDescent="0.2">
      <c r="A12568"/>
      <c r="B12568"/>
      <c r="C12568"/>
      <c r="D12568"/>
      <c r="E12568"/>
      <c r="F12568"/>
      <c r="G12568"/>
      <c r="H12568"/>
      <c r="I12568"/>
      <c r="J12568"/>
      <c r="K12568" s="1"/>
      <c r="L12568" s="2"/>
    </row>
    <row r="12569" spans="1:12" x14ac:dyDescent="0.2">
      <c r="A12569"/>
      <c r="B12569"/>
      <c r="C12569"/>
      <c r="D12569"/>
      <c r="E12569"/>
      <c r="F12569"/>
      <c r="G12569"/>
      <c r="H12569"/>
      <c r="I12569"/>
      <c r="J12569"/>
      <c r="K12569" s="1"/>
      <c r="L12569" s="2"/>
    </row>
    <row r="12570" spans="1:12" x14ac:dyDescent="0.2">
      <c r="A12570"/>
      <c r="B12570"/>
      <c r="C12570"/>
      <c r="D12570"/>
      <c r="E12570"/>
      <c r="F12570"/>
      <c r="G12570"/>
      <c r="H12570"/>
      <c r="I12570"/>
      <c r="J12570"/>
      <c r="K12570" s="1"/>
      <c r="L12570" s="2"/>
    </row>
    <row r="12571" spans="1:12" x14ac:dyDescent="0.2">
      <c r="A12571"/>
      <c r="B12571"/>
      <c r="C12571"/>
      <c r="D12571"/>
      <c r="E12571"/>
      <c r="F12571"/>
      <c r="G12571"/>
      <c r="H12571"/>
      <c r="I12571"/>
      <c r="J12571"/>
      <c r="K12571" s="1"/>
      <c r="L12571" s="2"/>
    </row>
    <row r="12572" spans="1:12" x14ac:dyDescent="0.2">
      <c r="A12572"/>
      <c r="B12572"/>
      <c r="C12572"/>
      <c r="D12572"/>
      <c r="E12572"/>
      <c r="F12572"/>
      <c r="G12572"/>
      <c r="H12572"/>
      <c r="I12572"/>
      <c r="J12572"/>
      <c r="K12572" s="1"/>
      <c r="L12572" s="2"/>
    </row>
    <row r="12573" spans="1:12" x14ac:dyDescent="0.2">
      <c r="A12573"/>
      <c r="B12573"/>
      <c r="C12573"/>
      <c r="D12573"/>
      <c r="E12573"/>
      <c r="F12573"/>
      <c r="G12573"/>
      <c r="H12573"/>
      <c r="I12573"/>
      <c r="J12573"/>
      <c r="K12573" s="1"/>
      <c r="L12573" s="2"/>
    </row>
    <row r="12574" spans="1:12" x14ac:dyDescent="0.2">
      <c r="A12574"/>
      <c r="B12574"/>
      <c r="C12574"/>
      <c r="D12574"/>
      <c r="E12574"/>
      <c r="F12574"/>
      <c r="G12574"/>
      <c r="H12574"/>
      <c r="I12574"/>
      <c r="J12574"/>
      <c r="K12574" s="1"/>
      <c r="L12574" s="2"/>
    </row>
    <row r="12575" spans="1:12" x14ac:dyDescent="0.2">
      <c r="A12575"/>
      <c r="B12575"/>
      <c r="C12575"/>
      <c r="D12575"/>
      <c r="E12575"/>
      <c r="F12575"/>
      <c r="G12575"/>
      <c r="H12575"/>
      <c r="I12575"/>
      <c r="J12575"/>
      <c r="K12575" s="1"/>
      <c r="L12575" s="2"/>
    </row>
    <row r="12576" spans="1:12" x14ac:dyDescent="0.2">
      <c r="A12576"/>
      <c r="B12576"/>
      <c r="C12576"/>
      <c r="D12576"/>
      <c r="E12576"/>
      <c r="F12576"/>
      <c r="G12576"/>
      <c r="H12576"/>
      <c r="I12576"/>
      <c r="J12576"/>
      <c r="K12576" s="1"/>
      <c r="L12576" s="2"/>
    </row>
    <row r="12577" spans="1:12" x14ac:dyDescent="0.2">
      <c r="A12577"/>
      <c r="B12577"/>
      <c r="C12577"/>
      <c r="D12577"/>
      <c r="E12577"/>
      <c r="F12577"/>
      <c r="G12577"/>
      <c r="H12577"/>
      <c r="I12577"/>
      <c r="J12577"/>
      <c r="K12577" s="1"/>
      <c r="L12577" s="2"/>
    </row>
    <row r="12578" spans="1:12" x14ac:dyDescent="0.2">
      <c r="A12578"/>
      <c r="B12578"/>
      <c r="C12578"/>
      <c r="D12578"/>
      <c r="E12578"/>
      <c r="F12578"/>
      <c r="G12578"/>
      <c r="H12578"/>
      <c r="I12578"/>
      <c r="J12578"/>
      <c r="K12578" s="1"/>
      <c r="L12578" s="2"/>
    </row>
    <row r="12579" spans="1:12" x14ac:dyDescent="0.2">
      <c r="A12579"/>
      <c r="B12579"/>
      <c r="C12579"/>
      <c r="D12579"/>
      <c r="E12579"/>
      <c r="F12579"/>
      <c r="G12579"/>
      <c r="H12579"/>
      <c r="I12579"/>
      <c r="J12579"/>
      <c r="K12579" s="1"/>
      <c r="L12579" s="2"/>
    </row>
    <row r="12580" spans="1:12" x14ac:dyDescent="0.2">
      <c r="A12580"/>
      <c r="B12580"/>
      <c r="C12580"/>
      <c r="D12580"/>
      <c r="E12580"/>
      <c r="F12580"/>
      <c r="G12580"/>
      <c r="H12580"/>
      <c r="I12580"/>
      <c r="J12580"/>
      <c r="K12580" s="1"/>
      <c r="L12580" s="2"/>
    </row>
    <row r="12581" spans="1:12" x14ac:dyDescent="0.2">
      <c r="A12581"/>
      <c r="B12581"/>
      <c r="C12581"/>
      <c r="D12581"/>
      <c r="E12581"/>
      <c r="F12581"/>
      <c r="G12581"/>
      <c r="H12581"/>
      <c r="I12581"/>
      <c r="J12581"/>
      <c r="K12581" s="1"/>
      <c r="L12581" s="2"/>
    </row>
    <row r="12582" spans="1:12" x14ac:dyDescent="0.2">
      <c r="A12582"/>
      <c r="B12582"/>
      <c r="C12582"/>
      <c r="D12582"/>
      <c r="E12582"/>
      <c r="F12582"/>
      <c r="G12582"/>
      <c r="H12582"/>
      <c r="I12582"/>
      <c r="J12582"/>
      <c r="K12582" s="1"/>
      <c r="L12582" s="2"/>
    </row>
    <row r="12583" spans="1:12" x14ac:dyDescent="0.2">
      <c r="A12583"/>
      <c r="B12583"/>
      <c r="C12583"/>
      <c r="D12583"/>
      <c r="E12583"/>
      <c r="F12583"/>
      <c r="G12583"/>
      <c r="H12583"/>
      <c r="I12583"/>
      <c r="J12583"/>
      <c r="K12583" s="1"/>
      <c r="L12583" s="2"/>
    </row>
    <row r="12584" spans="1:12" x14ac:dyDescent="0.2">
      <c r="A12584"/>
      <c r="B12584"/>
      <c r="C12584"/>
      <c r="D12584"/>
      <c r="E12584"/>
      <c r="F12584"/>
      <c r="G12584"/>
      <c r="H12584"/>
      <c r="I12584"/>
      <c r="J12584"/>
      <c r="K12584" s="1"/>
      <c r="L12584" s="2"/>
    </row>
    <row r="12585" spans="1:12" x14ac:dyDescent="0.2">
      <c r="A12585"/>
      <c r="B12585"/>
      <c r="C12585"/>
      <c r="D12585"/>
      <c r="E12585"/>
      <c r="F12585"/>
      <c r="G12585"/>
      <c r="H12585"/>
      <c r="I12585"/>
      <c r="J12585"/>
      <c r="K12585" s="1"/>
      <c r="L12585" s="2"/>
    </row>
    <row r="12586" spans="1:12" x14ac:dyDescent="0.2">
      <c r="A12586"/>
      <c r="B12586"/>
      <c r="C12586"/>
      <c r="D12586"/>
      <c r="E12586"/>
      <c r="F12586"/>
      <c r="G12586"/>
      <c r="H12586"/>
      <c r="I12586"/>
      <c r="J12586"/>
      <c r="K12586" s="1"/>
      <c r="L12586" s="2"/>
    </row>
    <row r="12587" spans="1:12" x14ac:dyDescent="0.2">
      <c r="A12587"/>
      <c r="B12587"/>
      <c r="C12587"/>
      <c r="D12587"/>
      <c r="E12587"/>
      <c r="F12587"/>
      <c r="G12587"/>
      <c r="H12587"/>
      <c r="I12587"/>
      <c r="J12587"/>
      <c r="K12587" s="1"/>
      <c r="L12587" s="2"/>
    </row>
    <row r="12588" spans="1:12" x14ac:dyDescent="0.2">
      <c r="A12588"/>
      <c r="B12588"/>
      <c r="C12588"/>
      <c r="D12588"/>
      <c r="E12588"/>
      <c r="F12588"/>
      <c r="G12588"/>
      <c r="H12588"/>
      <c r="I12588"/>
      <c r="J12588"/>
      <c r="K12588" s="1"/>
      <c r="L12588" s="2"/>
    </row>
    <row r="12589" spans="1:12" x14ac:dyDescent="0.2">
      <c r="A12589"/>
      <c r="B12589"/>
      <c r="C12589"/>
      <c r="D12589"/>
      <c r="E12589"/>
      <c r="F12589"/>
      <c r="G12589"/>
      <c r="H12589"/>
      <c r="I12589"/>
      <c r="J12589"/>
      <c r="K12589" s="1"/>
      <c r="L12589" s="2"/>
    </row>
    <row r="12590" spans="1:12" x14ac:dyDescent="0.2">
      <c r="A12590"/>
      <c r="B12590"/>
      <c r="C12590"/>
      <c r="D12590"/>
      <c r="E12590"/>
      <c r="F12590"/>
      <c r="G12590"/>
      <c r="H12590"/>
      <c r="I12590"/>
      <c r="J12590"/>
      <c r="K12590" s="1"/>
      <c r="L12590" s="2"/>
    </row>
    <row r="12591" spans="1:12" x14ac:dyDescent="0.2">
      <c r="A12591"/>
      <c r="B12591"/>
      <c r="C12591"/>
      <c r="D12591"/>
      <c r="E12591"/>
      <c r="F12591"/>
      <c r="G12591"/>
      <c r="H12591"/>
      <c r="I12591"/>
      <c r="J12591"/>
      <c r="K12591" s="1"/>
      <c r="L12591" s="2"/>
    </row>
    <row r="12592" spans="1:12" x14ac:dyDescent="0.2">
      <c r="A12592"/>
      <c r="B12592"/>
      <c r="C12592"/>
      <c r="D12592"/>
      <c r="E12592"/>
      <c r="F12592"/>
      <c r="G12592"/>
      <c r="H12592"/>
      <c r="I12592"/>
      <c r="J12592"/>
      <c r="K12592" s="1"/>
      <c r="L12592" s="2"/>
    </row>
    <row r="12593" spans="1:12" x14ac:dyDescent="0.2">
      <c r="A12593"/>
      <c r="B12593"/>
      <c r="C12593"/>
      <c r="D12593"/>
      <c r="E12593"/>
      <c r="F12593"/>
      <c r="G12593"/>
      <c r="H12593"/>
      <c r="I12593"/>
      <c r="J12593"/>
      <c r="K12593" s="1"/>
      <c r="L12593" s="2"/>
    </row>
    <row r="12594" spans="1:12" x14ac:dyDescent="0.2">
      <c r="A12594"/>
      <c r="B12594"/>
      <c r="C12594"/>
      <c r="D12594"/>
      <c r="E12594"/>
      <c r="F12594"/>
      <c r="G12594"/>
      <c r="H12594"/>
      <c r="I12594"/>
      <c r="J12594"/>
      <c r="K12594" s="1"/>
      <c r="L12594" s="2"/>
    </row>
    <row r="12595" spans="1:12" x14ac:dyDescent="0.2">
      <c r="A12595"/>
      <c r="B12595"/>
      <c r="C12595"/>
      <c r="D12595"/>
      <c r="E12595"/>
      <c r="F12595"/>
      <c r="G12595"/>
      <c r="H12595"/>
      <c r="I12595"/>
      <c r="J12595"/>
      <c r="K12595" s="1"/>
      <c r="L12595" s="2"/>
    </row>
    <row r="12596" spans="1:12" x14ac:dyDescent="0.2">
      <c r="A12596"/>
      <c r="B12596"/>
      <c r="C12596"/>
      <c r="D12596"/>
      <c r="E12596"/>
      <c r="F12596"/>
      <c r="G12596"/>
      <c r="H12596"/>
      <c r="I12596"/>
      <c r="J12596"/>
      <c r="K12596" s="1"/>
      <c r="L12596" s="2"/>
    </row>
    <row r="12597" spans="1:12" x14ac:dyDescent="0.2">
      <c r="A12597"/>
      <c r="B12597"/>
      <c r="C12597"/>
      <c r="D12597"/>
      <c r="E12597"/>
      <c r="F12597"/>
      <c r="G12597"/>
      <c r="H12597"/>
      <c r="I12597"/>
      <c r="J12597"/>
      <c r="K12597" s="1"/>
      <c r="L12597" s="2"/>
    </row>
    <row r="12598" spans="1:12" x14ac:dyDescent="0.2">
      <c r="A12598"/>
      <c r="B12598"/>
      <c r="C12598"/>
      <c r="D12598"/>
      <c r="E12598"/>
      <c r="F12598"/>
      <c r="G12598"/>
      <c r="H12598"/>
      <c r="I12598"/>
      <c r="J12598"/>
      <c r="K12598" s="1"/>
      <c r="L12598" s="2"/>
    </row>
    <row r="12599" spans="1:12" x14ac:dyDescent="0.2">
      <c r="A12599"/>
      <c r="B12599"/>
      <c r="C12599"/>
      <c r="D12599"/>
      <c r="E12599"/>
      <c r="F12599"/>
      <c r="G12599"/>
      <c r="H12599"/>
      <c r="I12599"/>
      <c r="J12599"/>
      <c r="K12599" s="1"/>
      <c r="L12599" s="2"/>
    </row>
    <row r="12600" spans="1:12" x14ac:dyDescent="0.2">
      <c r="A12600"/>
      <c r="B12600"/>
      <c r="C12600"/>
      <c r="D12600"/>
      <c r="E12600"/>
      <c r="F12600"/>
      <c r="G12600"/>
      <c r="H12600"/>
      <c r="I12600"/>
      <c r="J12600"/>
      <c r="K12600" s="1"/>
      <c r="L12600" s="2"/>
    </row>
    <row r="12601" spans="1:12" x14ac:dyDescent="0.2">
      <c r="A12601"/>
      <c r="B12601"/>
      <c r="C12601"/>
      <c r="D12601"/>
      <c r="E12601"/>
      <c r="F12601"/>
      <c r="G12601"/>
      <c r="H12601"/>
      <c r="I12601"/>
      <c r="J12601"/>
      <c r="K12601" s="1"/>
      <c r="L12601" s="2"/>
    </row>
    <row r="12602" spans="1:12" x14ac:dyDescent="0.2">
      <c r="A12602"/>
      <c r="B12602"/>
      <c r="C12602"/>
      <c r="D12602"/>
      <c r="E12602"/>
      <c r="F12602"/>
      <c r="G12602"/>
      <c r="H12602"/>
      <c r="I12602"/>
      <c r="J12602"/>
      <c r="K12602" s="1"/>
      <c r="L12602" s="2"/>
    </row>
    <row r="12603" spans="1:12" x14ac:dyDescent="0.2">
      <c r="A12603"/>
      <c r="B12603"/>
      <c r="C12603"/>
      <c r="D12603"/>
      <c r="E12603"/>
      <c r="F12603"/>
      <c r="G12603"/>
      <c r="H12603"/>
      <c r="I12603"/>
      <c r="J12603"/>
      <c r="K12603" s="1"/>
      <c r="L12603" s="2"/>
    </row>
    <row r="12604" spans="1:12" x14ac:dyDescent="0.2">
      <c r="A12604"/>
      <c r="B12604"/>
      <c r="C12604"/>
      <c r="D12604"/>
      <c r="E12604"/>
      <c r="F12604"/>
      <c r="G12604"/>
      <c r="H12604"/>
      <c r="I12604"/>
      <c r="J12604"/>
      <c r="K12604" s="1"/>
      <c r="L12604" s="2"/>
    </row>
    <row r="12605" spans="1:12" x14ac:dyDescent="0.2">
      <c r="A12605"/>
      <c r="B12605"/>
      <c r="C12605"/>
      <c r="D12605"/>
      <c r="E12605"/>
      <c r="F12605"/>
      <c r="G12605"/>
      <c r="H12605"/>
      <c r="I12605"/>
      <c r="J12605"/>
      <c r="K12605" s="1"/>
      <c r="L12605" s="2"/>
    </row>
    <row r="12606" spans="1:12" x14ac:dyDescent="0.2">
      <c r="A12606"/>
      <c r="B12606"/>
      <c r="C12606"/>
      <c r="D12606"/>
      <c r="E12606"/>
      <c r="F12606"/>
      <c r="G12606"/>
      <c r="H12606"/>
      <c r="I12606"/>
      <c r="J12606"/>
      <c r="K12606" s="1"/>
      <c r="L12606" s="2"/>
    </row>
    <row r="12607" spans="1:12" x14ac:dyDescent="0.2">
      <c r="A12607"/>
      <c r="B12607"/>
      <c r="C12607"/>
      <c r="D12607"/>
      <c r="E12607"/>
      <c r="F12607"/>
      <c r="G12607"/>
      <c r="H12607"/>
      <c r="I12607"/>
      <c r="J12607"/>
      <c r="K12607" s="1"/>
      <c r="L12607" s="2"/>
    </row>
    <row r="12608" spans="1:12" x14ac:dyDescent="0.2">
      <c r="A12608"/>
      <c r="B12608"/>
      <c r="C12608"/>
      <c r="D12608"/>
      <c r="E12608"/>
      <c r="F12608"/>
      <c r="G12608"/>
      <c r="H12608"/>
      <c r="I12608"/>
      <c r="J12608"/>
      <c r="K12608" s="1"/>
      <c r="L12608" s="2"/>
    </row>
    <row r="12609" spans="1:12" x14ac:dyDescent="0.2">
      <c r="A12609"/>
      <c r="B12609"/>
      <c r="C12609"/>
      <c r="D12609"/>
      <c r="E12609"/>
      <c r="F12609"/>
      <c r="G12609"/>
      <c r="H12609"/>
      <c r="I12609"/>
      <c r="J12609"/>
      <c r="K12609" s="1"/>
      <c r="L12609" s="2"/>
    </row>
    <row r="12610" spans="1:12" x14ac:dyDescent="0.2">
      <c r="A12610"/>
      <c r="B12610"/>
      <c r="C12610"/>
      <c r="D12610"/>
      <c r="E12610"/>
      <c r="F12610"/>
      <c r="G12610"/>
      <c r="H12610"/>
      <c r="I12610"/>
      <c r="J12610"/>
      <c r="K12610" s="1"/>
      <c r="L12610" s="2"/>
    </row>
    <row r="12611" spans="1:12" x14ac:dyDescent="0.2">
      <c r="A12611"/>
      <c r="B12611"/>
      <c r="C12611"/>
      <c r="D12611"/>
      <c r="E12611"/>
      <c r="F12611"/>
      <c r="G12611"/>
      <c r="H12611"/>
      <c r="I12611"/>
      <c r="J12611"/>
      <c r="K12611" s="1"/>
      <c r="L12611" s="2"/>
    </row>
    <row r="12612" spans="1:12" x14ac:dyDescent="0.2">
      <c r="A12612"/>
      <c r="B12612"/>
      <c r="C12612"/>
      <c r="D12612"/>
      <c r="E12612"/>
      <c r="F12612"/>
      <c r="G12612"/>
      <c r="H12612"/>
      <c r="I12612"/>
      <c r="J12612"/>
      <c r="K12612" s="1"/>
      <c r="L12612" s="2"/>
    </row>
    <row r="12613" spans="1:12" x14ac:dyDescent="0.2">
      <c r="A12613"/>
      <c r="B12613"/>
      <c r="C12613"/>
      <c r="D12613"/>
      <c r="E12613"/>
      <c r="F12613"/>
      <c r="G12613"/>
      <c r="H12613"/>
      <c r="I12613"/>
      <c r="J12613"/>
      <c r="K12613" s="1"/>
      <c r="L12613" s="2"/>
    </row>
    <row r="12614" spans="1:12" x14ac:dyDescent="0.2">
      <c r="A12614"/>
      <c r="B12614"/>
      <c r="C12614"/>
      <c r="D12614"/>
      <c r="E12614"/>
      <c r="F12614"/>
      <c r="G12614"/>
      <c r="H12614"/>
      <c r="I12614"/>
      <c r="J12614"/>
      <c r="K12614" s="1"/>
      <c r="L12614" s="2"/>
    </row>
    <row r="12615" spans="1:12" x14ac:dyDescent="0.2">
      <c r="A12615"/>
      <c r="B12615"/>
      <c r="C12615"/>
      <c r="D12615"/>
      <c r="E12615"/>
      <c r="F12615"/>
      <c r="G12615"/>
      <c r="H12615"/>
      <c r="I12615"/>
      <c r="J12615"/>
      <c r="K12615" s="1"/>
      <c r="L12615" s="2"/>
    </row>
    <row r="12616" spans="1:12" x14ac:dyDescent="0.2">
      <c r="A12616"/>
      <c r="B12616"/>
      <c r="C12616"/>
      <c r="D12616"/>
      <c r="E12616"/>
      <c r="F12616"/>
      <c r="G12616"/>
      <c r="H12616"/>
      <c r="I12616"/>
      <c r="J12616"/>
      <c r="K12616" s="1"/>
      <c r="L12616" s="2"/>
    </row>
    <row r="12617" spans="1:12" x14ac:dyDescent="0.2">
      <c r="A12617"/>
      <c r="B12617"/>
      <c r="C12617"/>
      <c r="D12617"/>
      <c r="E12617"/>
      <c r="F12617"/>
      <c r="G12617"/>
      <c r="H12617"/>
      <c r="I12617"/>
      <c r="J12617"/>
      <c r="K12617" s="1"/>
      <c r="L12617" s="2"/>
    </row>
    <row r="12618" spans="1:12" x14ac:dyDescent="0.2">
      <c r="A12618"/>
      <c r="B12618"/>
      <c r="C12618"/>
      <c r="D12618"/>
      <c r="E12618"/>
      <c r="F12618"/>
      <c r="G12618"/>
      <c r="H12618"/>
      <c r="I12618"/>
      <c r="J12618"/>
      <c r="K12618" s="1"/>
      <c r="L12618" s="2"/>
    </row>
    <row r="12619" spans="1:12" x14ac:dyDescent="0.2">
      <c r="A12619"/>
      <c r="B12619"/>
      <c r="C12619"/>
      <c r="D12619"/>
      <c r="E12619"/>
      <c r="F12619"/>
      <c r="G12619"/>
      <c r="H12619"/>
      <c r="I12619"/>
      <c r="J12619"/>
      <c r="K12619" s="1"/>
      <c r="L12619" s="2"/>
    </row>
    <row r="12620" spans="1:12" x14ac:dyDescent="0.2">
      <c r="A12620"/>
      <c r="B12620"/>
      <c r="C12620"/>
      <c r="D12620"/>
      <c r="E12620"/>
      <c r="F12620"/>
      <c r="G12620"/>
      <c r="H12620"/>
      <c r="I12620"/>
      <c r="J12620"/>
      <c r="K12620" s="1"/>
      <c r="L12620" s="2"/>
    </row>
    <row r="12621" spans="1:12" x14ac:dyDescent="0.2">
      <c r="A12621"/>
      <c r="B12621"/>
      <c r="C12621"/>
      <c r="D12621"/>
      <c r="E12621"/>
      <c r="F12621"/>
      <c r="G12621"/>
      <c r="H12621"/>
      <c r="I12621"/>
      <c r="J12621"/>
      <c r="K12621" s="1"/>
      <c r="L12621" s="2"/>
    </row>
    <row r="12622" spans="1:12" x14ac:dyDescent="0.2">
      <c r="A12622"/>
      <c r="B12622"/>
      <c r="C12622"/>
      <c r="D12622"/>
      <c r="E12622"/>
      <c r="F12622"/>
      <c r="G12622"/>
      <c r="H12622"/>
      <c r="I12622"/>
      <c r="J12622"/>
      <c r="K12622" s="1"/>
      <c r="L12622" s="2"/>
    </row>
    <row r="12623" spans="1:12" x14ac:dyDescent="0.2">
      <c r="A12623"/>
      <c r="B12623"/>
      <c r="C12623"/>
      <c r="D12623"/>
      <c r="E12623"/>
      <c r="F12623"/>
      <c r="G12623"/>
      <c r="H12623"/>
      <c r="I12623"/>
      <c r="J12623"/>
      <c r="K12623" s="1"/>
      <c r="L12623" s="2"/>
    </row>
    <row r="12624" spans="1:12" x14ac:dyDescent="0.2">
      <c r="A12624"/>
      <c r="B12624"/>
      <c r="C12624"/>
      <c r="D12624"/>
      <c r="E12624"/>
      <c r="F12624"/>
      <c r="G12624"/>
      <c r="H12624"/>
      <c r="I12624"/>
      <c r="J12624"/>
      <c r="K12624" s="1"/>
      <c r="L12624" s="2"/>
    </row>
    <row r="12625" spans="1:12" x14ac:dyDescent="0.2">
      <c r="A12625"/>
      <c r="B12625"/>
      <c r="C12625"/>
      <c r="D12625"/>
      <c r="E12625"/>
      <c r="F12625"/>
      <c r="G12625"/>
      <c r="H12625"/>
      <c r="I12625"/>
      <c r="J12625"/>
      <c r="K12625" s="1"/>
      <c r="L12625" s="2"/>
    </row>
    <row r="12626" spans="1:12" x14ac:dyDescent="0.2">
      <c r="A12626"/>
      <c r="B12626"/>
      <c r="C12626"/>
      <c r="D12626"/>
      <c r="E12626"/>
      <c r="F12626"/>
      <c r="G12626"/>
      <c r="H12626"/>
      <c r="I12626"/>
      <c r="J12626"/>
      <c r="K12626" s="1"/>
      <c r="L12626" s="2"/>
    </row>
    <row r="12627" spans="1:12" x14ac:dyDescent="0.2">
      <c r="A12627"/>
      <c r="B12627"/>
      <c r="C12627"/>
      <c r="D12627"/>
      <c r="E12627"/>
      <c r="F12627"/>
      <c r="G12627"/>
      <c r="H12627"/>
      <c r="I12627"/>
      <c r="J12627"/>
      <c r="K12627" s="1"/>
      <c r="L12627" s="2"/>
    </row>
    <row r="12628" spans="1:12" x14ac:dyDescent="0.2">
      <c r="A12628"/>
      <c r="B12628"/>
      <c r="C12628"/>
      <c r="D12628"/>
      <c r="E12628"/>
      <c r="F12628"/>
      <c r="G12628"/>
      <c r="H12628"/>
      <c r="I12628"/>
      <c r="J12628"/>
      <c r="K12628" s="1"/>
      <c r="L12628" s="2"/>
    </row>
    <row r="12629" spans="1:12" x14ac:dyDescent="0.2">
      <c r="A12629"/>
      <c r="B12629"/>
      <c r="C12629"/>
      <c r="D12629"/>
      <c r="E12629"/>
      <c r="F12629"/>
      <c r="G12629"/>
      <c r="H12629"/>
      <c r="I12629"/>
      <c r="J12629"/>
      <c r="K12629" s="1"/>
      <c r="L12629" s="2"/>
    </row>
    <row r="12630" spans="1:12" x14ac:dyDescent="0.2">
      <c r="A12630"/>
      <c r="B12630"/>
      <c r="C12630"/>
      <c r="D12630"/>
      <c r="E12630"/>
      <c r="F12630"/>
      <c r="G12630"/>
      <c r="H12630"/>
      <c r="I12630"/>
      <c r="J12630"/>
      <c r="K12630" s="1"/>
      <c r="L12630" s="2"/>
    </row>
    <row r="12631" spans="1:12" x14ac:dyDescent="0.2">
      <c r="A12631"/>
      <c r="B12631"/>
      <c r="C12631"/>
      <c r="D12631"/>
      <c r="E12631"/>
      <c r="F12631"/>
      <c r="G12631"/>
      <c r="H12631"/>
      <c r="I12631"/>
      <c r="J12631"/>
      <c r="K12631" s="1"/>
      <c r="L12631" s="2"/>
    </row>
    <row r="12632" spans="1:12" x14ac:dyDescent="0.2">
      <c r="A12632"/>
      <c r="B12632"/>
      <c r="C12632"/>
      <c r="D12632"/>
      <c r="E12632"/>
      <c r="F12632"/>
      <c r="G12632"/>
      <c r="H12632"/>
      <c r="I12632"/>
      <c r="J12632"/>
      <c r="K12632" s="1"/>
      <c r="L12632" s="2"/>
    </row>
    <row r="12633" spans="1:12" x14ac:dyDescent="0.2">
      <c r="A12633"/>
      <c r="B12633"/>
      <c r="C12633"/>
      <c r="D12633"/>
      <c r="E12633"/>
      <c r="F12633"/>
      <c r="G12633"/>
      <c r="H12633"/>
      <c r="I12633"/>
      <c r="J12633"/>
      <c r="K12633" s="1"/>
      <c r="L12633" s="2"/>
    </row>
    <row r="12634" spans="1:12" x14ac:dyDescent="0.2">
      <c r="A12634"/>
      <c r="B12634"/>
      <c r="C12634"/>
      <c r="D12634"/>
      <c r="E12634"/>
      <c r="F12634"/>
      <c r="G12634"/>
      <c r="H12634"/>
      <c r="I12634"/>
      <c r="J12634"/>
      <c r="K12634" s="1"/>
      <c r="L12634" s="2"/>
    </row>
    <row r="12635" spans="1:12" x14ac:dyDescent="0.2">
      <c r="A12635"/>
      <c r="B12635"/>
      <c r="C12635"/>
      <c r="D12635"/>
      <c r="E12635"/>
      <c r="F12635"/>
      <c r="G12635"/>
      <c r="H12635"/>
      <c r="I12635"/>
      <c r="J12635"/>
      <c r="K12635" s="1"/>
      <c r="L12635" s="2"/>
    </row>
    <row r="12636" spans="1:12" x14ac:dyDescent="0.2">
      <c r="A12636"/>
      <c r="B12636"/>
      <c r="C12636"/>
      <c r="D12636"/>
      <c r="E12636"/>
      <c r="F12636"/>
      <c r="G12636"/>
      <c r="H12636"/>
      <c r="I12636"/>
      <c r="J12636"/>
      <c r="K12636" s="1"/>
      <c r="L12636" s="2"/>
    </row>
    <row r="12637" spans="1:12" x14ac:dyDescent="0.2">
      <c r="A12637"/>
      <c r="B12637"/>
      <c r="C12637"/>
      <c r="D12637"/>
      <c r="E12637"/>
      <c r="F12637"/>
      <c r="G12637"/>
      <c r="H12637"/>
      <c r="I12637"/>
      <c r="J12637"/>
      <c r="K12637" s="1"/>
      <c r="L12637" s="2"/>
    </row>
    <row r="12638" spans="1:12" x14ac:dyDescent="0.2">
      <c r="A12638"/>
      <c r="B12638"/>
      <c r="C12638"/>
      <c r="D12638"/>
      <c r="E12638"/>
      <c r="F12638"/>
      <c r="G12638"/>
      <c r="H12638"/>
      <c r="I12638"/>
      <c r="J12638"/>
      <c r="K12638" s="1"/>
      <c r="L12638" s="2"/>
    </row>
    <row r="12639" spans="1:12" x14ac:dyDescent="0.2">
      <c r="A12639"/>
      <c r="B12639"/>
      <c r="C12639"/>
      <c r="D12639"/>
      <c r="E12639"/>
      <c r="F12639"/>
      <c r="G12639"/>
      <c r="H12639"/>
      <c r="I12639"/>
      <c r="J12639"/>
      <c r="K12639" s="1"/>
      <c r="L12639" s="2"/>
    </row>
    <row r="12640" spans="1:12" x14ac:dyDescent="0.2">
      <c r="A12640"/>
      <c r="B12640"/>
      <c r="C12640"/>
      <c r="D12640"/>
      <c r="E12640"/>
      <c r="F12640"/>
      <c r="G12640"/>
      <c r="H12640"/>
      <c r="I12640"/>
      <c r="J12640"/>
      <c r="K12640" s="1"/>
      <c r="L12640" s="2"/>
    </row>
    <row r="12641" spans="1:12" x14ac:dyDescent="0.2">
      <c r="A12641"/>
      <c r="B12641"/>
      <c r="C12641"/>
      <c r="D12641"/>
      <c r="E12641"/>
      <c r="F12641"/>
      <c r="G12641"/>
      <c r="H12641"/>
      <c r="I12641"/>
      <c r="J12641"/>
      <c r="K12641" s="1"/>
      <c r="L12641" s="2"/>
    </row>
    <row r="12642" spans="1:12" x14ac:dyDescent="0.2">
      <c r="A12642"/>
      <c r="B12642"/>
      <c r="C12642"/>
      <c r="D12642"/>
      <c r="E12642"/>
      <c r="F12642"/>
      <c r="G12642"/>
      <c r="H12642"/>
      <c r="I12642"/>
      <c r="J12642"/>
      <c r="K12642" s="1"/>
      <c r="L12642" s="2"/>
    </row>
    <row r="12643" spans="1:12" x14ac:dyDescent="0.2">
      <c r="A12643"/>
      <c r="B12643"/>
      <c r="C12643"/>
      <c r="D12643"/>
      <c r="E12643"/>
      <c r="F12643"/>
      <c r="G12643"/>
      <c r="H12643"/>
      <c r="I12643"/>
      <c r="J12643"/>
      <c r="K12643" s="1"/>
      <c r="L12643" s="2"/>
    </row>
    <row r="12644" spans="1:12" x14ac:dyDescent="0.2">
      <c r="A12644"/>
      <c r="B12644"/>
      <c r="C12644"/>
      <c r="D12644"/>
      <c r="E12644"/>
      <c r="F12644"/>
      <c r="G12644"/>
      <c r="H12644"/>
      <c r="I12644"/>
      <c r="J12644"/>
      <c r="K12644" s="1"/>
      <c r="L12644" s="2"/>
    </row>
    <row r="12645" spans="1:12" x14ac:dyDescent="0.2">
      <c r="A12645"/>
      <c r="B12645"/>
      <c r="C12645"/>
      <c r="D12645"/>
      <c r="E12645"/>
      <c r="F12645"/>
      <c r="G12645"/>
      <c r="H12645"/>
      <c r="I12645"/>
      <c r="J12645"/>
      <c r="K12645" s="1"/>
      <c r="L12645" s="2"/>
    </row>
    <row r="12646" spans="1:12" x14ac:dyDescent="0.2">
      <c r="A12646"/>
      <c r="B12646"/>
      <c r="C12646"/>
      <c r="D12646"/>
      <c r="E12646"/>
      <c r="F12646"/>
      <c r="G12646"/>
      <c r="H12646"/>
      <c r="I12646"/>
      <c r="J12646"/>
      <c r="K12646" s="1"/>
      <c r="L12646" s="2"/>
    </row>
    <row r="12647" spans="1:12" x14ac:dyDescent="0.2">
      <c r="A12647"/>
      <c r="B12647"/>
      <c r="C12647"/>
      <c r="D12647"/>
      <c r="E12647"/>
      <c r="F12647"/>
      <c r="G12647"/>
      <c r="H12647"/>
      <c r="I12647"/>
      <c r="J12647"/>
      <c r="K12647" s="1"/>
      <c r="L12647" s="2"/>
    </row>
    <row r="12648" spans="1:12" x14ac:dyDescent="0.2">
      <c r="A12648"/>
      <c r="B12648"/>
      <c r="C12648"/>
      <c r="D12648"/>
      <c r="E12648"/>
      <c r="F12648"/>
      <c r="G12648"/>
      <c r="H12648"/>
      <c r="I12648"/>
      <c r="J12648"/>
      <c r="K12648" s="1"/>
      <c r="L12648" s="2"/>
    </row>
    <row r="12649" spans="1:12" x14ac:dyDescent="0.2">
      <c r="A12649"/>
      <c r="B12649"/>
      <c r="C12649"/>
      <c r="D12649"/>
      <c r="E12649"/>
      <c r="F12649"/>
      <c r="G12649"/>
      <c r="H12649"/>
      <c r="I12649"/>
      <c r="J12649"/>
      <c r="K12649" s="1"/>
      <c r="L12649" s="2"/>
    </row>
    <row r="12650" spans="1:12" x14ac:dyDescent="0.2">
      <c r="A12650"/>
      <c r="B12650"/>
      <c r="C12650"/>
      <c r="D12650"/>
      <c r="E12650"/>
      <c r="F12650"/>
      <c r="G12650"/>
      <c r="H12650"/>
      <c r="I12650"/>
      <c r="J12650"/>
      <c r="K12650" s="1"/>
      <c r="L12650" s="2"/>
    </row>
    <row r="12651" spans="1:12" x14ac:dyDescent="0.2">
      <c r="A12651"/>
      <c r="B12651"/>
      <c r="C12651"/>
      <c r="D12651"/>
      <c r="E12651"/>
      <c r="F12651"/>
      <c r="G12651"/>
      <c r="H12651"/>
      <c r="I12651"/>
      <c r="J12651"/>
      <c r="K12651" s="1"/>
      <c r="L12651" s="2"/>
    </row>
    <row r="12652" spans="1:12" x14ac:dyDescent="0.2">
      <c r="A12652"/>
      <c r="B12652"/>
      <c r="C12652"/>
      <c r="D12652"/>
      <c r="E12652"/>
      <c r="F12652"/>
      <c r="G12652"/>
      <c r="H12652"/>
      <c r="I12652"/>
      <c r="J12652"/>
      <c r="K12652" s="1"/>
      <c r="L12652" s="2"/>
    </row>
    <row r="12653" spans="1:12" x14ac:dyDescent="0.2">
      <c r="A12653"/>
      <c r="B12653"/>
      <c r="C12653"/>
      <c r="D12653"/>
      <c r="E12653"/>
      <c r="F12653"/>
      <c r="G12653"/>
      <c r="H12653"/>
      <c r="I12653"/>
      <c r="J12653"/>
      <c r="K12653" s="1"/>
      <c r="L12653" s="2"/>
    </row>
    <row r="12654" spans="1:12" x14ac:dyDescent="0.2">
      <c r="A12654"/>
      <c r="B12654"/>
      <c r="C12654"/>
      <c r="D12654"/>
      <c r="E12654"/>
      <c r="F12654"/>
      <c r="G12654"/>
      <c r="H12654"/>
      <c r="I12654"/>
      <c r="J12654"/>
      <c r="K12654" s="1"/>
      <c r="L12654" s="2"/>
    </row>
    <row r="12655" spans="1:12" x14ac:dyDescent="0.2">
      <c r="A12655"/>
      <c r="B12655"/>
      <c r="C12655"/>
      <c r="D12655"/>
      <c r="E12655"/>
      <c r="F12655"/>
      <c r="G12655"/>
      <c r="H12655"/>
      <c r="I12655"/>
      <c r="J12655"/>
      <c r="K12655" s="1"/>
      <c r="L12655" s="2"/>
    </row>
    <row r="12656" spans="1:12" x14ac:dyDescent="0.2">
      <c r="A12656"/>
      <c r="B12656"/>
      <c r="C12656"/>
      <c r="D12656"/>
      <c r="E12656"/>
      <c r="F12656"/>
      <c r="G12656"/>
      <c r="H12656"/>
      <c r="I12656"/>
      <c r="J12656"/>
      <c r="K12656" s="1"/>
      <c r="L12656" s="2"/>
    </row>
    <row r="12657" spans="1:12" x14ac:dyDescent="0.2">
      <c r="A12657"/>
      <c r="B12657"/>
      <c r="C12657"/>
      <c r="D12657"/>
      <c r="E12657"/>
      <c r="F12657"/>
      <c r="G12657"/>
      <c r="H12657"/>
      <c r="I12657"/>
      <c r="J12657"/>
      <c r="K12657" s="1"/>
      <c r="L12657" s="2"/>
    </row>
    <row r="12658" spans="1:12" x14ac:dyDescent="0.2">
      <c r="A12658"/>
      <c r="B12658"/>
      <c r="C12658"/>
      <c r="D12658"/>
      <c r="E12658"/>
      <c r="F12658"/>
      <c r="G12658"/>
      <c r="H12658"/>
      <c r="I12658"/>
      <c r="J12658"/>
      <c r="K12658" s="1"/>
      <c r="L12658" s="2"/>
    </row>
    <row r="12659" spans="1:12" x14ac:dyDescent="0.2">
      <c r="A12659"/>
      <c r="B12659"/>
      <c r="C12659"/>
      <c r="D12659"/>
      <c r="E12659"/>
      <c r="F12659"/>
      <c r="G12659"/>
      <c r="H12659"/>
      <c r="I12659"/>
      <c r="J12659"/>
      <c r="K12659" s="1"/>
      <c r="L12659" s="2"/>
    </row>
    <row r="12660" spans="1:12" x14ac:dyDescent="0.2">
      <c r="A12660"/>
      <c r="B12660"/>
      <c r="C12660"/>
      <c r="D12660"/>
      <c r="E12660"/>
      <c r="F12660"/>
      <c r="G12660"/>
      <c r="H12660"/>
      <c r="I12660"/>
      <c r="J12660"/>
      <c r="K12660" s="1"/>
      <c r="L12660" s="2"/>
    </row>
    <row r="12661" spans="1:12" x14ac:dyDescent="0.2">
      <c r="A12661"/>
      <c r="B12661"/>
      <c r="C12661"/>
      <c r="D12661"/>
      <c r="E12661"/>
      <c r="F12661"/>
      <c r="G12661"/>
      <c r="H12661"/>
      <c r="I12661"/>
      <c r="J12661"/>
      <c r="K12661" s="1"/>
      <c r="L12661" s="2"/>
    </row>
    <row r="12662" spans="1:12" x14ac:dyDescent="0.2">
      <c r="A12662"/>
      <c r="B12662"/>
      <c r="C12662"/>
      <c r="D12662"/>
      <c r="E12662"/>
      <c r="F12662"/>
      <c r="G12662"/>
      <c r="H12662"/>
      <c r="I12662"/>
      <c r="J12662"/>
      <c r="K12662" s="1"/>
      <c r="L12662" s="2"/>
    </row>
    <row r="12663" spans="1:12" x14ac:dyDescent="0.2">
      <c r="A12663"/>
      <c r="B12663"/>
      <c r="C12663"/>
      <c r="D12663"/>
      <c r="E12663"/>
      <c r="F12663"/>
      <c r="G12663"/>
      <c r="H12663"/>
      <c r="I12663"/>
      <c r="J12663"/>
      <c r="K12663" s="1"/>
      <c r="L12663" s="2"/>
    </row>
    <row r="12664" spans="1:12" x14ac:dyDescent="0.2">
      <c r="A12664"/>
      <c r="B12664"/>
      <c r="C12664"/>
      <c r="D12664"/>
      <c r="E12664"/>
      <c r="F12664"/>
      <c r="G12664"/>
      <c r="H12664"/>
      <c r="I12664"/>
      <c r="J12664"/>
      <c r="K12664" s="1"/>
      <c r="L12664" s="2"/>
    </row>
    <row r="12665" spans="1:12" x14ac:dyDescent="0.2">
      <c r="A12665"/>
      <c r="B12665"/>
      <c r="C12665"/>
      <c r="D12665"/>
      <c r="E12665"/>
      <c r="F12665"/>
      <c r="G12665"/>
      <c r="H12665"/>
      <c r="I12665"/>
      <c r="J12665"/>
      <c r="K12665" s="1"/>
      <c r="L12665" s="2"/>
    </row>
    <row r="12666" spans="1:12" x14ac:dyDescent="0.2">
      <c r="A12666"/>
      <c r="B12666"/>
      <c r="C12666"/>
      <c r="D12666"/>
      <c r="E12666"/>
      <c r="F12666"/>
      <c r="G12666"/>
      <c r="H12666"/>
      <c r="I12666"/>
      <c r="J12666"/>
      <c r="K12666" s="1"/>
      <c r="L12666" s="2"/>
    </row>
    <row r="12667" spans="1:12" x14ac:dyDescent="0.2">
      <c r="A12667"/>
      <c r="B12667"/>
      <c r="C12667"/>
      <c r="D12667"/>
      <c r="E12667"/>
      <c r="F12667"/>
      <c r="G12667"/>
      <c r="H12667"/>
      <c r="I12667"/>
      <c r="J12667"/>
      <c r="K12667" s="1"/>
      <c r="L12667" s="2"/>
    </row>
    <row r="12668" spans="1:12" x14ac:dyDescent="0.2">
      <c r="A12668"/>
      <c r="B12668"/>
      <c r="C12668"/>
      <c r="D12668"/>
      <c r="E12668"/>
      <c r="F12668"/>
      <c r="G12668"/>
      <c r="H12668"/>
      <c r="I12668"/>
      <c r="J12668"/>
      <c r="K12668" s="1"/>
      <c r="L12668" s="2"/>
    </row>
    <row r="12669" spans="1:12" x14ac:dyDescent="0.2">
      <c r="A12669"/>
      <c r="B12669"/>
      <c r="C12669"/>
      <c r="D12669"/>
      <c r="E12669"/>
      <c r="F12669"/>
      <c r="G12669"/>
      <c r="H12669"/>
      <c r="I12669"/>
      <c r="J12669"/>
      <c r="K12669" s="1"/>
      <c r="L12669" s="2"/>
    </row>
    <row r="12670" spans="1:12" x14ac:dyDescent="0.2">
      <c r="A12670"/>
      <c r="B12670"/>
      <c r="C12670"/>
      <c r="D12670"/>
      <c r="E12670"/>
      <c r="F12670"/>
      <c r="G12670"/>
      <c r="H12670"/>
      <c r="I12670"/>
      <c r="J12670"/>
      <c r="K12670" s="1"/>
      <c r="L12670" s="2"/>
    </row>
    <row r="12671" spans="1:12" x14ac:dyDescent="0.2">
      <c r="A12671"/>
      <c r="B12671"/>
      <c r="C12671"/>
      <c r="D12671"/>
      <c r="E12671"/>
      <c r="F12671"/>
      <c r="G12671"/>
      <c r="H12671"/>
      <c r="I12671"/>
      <c r="J12671"/>
      <c r="K12671" s="1"/>
      <c r="L12671" s="2"/>
    </row>
    <row r="12672" spans="1:12" x14ac:dyDescent="0.2">
      <c r="A12672"/>
      <c r="B12672"/>
      <c r="C12672"/>
      <c r="D12672"/>
      <c r="E12672"/>
      <c r="F12672"/>
      <c r="G12672"/>
      <c r="H12672"/>
      <c r="I12672"/>
      <c r="J12672"/>
      <c r="K12672" s="1"/>
      <c r="L12672" s="2"/>
    </row>
    <row r="12673" spans="1:12" x14ac:dyDescent="0.2">
      <c r="A12673"/>
      <c r="B12673"/>
      <c r="C12673"/>
      <c r="D12673"/>
      <c r="E12673"/>
      <c r="F12673"/>
      <c r="G12673"/>
      <c r="H12673"/>
      <c r="I12673"/>
      <c r="J12673"/>
      <c r="K12673" s="1"/>
      <c r="L12673" s="2"/>
    </row>
    <row r="12674" spans="1:12" x14ac:dyDescent="0.2">
      <c r="A12674"/>
      <c r="B12674"/>
      <c r="C12674"/>
      <c r="D12674"/>
      <c r="E12674"/>
      <c r="F12674"/>
      <c r="G12674"/>
      <c r="H12674"/>
      <c r="I12674"/>
      <c r="J12674"/>
      <c r="K12674" s="1"/>
      <c r="L12674" s="2"/>
    </row>
    <row r="12675" spans="1:12" x14ac:dyDescent="0.2">
      <c r="A12675"/>
      <c r="B12675"/>
      <c r="C12675"/>
      <c r="D12675"/>
      <c r="E12675"/>
      <c r="F12675"/>
      <c r="G12675"/>
      <c r="H12675"/>
      <c r="I12675"/>
      <c r="J12675"/>
      <c r="K12675" s="1"/>
      <c r="L12675" s="2"/>
    </row>
    <row r="12676" spans="1:12" x14ac:dyDescent="0.2">
      <c r="A12676"/>
      <c r="B12676"/>
      <c r="C12676"/>
      <c r="D12676"/>
      <c r="E12676"/>
      <c r="F12676"/>
      <c r="G12676"/>
      <c r="H12676"/>
      <c r="I12676"/>
      <c r="J12676"/>
      <c r="K12676" s="1"/>
      <c r="L12676" s="2"/>
    </row>
    <row r="12677" spans="1:12" x14ac:dyDescent="0.2">
      <c r="A12677"/>
      <c r="B12677"/>
      <c r="C12677"/>
      <c r="D12677"/>
      <c r="E12677"/>
      <c r="F12677"/>
      <c r="G12677"/>
      <c r="H12677"/>
      <c r="I12677"/>
      <c r="J12677"/>
      <c r="K12677" s="1"/>
      <c r="L12677" s="2"/>
    </row>
    <row r="12678" spans="1:12" x14ac:dyDescent="0.2">
      <c r="A12678"/>
      <c r="B12678"/>
      <c r="C12678"/>
      <c r="D12678"/>
      <c r="E12678"/>
      <c r="F12678"/>
      <c r="G12678"/>
      <c r="H12678"/>
      <c r="I12678"/>
      <c r="J12678"/>
      <c r="K12678" s="1"/>
      <c r="L12678" s="2"/>
    </row>
    <row r="12679" spans="1:12" x14ac:dyDescent="0.2">
      <c r="A12679"/>
      <c r="B12679"/>
      <c r="C12679"/>
      <c r="D12679"/>
      <c r="E12679"/>
      <c r="F12679"/>
      <c r="G12679"/>
      <c r="H12679"/>
      <c r="I12679"/>
      <c r="J12679"/>
      <c r="K12679" s="1"/>
      <c r="L12679" s="2"/>
    </row>
    <row r="12680" spans="1:12" x14ac:dyDescent="0.2">
      <c r="A12680"/>
      <c r="B12680"/>
      <c r="C12680"/>
      <c r="D12680"/>
      <c r="E12680"/>
      <c r="F12680"/>
      <c r="G12680"/>
      <c r="H12680"/>
      <c r="I12680"/>
      <c r="J12680"/>
      <c r="K12680" s="1"/>
      <c r="L12680" s="2"/>
    </row>
    <row r="12681" spans="1:12" x14ac:dyDescent="0.2">
      <c r="A12681"/>
      <c r="B12681"/>
      <c r="C12681"/>
      <c r="D12681"/>
      <c r="E12681"/>
      <c r="F12681"/>
      <c r="G12681"/>
      <c r="H12681"/>
      <c r="I12681"/>
      <c r="J12681"/>
      <c r="K12681" s="1"/>
      <c r="L12681" s="2"/>
    </row>
    <row r="12682" spans="1:12" x14ac:dyDescent="0.2">
      <c r="A12682"/>
      <c r="B12682"/>
      <c r="C12682"/>
      <c r="D12682"/>
      <c r="E12682"/>
      <c r="F12682"/>
      <c r="G12682"/>
      <c r="H12682"/>
      <c r="I12682"/>
      <c r="J12682"/>
      <c r="K12682" s="1"/>
      <c r="L12682" s="2"/>
    </row>
    <row r="12683" spans="1:12" x14ac:dyDescent="0.2">
      <c r="A12683"/>
      <c r="B12683"/>
      <c r="C12683"/>
      <c r="D12683"/>
      <c r="E12683"/>
      <c r="F12683"/>
      <c r="G12683"/>
      <c r="H12683"/>
      <c r="I12683"/>
      <c r="J12683"/>
      <c r="K12683" s="1"/>
      <c r="L12683" s="2"/>
    </row>
    <row r="12684" spans="1:12" x14ac:dyDescent="0.2">
      <c r="A12684"/>
      <c r="B12684"/>
      <c r="C12684"/>
      <c r="D12684"/>
      <c r="E12684"/>
      <c r="F12684"/>
      <c r="G12684"/>
      <c r="H12684"/>
      <c r="I12684"/>
      <c r="J12684"/>
      <c r="K12684" s="1"/>
      <c r="L12684" s="2"/>
    </row>
    <row r="12685" spans="1:12" x14ac:dyDescent="0.2">
      <c r="A12685"/>
      <c r="B12685"/>
      <c r="C12685"/>
      <c r="D12685"/>
      <c r="E12685"/>
      <c r="F12685"/>
      <c r="G12685"/>
      <c r="H12685"/>
      <c r="I12685"/>
      <c r="J12685"/>
      <c r="K12685" s="1"/>
      <c r="L12685" s="2"/>
    </row>
    <row r="12686" spans="1:12" x14ac:dyDescent="0.2">
      <c r="A12686"/>
      <c r="B12686"/>
      <c r="C12686"/>
      <c r="D12686"/>
      <c r="E12686"/>
      <c r="F12686"/>
      <c r="G12686"/>
      <c r="H12686"/>
      <c r="I12686"/>
      <c r="J12686"/>
      <c r="K12686" s="1"/>
      <c r="L12686" s="2"/>
    </row>
    <row r="12687" spans="1:12" x14ac:dyDescent="0.2">
      <c r="A12687"/>
      <c r="B12687"/>
      <c r="C12687"/>
      <c r="D12687"/>
      <c r="E12687"/>
      <c r="F12687"/>
      <c r="G12687"/>
      <c r="H12687"/>
      <c r="I12687"/>
      <c r="J12687"/>
      <c r="K12687" s="1"/>
      <c r="L12687" s="2"/>
    </row>
    <row r="12688" spans="1:12" x14ac:dyDescent="0.2">
      <c r="A12688"/>
      <c r="B12688"/>
      <c r="C12688"/>
      <c r="D12688"/>
      <c r="E12688"/>
      <c r="F12688"/>
      <c r="G12688"/>
      <c r="H12688"/>
      <c r="I12688"/>
      <c r="J12688"/>
      <c r="K12688" s="1"/>
      <c r="L12688" s="2"/>
    </row>
    <row r="12689" spans="1:12" x14ac:dyDescent="0.2">
      <c r="A12689"/>
      <c r="B12689"/>
      <c r="C12689"/>
      <c r="D12689"/>
      <c r="E12689"/>
      <c r="F12689"/>
      <c r="G12689"/>
      <c r="H12689"/>
      <c r="I12689"/>
      <c r="J12689"/>
      <c r="K12689" s="1"/>
      <c r="L12689" s="2"/>
    </row>
    <row r="12690" spans="1:12" x14ac:dyDescent="0.2">
      <c r="A12690"/>
      <c r="B12690"/>
      <c r="C12690"/>
      <c r="D12690"/>
      <c r="E12690"/>
      <c r="F12690"/>
      <c r="G12690"/>
      <c r="H12690"/>
      <c r="I12690"/>
      <c r="J12690"/>
      <c r="K12690" s="1"/>
      <c r="L12690" s="2"/>
    </row>
    <row r="12691" spans="1:12" x14ac:dyDescent="0.2">
      <c r="A12691"/>
      <c r="B12691"/>
      <c r="C12691"/>
      <c r="D12691"/>
      <c r="E12691"/>
      <c r="F12691"/>
      <c r="G12691"/>
      <c r="H12691"/>
      <c r="I12691"/>
      <c r="J12691"/>
      <c r="K12691" s="1"/>
      <c r="L12691" s="2"/>
    </row>
    <row r="12692" spans="1:12" x14ac:dyDescent="0.2">
      <c r="A12692"/>
      <c r="B12692"/>
      <c r="C12692"/>
      <c r="D12692"/>
      <c r="E12692"/>
      <c r="F12692"/>
      <c r="G12692"/>
      <c r="H12692"/>
      <c r="I12692"/>
      <c r="J12692"/>
      <c r="K12692" s="1"/>
      <c r="L12692" s="2"/>
    </row>
    <row r="12693" spans="1:12" x14ac:dyDescent="0.2">
      <c r="A12693"/>
      <c r="B12693"/>
      <c r="C12693"/>
      <c r="D12693"/>
      <c r="E12693"/>
      <c r="F12693"/>
      <c r="G12693"/>
      <c r="H12693"/>
      <c r="I12693"/>
      <c r="J12693"/>
      <c r="K12693" s="1"/>
      <c r="L12693" s="2"/>
    </row>
    <row r="12694" spans="1:12" x14ac:dyDescent="0.2">
      <c r="A12694"/>
      <c r="B12694"/>
      <c r="C12694"/>
      <c r="D12694"/>
      <c r="E12694"/>
      <c r="F12694"/>
      <c r="G12694"/>
      <c r="H12694"/>
      <c r="I12694"/>
      <c r="J12694"/>
      <c r="K12694" s="1"/>
      <c r="L12694" s="2"/>
    </row>
    <row r="12695" spans="1:12" x14ac:dyDescent="0.2">
      <c r="A12695"/>
      <c r="B12695"/>
      <c r="C12695"/>
      <c r="D12695"/>
      <c r="E12695"/>
      <c r="F12695"/>
      <c r="G12695"/>
      <c r="H12695"/>
      <c r="I12695"/>
      <c r="J12695"/>
      <c r="K12695" s="1"/>
      <c r="L12695" s="2"/>
    </row>
    <row r="12696" spans="1:12" x14ac:dyDescent="0.2">
      <c r="A12696"/>
      <c r="B12696"/>
      <c r="C12696"/>
      <c r="D12696"/>
      <c r="E12696"/>
      <c r="F12696"/>
      <c r="G12696"/>
      <c r="H12696"/>
      <c r="I12696"/>
      <c r="J12696"/>
      <c r="K12696" s="1"/>
      <c r="L12696" s="2"/>
    </row>
    <row r="12697" spans="1:12" x14ac:dyDescent="0.2">
      <c r="A12697"/>
      <c r="B12697"/>
      <c r="C12697"/>
      <c r="D12697"/>
      <c r="E12697"/>
      <c r="F12697"/>
      <c r="G12697"/>
      <c r="H12697"/>
      <c r="I12697"/>
      <c r="J12697"/>
      <c r="K12697" s="1"/>
      <c r="L12697" s="2"/>
    </row>
    <row r="12698" spans="1:12" x14ac:dyDescent="0.2">
      <c r="A12698"/>
      <c r="B12698"/>
      <c r="C12698"/>
      <c r="D12698"/>
      <c r="E12698"/>
      <c r="F12698"/>
      <c r="G12698"/>
      <c r="H12698"/>
      <c r="I12698"/>
      <c r="J12698"/>
      <c r="K12698" s="1"/>
      <c r="L12698" s="2"/>
    </row>
    <row r="12699" spans="1:12" x14ac:dyDescent="0.2">
      <c r="A12699"/>
      <c r="B12699"/>
      <c r="C12699"/>
      <c r="D12699"/>
      <c r="E12699"/>
      <c r="F12699"/>
      <c r="G12699"/>
      <c r="H12699"/>
      <c r="I12699"/>
      <c r="J12699"/>
      <c r="K12699" s="1"/>
      <c r="L12699" s="2"/>
    </row>
    <row r="12700" spans="1:12" x14ac:dyDescent="0.2">
      <c r="A12700"/>
      <c r="B12700"/>
      <c r="C12700"/>
      <c r="D12700"/>
      <c r="E12700"/>
      <c r="F12700"/>
      <c r="G12700"/>
      <c r="H12700"/>
      <c r="I12700"/>
      <c r="J12700"/>
      <c r="K12700" s="1"/>
      <c r="L12700" s="2"/>
    </row>
    <row r="12701" spans="1:12" x14ac:dyDescent="0.2">
      <c r="A12701"/>
      <c r="B12701"/>
      <c r="C12701"/>
      <c r="D12701"/>
      <c r="E12701"/>
      <c r="F12701"/>
      <c r="G12701"/>
      <c r="H12701"/>
      <c r="I12701"/>
      <c r="J12701"/>
      <c r="K12701" s="1"/>
      <c r="L12701" s="2"/>
    </row>
    <row r="12702" spans="1:12" x14ac:dyDescent="0.2">
      <c r="A12702"/>
      <c r="B12702"/>
      <c r="C12702"/>
      <c r="D12702"/>
      <c r="E12702"/>
      <c r="F12702"/>
      <c r="G12702"/>
      <c r="H12702"/>
      <c r="I12702"/>
      <c r="J12702"/>
      <c r="K12702" s="1"/>
      <c r="L12702" s="2"/>
    </row>
    <row r="12703" spans="1:12" x14ac:dyDescent="0.2">
      <c r="A12703"/>
      <c r="B12703"/>
      <c r="C12703"/>
      <c r="D12703"/>
      <c r="E12703"/>
      <c r="F12703"/>
      <c r="G12703"/>
      <c r="H12703"/>
      <c r="I12703"/>
      <c r="J12703"/>
      <c r="K12703" s="1"/>
      <c r="L12703" s="2"/>
    </row>
    <row r="12704" spans="1:12" x14ac:dyDescent="0.2">
      <c r="A12704"/>
      <c r="B12704"/>
      <c r="C12704"/>
      <c r="D12704"/>
      <c r="E12704"/>
      <c r="F12704"/>
      <c r="G12704"/>
      <c r="H12704"/>
      <c r="I12704"/>
      <c r="J12704"/>
      <c r="K12704" s="1"/>
      <c r="L12704" s="2"/>
    </row>
    <row r="12705" spans="1:12" x14ac:dyDescent="0.2">
      <c r="A12705"/>
      <c r="B12705"/>
      <c r="C12705"/>
      <c r="D12705"/>
      <c r="E12705"/>
      <c r="F12705"/>
      <c r="G12705"/>
      <c r="H12705"/>
      <c r="I12705"/>
      <c r="J12705"/>
      <c r="K12705" s="1"/>
      <c r="L12705" s="2"/>
    </row>
    <row r="12706" spans="1:12" x14ac:dyDescent="0.2">
      <c r="A12706"/>
      <c r="B12706"/>
      <c r="C12706"/>
      <c r="D12706"/>
      <c r="E12706"/>
      <c r="F12706"/>
      <c r="G12706"/>
      <c r="H12706"/>
      <c r="I12706"/>
      <c r="J12706"/>
      <c r="K12706" s="1"/>
      <c r="L12706" s="2"/>
    </row>
    <row r="12707" spans="1:12" x14ac:dyDescent="0.2">
      <c r="A12707"/>
      <c r="B12707"/>
      <c r="C12707"/>
      <c r="D12707"/>
      <c r="E12707"/>
      <c r="F12707"/>
      <c r="G12707"/>
      <c r="H12707"/>
      <c r="I12707"/>
      <c r="J12707"/>
      <c r="K12707" s="1"/>
      <c r="L12707" s="2"/>
    </row>
    <row r="12708" spans="1:12" x14ac:dyDescent="0.2">
      <c r="A12708"/>
      <c r="B12708"/>
      <c r="C12708"/>
      <c r="D12708"/>
      <c r="E12708"/>
      <c r="F12708"/>
      <c r="G12708"/>
      <c r="H12708"/>
      <c r="I12708"/>
      <c r="J12708"/>
      <c r="K12708" s="1"/>
      <c r="L12708" s="2"/>
    </row>
    <row r="12709" spans="1:12" x14ac:dyDescent="0.2">
      <c r="A12709"/>
      <c r="B12709"/>
      <c r="C12709"/>
      <c r="D12709"/>
      <c r="E12709"/>
      <c r="F12709"/>
      <c r="G12709"/>
      <c r="H12709"/>
      <c r="I12709"/>
      <c r="J12709"/>
      <c r="K12709" s="1"/>
      <c r="L12709" s="2"/>
    </row>
    <row r="12710" spans="1:12" x14ac:dyDescent="0.2">
      <c r="A12710"/>
      <c r="B12710"/>
      <c r="C12710"/>
      <c r="D12710"/>
      <c r="E12710"/>
      <c r="F12710"/>
      <c r="G12710"/>
      <c r="H12710"/>
      <c r="I12710"/>
      <c r="J12710"/>
      <c r="K12710" s="1"/>
      <c r="L12710" s="2"/>
    </row>
    <row r="12711" spans="1:12" x14ac:dyDescent="0.2">
      <c r="A12711"/>
      <c r="B12711"/>
      <c r="C12711"/>
      <c r="D12711"/>
      <c r="E12711"/>
      <c r="F12711"/>
      <c r="G12711"/>
      <c r="H12711"/>
      <c r="I12711"/>
      <c r="J12711"/>
      <c r="K12711" s="1"/>
      <c r="L12711" s="2"/>
    </row>
    <row r="12712" spans="1:12" x14ac:dyDescent="0.2">
      <c r="A12712"/>
      <c r="B12712"/>
      <c r="C12712"/>
      <c r="D12712"/>
      <c r="E12712"/>
      <c r="F12712"/>
      <c r="G12712"/>
      <c r="H12712"/>
      <c r="I12712"/>
      <c r="J12712"/>
      <c r="K12712" s="1"/>
      <c r="L12712" s="2"/>
    </row>
    <row r="12713" spans="1:12" x14ac:dyDescent="0.2">
      <c r="A12713"/>
      <c r="B12713"/>
      <c r="C12713"/>
      <c r="D12713"/>
      <c r="E12713"/>
      <c r="F12713"/>
      <c r="G12713"/>
      <c r="H12713"/>
      <c r="I12713"/>
      <c r="J12713"/>
      <c r="K12713" s="1"/>
      <c r="L12713" s="2"/>
    </row>
    <row r="12714" spans="1:12" x14ac:dyDescent="0.2">
      <c r="A12714"/>
      <c r="B12714"/>
      <c r="C12714"/>
      <c r="D12714"/>
      <c r="E12714"/>
      <c r="F12714"/>
      <c r="G12714"/>
      <c r="H12714"/>
      <c r="I12714"/>
      <c r="J12714"/>
      <c r="K12714" s="1"/>
      <c r="L12714" s="2"/>
    </row>
    <row r="12715" spans="1:12" x14ac:dyDescent="0.2">
      <c r="A12715"/>
      <c r="B12715"/>
      <c r="C12715"/>
      <c r="D12715"/>
      <c r="E12715"/>
      <c r="F12715"/>
      <c r="G12715"/>
      <c r="H12715"/>
      <c r="I12715"/>
      <c r="J12715"/>
      <c r="K12715" s="1"/>
      <c r="L12715" s="2"/>
    </row>
    <row r="12716" spans="1:12" x14ac:dyDescent="0.2">
      <c r="A12716"/>
      <c r="B12716"/>
      <c r="C12716"/>
      <c r="D12716"/>
      <c r="E12716"/>
      <c r="F12716"/>
      <c r="G12716"/>
      <c r="H12716"/>
      <c r="I12716"/>
      <c r="J12716"/>
      <c r="K12716" s="1"/>
      <c r="L12716" s="2"/>
    </row>
    <row r="12717" spans="1:12" x14ac:dyDescent="0.2">
      <c r="A12717"/>
      <c r="B12717"/>
      <c r="C12717"/>
      <c r="D12717"/>
      <c r="E12717"/>
      <c r="F12717"/>
      <c r="G12717"/>
      <c r="H12717"/>
      <c r="I12717"/>
      <c r="J12717"/>
      <c r="K12717" s="1"/>
      <c r="L12717" s="2"/>
    </row>
    <row r="12718" spans="1:12" x14ac:dyDescent="0.2">
      <c r="A12718"/>
      <c r="B12718"/>
      <c r="C12718"/>
      <c r="D12718"/>
      <c r="E12718"/>
      <c r="F12718"/>
      <c r="G12718"/>
      <c r="H12718"/>
      <c r="I12718"/>
      <c r="J12718"/>
      <c r="K12718" s="1"/>
      <c r="L12718" s="2"/>
    </row>
    <row r="12719" spans="1:12" x14ac:dyDescent="0.2">
      <c r="A12719"/>
      <c r="B12719"/>
      <c r="C12719"/>
      <c r="D12719"/>
      <c r="E12719"/>
      <c r="F12719"/>
      <c r="G12719"/>
      <c r="H12719"/>
      <c r="I12719"/>
      <c r="J12719"/>
      <c r="K12719" s="1"/>
      <c r="L12719" s="2"/>
    </row>
    <row r="12720" spans="1:12" x14ac:dyDescent="0.2">
      <c r="A12720"/>
      <c r="B12720"/>
      <c r="C12720"/>
      <c r="D12720"/>
      <c r="E12720"/>
      <c r="F12720"/>
      <c r="G12720"/>
      <c r="H12720"/>
      <c r="I12720"/>
      <c r="J12720"/>
      <c r="K12720" s="1"/>
      <c r="L12720" s="2"/>
    </row>
    <row r="12721" spans="1:12" x14ac:dyDescent="0.2">
      <c r="A12721"/>
      <c r="B12721"/>
      <c r="C12721"/>
      <c r="D12721"/>
      <c r="E12721"/>
      <c r="F12721"/>
      <c r="G12721"/>
      <c r="H12721"/>
      <c r="I12721"/>
      <c r="J12721"/>
      <c r="K12721" s="1"/>
      <c r="L12721" s="2"/>
    </row>
    <row r="12722" spans="1:12" x14ac:dyDescent="0.2">
      <c r="A12722"/>
      <c r="B12722"/>
      <c r="C12722"/>
      <c r="D12722"/>
      <c r="E12722"/>
      <c r="F12722"/>
      <c r="G12722"/>
      <c r="H12722"/>
      <c r="I12722"/>
      <c r="J12722"/>
      <c r="K12722" s="1"/>
      <c r="L12722" s="2"/>
    </row>
    <row r="12723" spans="1:12" x14ac:dyDescent="0.2">
      <c r="A12723"/>
      <c r="B12723"/>
      <c r="C12723"/>
      <c r="D12723"/>
      <c r="E12723"/>
      <c r="F12723"/>
      <c r="G12723"/>
      <c r="H12723"/>
      <c r="I12723"/>
      <c r="J12723"/>
      <c r="K12723" s="1"/>
      <c r="L12723" s="2"/>
    </row>
    <row r="12724" spans="1:12" x14ac:dyDescent="0.2">
      <c r="A12724"/>
      <c r="B12724"/>
      <c r="C12724"/>
      <c r="D12724"/>
      <c r="E12724"/>
      <c r="F12724"/>
      <c r="G12724"/>
      <c r="H12724"/>
      <c r="I12724"/>
      <c r="J12724"/>
      <c r="K12724" s="1"/>
      <c r="L12724" s="2"/>
    </row>
    <row r="12725" spans="1:12" x14ac:dyDescent="0.2">
      <c r="A12725"/>
      <c r="B12725"/>
      <c r="C12725"/>
      <c r="D12725"/>
      <c r="E12725"/>
      <c r="F12725"/>
      <c r="G12725"/>
      <c r="H12725"/>
      <c r="I12725"/>
      <c r="J12725"/>
      <c r="K12725" s="1"/>
      <c r="L12725" s="2"/>
    </row>
    <row r="12726" spans="1:12" x14ac:dyDescent="0.2">
      <c r="A12726"/>
      <c r="B12726"/>
      <c r="C12726"/>
      <c r="D12726"/>
      <c r="E12726"/>
      <c r="F12726"/>
      <c r="G12726"/>
      <c r="H12726"/>
      <c r="I12726"/>
      <c r="J12726"/>
      <c r="K12726" s="1"/>
      <c r="L12726" s="2"/>
    </row>
    <row r="12727" spans="1:12" x14ac:dyDescent="0.2">
      <c r="A12727"/>
      <c r="B12727"/>
      <c r="C12727"/>
      <c r="D12727"/>
      <c r="E12727"/>
      <c r="F12727"/>
      <c r="G12727"/>
      <c r="H12727"/>
      <c r="I12727"/>
      <c r="J12727"/>
      <c r="K12727" s="1"/>
      <c r="L12727" s="2"/>
    </row>
    <row r="12728" spans="1:12" x14ac:dyDescent="0.2">
      <c r="A12728"/>
      <c r="B12728"/>
      <c r="C12728"/>
      <c r="D12728"/>
      <c r="E12728"/>
      <c r="F12728"/>
      <c r="G12728"/>
      <c r="H12728"/>
      <c r="I12728"/>
      <c r="J12728"/>
      <c r="K12728" s="1"/>
      <c r="L12728" s="2"/>
    </row>
    <row r="12729" spans="1:12" x14ac:dyDescent="0.2">
      <c r="A12729"/>
      <c r="B12729"/>
      <c r="C12729"/>
      <c r="D12729"/>
      <c r="E12729"/>
      <c r="F12729"/>
      <c r="G12729"/>
      <c r="H12729"/>
      <c r="I12729"/>
      <c r="J12729"/>
      <c r="K12729" s="1"/>
      <c r="L12729" s="2"/>
    </row>
    <row r="12730" spans="1:12" x14ac:dyDescent="0.2">
      <c r="A12730"/>
      <c r="B12730"/>
      <c r="C12730"/>
      <c r="D12730"/>
      <c r="E12730"/>
      <c r="F12730"/>
      <c r="G12730"/>
      <c r="H12730"/>
      <c r="I12730"/>
      <c r="J12730"/>
      <c r="K12730" s="1"/>
      <c r="L12730" s="2"/>
    </row>
    <row r="12731" spans="1:12" x14ac:dyDescent="0.2">
      <c r="A12731"/>
      <c r="B12731"/>
      <c r="C12731"/>
      <c r="D12731"/>
      <c r="E12731"/>
      <c r="F12731"/>
      <c r="G12731"/>
      <c r="H12731"/>
      <c r="I12731"/>
      <c r="J12731"/>
      <c r="K12731" s="1"/>
      <c r="L12731" s="2"/>
    </row>
    <row r="12732" spans="1:12" x14ac:dyDescent="0.2">
      <c r="A12732"/>
      <c r="B12732"/>
      <c r="C12732"/>
      <c r="D12732"/>
      <c r="E12732"/>
      <c r="F12732"/>
      <c r="G12732"/>
      <c r="H12732"/>
      <c r="I12732"/>
      <c r="J12732"/>
      <c r="K12732" s="1"/>
      <c r="L12732" s="2"/>
    </row>
    <row r="12733" spans="1:12" x14ac:dyDescent="0.2">
      <c r="A12733"/>
      <c r="B12733"/>
      <c r="C12733"/>
      <c r="D12733"/>
      <c r="E12733"/>
      <c r="F12733"/>
      <c r="G12733"/>
      <c r="H12733"/>
      <c r="I12733"/>
      <c r="J12733"/>
      <c r="K12733" s="1"/>
      <c r="L12733" s="2"/>
    </row>
    <row r="12734" spans="1:12" x14ac:dyDescent="0.2">
      <c r="A12734"/>
      <c r="B12734"/>
      <c r="C12734"/>
      <c r="D12734"/>
      <c r="E12734"/>
      <c r="F12734"/>
      <c r="G12734"/>
      <c r="H12734"/>
      <c r="I12734"/>
      <c r="J12734"/>
      <c r="K12734" s="1"/>
      <c r="L12734" s="2"/>
    </row>
    <row r="12735" spans="1:12" x14ac:dyDescent="0.2">
      <c r="A12735"/>
      <c r="B12735"/>
      <c r="C12735"/>
      <c r="D12735"/>
      <c r="E12735"/>
      <c r="F12735"/>
      <c r="G12735"/>
      <c r="H12735"/>
      <c r="I12735"/>
      <c r="J12735"/>
      <c r="K12735" s="1"/>
      <c r="L12735" s="2"/>
    </row>
    <row r="12736" spans="1:12" x14ac:dyDescent="0.2">
      <c r="A12736"/>
      <c r="B12736"/>
      <c r="C12736"/>
      <c r="D12736"/>
      <c r="E12736"/>
      <c r="F12736"/>
      <c r="G12736"/>
      <c r="H12736"/>
      <c r="I12736"/>
      <c r="J12736"/>
      <c r="K12736" s="1"/>
      <c r="L12736" s="2"/>
    </row>
    <row r="12737" spans="1:12" x14ac:dyDescent="0.2">
      <c r="A12737"/>
      <c r="B12737"/>
      <c r="C12737"/>
      <c r="D12737"/>
      <c r="E12737"/>
      <c r="F12737"/>
      <c r="G12737"/>
      <c r="H12737"/>
      <c r="I12737"/>
      <c r="J12737"/>
      <c r="K12737" s="1"/>
      <c r="L12737" s="2"/>
    </row>
    <row r="12738" spans="1:12" x14ac:dyDescent="0.2">
      <c r="A12738"/>
      <c r="B12738"/>
      <c r="C12738"/>
      <c r="D12738"/>
      <c r="E12738"/>
      <c r="F12738"/>
      <c r="G12738"/>
      <c r="H12738"/>
      <c r="I12738"/>
      <c r="J12738"/>
      <c r="K12738" s="1"/>
      <c r="L12738" s="2"/>
    </row>
    <row r="12739" spans="1:12" x14ac:dyDescent="0.2">
      <c r="A12739"/>
      <c r="B12739"/>
      <c r="C12739"/>
      <c r="D12739"/>
      <c r="E12739"/>
      <c r="F12739"/>
      <c r="G12739"/>
      <c r="H12739"/>
      <c r="I12739"/>
      <c r="J12739"/>
      <c r="K12739" s="1"/>
      <c r="L12739" s="2"/>
    </row>
    <row r="12740" spans="1:12" x14ac:dyDescent="0.2">
      <c r="A12740"/>
      <c r="B12740"/>
      <c r="C12740"/>
      <c r="D12740"/>
      <c r="E12740"/>
      <c r="F12740"/>
      <c r="G12740"/>
      <c r="H12740"/>
      <c r="I12740"/>
      <c r="J12740"/>
      <c r="K12740" s="1"/>
      <c r="L12740" s="2"/>
    </row>
    <row r="12741" spans="1:12" x14ac:dyDescent="0.2">
      <c r="A12741"/>
      <c r="B12741"/>
      <c r="C12741"/>
      <c r="D12741"/>
      <c r="E12741"/>
      <c r="F12741"/>
      <c r="G12741"/>
      <c r="H12741"/>
      <c r="I12741"/>
      <c r="J12741"/>
      <c r="K12741" s="1"/>
      <c r="L12741" s="2"/>
    </row>
    <row r="12742" spans="1:12" x14ac:dyDescent="0.2">
      <c r="A12742"/>
      <c r="B12742"/>
      <c r="C12742"/>
      <c r="D12742"/>
      <c r="E12742"/>
      <c r="F12742"/>
      <c r="G12742"/>
      <c r="H12742"/>
      <c r="I12742"/>
      <c r="J12742"/>
      <c r="K12742" s="1"/>
      <c r="L12742" s="2"/>
    </row>
    <row r="12743" spans="1:12" x14ac:dyDescent="0.2">
      <c r="A12743"/>
      <c r="B12743"/>
      <c r="C12743"/>
      <c r="D12743"/>
      <c r="E12743"/>
      <c r="F12743"/>
      <c r="G12743"/>
      <c r="H12743"/>
      <c r="I12743"/>
      <c r="J12743"/>
      <c r="K12743" s="1"/>
      <c r="L12743" s="2"/>
    </row>
    <row r="12744" spans="1:12" x14ac:dyDescent="0.2">
      <c r="A12744"/>
      <c r="B12744"/>
      <c r="C12744"/>
      <c r="D12744"/>
      <c r="E12744"/>
      <c r="F12744"/>
      <c r="G12744"/>
      <c r="H12744"/>
      <c r="I12744"/>
      <c r="J12744"/>
      <c r="K12744" s="1"/>
      <c r="L12744" s="2"/>
    </row>
    <row r="12745" spans="1:12" x14ac:dyDescent="0.2">
      <c r="A12745"/>
      <c r="B12745"/>
      <c r="C12745"/>
      <c r="D12745"/>
      <c r="E12745"/>
      <c r="F12745"/>
      <c r="G12745"/>
      <c r="H12745"/>
      <c r="I12745"/>
      <c r="J12745"/>
      <c r="K12745" s="1"/>
      <c r="L12745" s="2"/>
    </row>
    <row r="12746" spans="1:12" x14ac:dyDescent="0.2">
      <c r="A12746"/>
      <c r="B12746"/>
      <c r="C12746"/>
      <c r="D12746"/>
      <c r="E12746"/>
      <c r="F12746"/>
      <c r="G12746"/>
      <c r="H12746"/>
      <c r="I12746"/>
      <c r="J12746"/>
      <c r="K12746" s="1"/>
      <c r="L12746" s="2"/>
    </row>
    <row r="12747" spans="1:12" x14ac:dyDescent="0.2">
      <c r="A12747"/>
      <c r="B12747"/>
      <c r="C12747"/>
      <c r="D12747"/>
      <c r="E12747"/>
      <c r="F12747"/>
      <c r="G12747"/>
      <c r="H12747"/>
      <c r="I12747"/>
      <c r="J12747"/>
      <c r="K12747" s="1"/>
      <c r="L12747" s="2"/>
    </row>
    <row r="12748" spans="1:12" x14ac:dyDescent="0.2">
      <c r="A12748"/>
      <c r="B12748"/>
      <c r="C12748"/>
      <c r="D12748"/>
      <c r="E12748"/>
      <c r="F12748"/>
      <c r="G12748"/>
      <c r="H12748"/>
      <c r="I12748"/>
      <c r="J12748"/>
      <c r="K12748" s="1"/>
      <c r="L12748" s="2"/>
    </row>
    <row r="12749" spans="1:12" x14ac:dyDescent="0.2">
      <c r="A12749"/>
      <c r="B12749"/>
      <c r="C12749"/>
      <c r="D12749"/>
      <c r="E12749"/>
      <c r="F12749"/>
      <c r="G12749"/>
      <c r="H12749"/>
      <c r="I12749"/>
      <c r="J12749"/>
      <c r="K12749" s="1"/>
      <c r="L12749" s="2"/>
    </row>
    <row r="12750" spans="1:12" x14ac:dyDescent="0.2">
      <c r="A12750"/>
      <c r="B12750"/>
      <c r="C12750"/>
      <c r="D12750"/>
      <c r="E12750"/>
      <c r="F12750"/>
      <c r="G12750"/>
      <c r="H12750"/>
      <c r="I12750"/>
      <c r="J12750"/>
      <c r="K12750" s="1"/>
      <c r="L12750" s="2"/>
    </row>
    <row r="12751" spans="1:12" x14ac:dyDescent="0.2">
      <c r="A12751"/>
      <c r="B12751"/>
      <c r="C12751"/>
      <c r="D12751"/>
      <c r="E12751"/>
      <c r="F12751"/>
      <c r="G12751"/>
      <c r="H12751"/>
      <c r="I12751"/>
      <c r="J12751"/>
      <c r="K12751" s="1"/>
      <c r="L12751" s="2"/>
    </row>
    <row r="12752" spans="1:12" x14ac:dyDescent="0.2">
      <c r="A12752"/>
      <c r="B12752"/>
      <c r="C12752"/>
      <c r="D12752"/>
      <c r="E12752"/>
      <c r="F12752"/>
      <c r="G12752"/>
      <c r="H12752"/>
      <c r="I12752"/>
      <c r="J12752"/>
      <c r="K12752" s="1"/>
      <c r="L12752" s="2"/>
    </row>
    <row r="12753" spans="1:12" x14ac:dyDescent="0.2">
      <c r="A12753"/>
      <c r="B12753"/>
      <c r="C12753"/>
      <c r="D12753"/>
      <c r="E12753"/>
      <c r="F12753"/>
      <c r="G12753"/>
      <c r="H12753"/>
      <c r="I12753"/>
      <c r="J12753"/>
      <c r="K12753" s="1"/>
      <c r="L12753" s="2"/>
    </row>
    <row r="12754" spans="1:12" x14ac:dyDescent="0.2">
      <c r="A12754"/>
      <c r="B12754"/>
      <c r="C12754"/>
      <c r="D12754"/>
      <c r="E12754"/>
      <c r="F12754"/>
      <c r="G12754"/>
      <c r="H12754"/>
      <c r="I12754"/>
      <c r="J12754"/>
      <c r="K12754" s="1"/>
      <c r="L12754" s="2"/>
    </row>
    <row r="12755" spans="1:12" x14ac:dyDescent="0.2">
      <c r="A12755"/>
      <c r="B12755"/>
      <c r="C12755"/>
      <c r="D12755"/>
      <c r="E12755"/>
      <c r="F12755"/>
      <c r="G12755"/>
      <c r="H12755"/>
      <c r="I12755"/>
      <c r="J12755"/>
      <c r="K12755" s="1"/>
      <c r="L12755" s="2"/>
    </row>
    <row r="12756" spans="1:12" x14ac:dyDescent="0.2">
      <c r="A12756"/>
      <c r="B12756"/>
      <c r="C12756"/>
      <c r="D12756"/>
      <c r="E12756"/>
      <c r="F12756"/>
      <c r="G12756"/>
      <c r="H12756"/>
      <c r="I12756"/>
      <c r="J12756"/>
      <c r="K12756" s="1"/>
      <c r="L12756" s="2"/>
    </row>
    <row r="12757" spans="1:12" x14ac:dyDescent="0.2">
      <c r="A12757"/>
      <c r="B12757"/>
      <c r="C12757"/>
      <c r="D12757"/>
      <c r="E12757"/>
      <c r="F12757"/>
      <c r="G12757"/>
      <c r="H12757"/>
      <c r="I12757"/>
      <c r="J12757"/>
      <c r="K12757" s="1"/>
      <c r="L12757" s="2"/>
    </row>
    <row r="12758" spans="1:12" x14ac:dyDescent="0.2">
      <c r="A12758"/>
      <c r="B12758"/>
      <c r="C12758"/>
      <c r="D12758"/>
      <c r="E12758"/>
      <c r="F12758"/>
      <c r="G12758"/>
      <c r="H12758"/>
      <c r="I12758"/>
      <c r="J12758"/>
      <c r="K12758" s="1"/>
      <c r="L12758" s="2"/>
    </row>
    <row r="12759" spans="1:12" x14ac:dyDescent="0.2">
      <c r="A12759"/>
      <c r="B12759"/>
      <c r="C12759"/>
      <c r="D12759"/>
      <c r="E12759"/>
      <c r="F12759"/>
      <c r="G12759"/>
      <c r="H12759"/>
      <c r="I12759"/>
      <c r="J12759"/>
      <c r="K12759" s="1"/>
      <c r="L12759" s="2"/>
    </row>
    <row r="12760" spans="1:12" x14ac:dyDescent="0.2">
      <c r="A12760"/>
      <c r="B12760"/>
      <c r="C12760"/>
      <c r="D12760"/>
      <c r="E12760"/>
      <c r="F12760"/>
      <c r="G12760"/>
      <c r="H12760"/>
      <c r="I12760"/>
      <c r="J12760"/>
      <c r="K12760" s="1"/>
      <c r="L12760" s="2"/>
    </row>
    <row r="12761" spans="1:12" x14ac:dyDescent="0.2">
      <c r="A12761"/>
      <c r="B12761"/>
      <c r="C12761"/>
      <c r="D12761"/>
      <c r="E12761"/>
      <c r="F12761"/>
      <c r="G12761"/>
      <c r="H12761"/>
      <c r="I12761"/>
      <c r="J12761"/>
      <c r="K12761" s="1"/>
      <c r="L12761" s="2"/>
    </row>
    <row r="12762" spans="1:12" x14ac:dyDescent="0.2">
      <c r="A12762"/>
      <c r="B12762"/>
      <c r="C12762"/>
      <c r="D12762"/>
      <c r="E12762"/>
      <c r="F12762"/>
      <c r="G12762"/>
      <c r="H12762"/>
      <c r="I12762"/>
      <c r="J12762"/>
      <c r="K12762" s="1"/>
      <c r="L12762" s="2"/>
    </row>
    <row r="12763" spans="1:12" x14ac:dyDescent="0.2">
      <c r="A12763"/>
      <c r="B12763"/>
      <c r="C12763"/>
      <c r="D12763"/>
      <c r="E12763"/>
      <c r="F12763"/>
      <c r="G12763"/>
      <c r="H12763"/>
      <c r="I12763"/>
      <c r="J12763"/>
      <c r="K12763" s="1"/>
      <c r="L12763" s="2"/>
    </row>
    <row r="12764" spans="1:12" x14ac:dyDescent="0.2">
      <c r="A12764"/>
      <c r="B12764"/>
      <c r="C12764"/>
      <c r="D12764"/>
      <c r="E12764"/>
      <c r="F12764"/>
      <c r="G12764"/>
      <c r="H12764"/>
      <c r="I12764"/>
      <c r="J12764"/>
      <c r="K12764" s="1"/>
      <c r="L12764" s="2"/>
    </row>
    <row r="12765" spans="1:12" x14ac:dyDescent="0.2">
      <c r="A12765"/>
      <c r="B12765"/>
      <c r="C12765"/>
      <c r="D12765"/>
      <c r="E12765"/>
      <c r="F12765"/>
      <c r="G12765"/>
      <c r="H12765"/>
      <c r="I12765"/>
      <c r="J12765"/>
      <c r="K12765" s="1"/>
      <c r="L12765" s="2"/>
    </row>
    <row r="12766" spans="1:12" x14ac:dyDescent="0.2">
      <c r="A12766"/>
      <c r="B12766"/>
      <c r="C12766"/>
      <c r="D12766"/>
      <c r="E12766"/>
      <c r="F12766"/>
      <c r="G12766"/>
      <c r="H12766"/>
      <c r="I12766"/>
      <c r="J12766"/>
      <c r="K12766" s="1"/>
      <c r="L12766" s="2"/>
    </row>
    <row r="12767" spans="1:12" x14ac:dyDescent="0.2">
      <c r="A12767"/>
      <c r="B12767"/>
      <c r="C12767"/>
      <c r="D12767"/>
      <c r="E12767"/>
      <c r="F12767"/>
      <c r="G12767"/>
      <c r="H12767"/>
      <c r="I12767"/>
      <c r="J12767"/>
      <c r="K12767" s="1"/>
      <c r="L12767" s="2"/>
    </row>
    <row r="12768" spans="1:12" x14ac:dyDescent="0.2">
      <c r="A12768"/>
      <c r="B12768"/>
      <c r="C12768"/>
      <c r="D12768"/>
      <c r="E12768"/>
      <c r="F12768"/>
      <c r="G12768"/>
      <c r="H12768"/>
      <c r="I12768"/>
      <c r="J12768"/>
      <c r="K12768" s="1"/>
      <c r="L12768" s="2"/>
    </row>
    <row r="12769" spans="1:12" x14ac:dyDescent="0.2">
      <c r="A12769"/>
      <c r="B12769"/>
      <c r="C12769"/>
      <c r="D12769"/>
      <c r="E12769"/>
      <c r="F12769"/>
      <c r="G12769"/>
      <c r="H12769"/>
      <c r="I12769"/>
      <c r="J12769"/>
      <c r="K12769" s="1"/>
      <c r="L12769" s="2"/>
    </row>
    <row r="12770" spans="1:12" x14ac:dyDescent="0.2">
      <c r="A12770"/>
      <c r="B12770"/>
      <c r="C12770"/>
      <c r="D12770"/>
      <c r="E12770"/>
      <c r="F12770"/>
      <c r="G12770"/>
      <c r="H12770"/>
      <c r="I12770"/>
      <c r="J12770"/>
      <c r="K12770" s="1"/>
      <c r="L12770" s="2"/>
    </row>
    <row r="12771" spans="1:12" x14ac:dyDescent="0.2">
      <c r="A12771"/>
      <c r="B12771"/>
      <c r="C12771"/>
      <c r="D12771"/>
      <c r="E12771"/>
      <c r="F12771"/>
      <c r="G12771"/>
      <c r="H12771"/>
      <c r="I12771"/>
      <c r="J12771"/>
      <c r="K12771" s="1"/>
      <c r="L12771" s="2"/>
    </row>
    <row r="12772" spans="1:12" x14ac:dyDescent="0.2">
      <c r="A12772"/>
      <c r="B12772"/>
      <c r="C12772"/>
      <c r="D12772"/>
      <c r="E12772"/>
      <c r="F12772"/>
      <c r="G12772"/>
      <c r="H12772"/>
      <c r="I12772"/>
      <c r="J12772"/>
      <c r="K12772" s="1"/>
      <c r="L12772" s="2"/>
    </row>
    <row r="12773" spans="1:12" x14ac:dyDescent="0.2">
      <c r="A12773"/>
      <c r="B12773"/>
      <c r="C12773"/>
      <c r="D12773"/>
      <c r="E12773"/>
      <c r="F12773"/>
      <c r="G12773"/>
      <c r="H12773"/>
      <c r="I12773"/>
      <c r="J12773"/>
      <c r="K12773" s="1"/>
      <c r="L12773" s="2"/>
    </row>
    <row r="12774" spans="1:12" x14ac:dyDescent="0.2">
      <c r="A12774"/>
      <c r="B12774"/>
      <c r="C12774"/>
      <c r="D12774"/>
      <c r="E12774"/>
      <c r="F12774"/>
      <c r="G12774"/>
      <c r="H12774"/>
      <c r="I12774"/>
      <c r="J12774"/>
      <c r="K12774" s="1"/>
      <c r="L12774" s="2"/>
    </row>
    <row r="12775" spans="1:12" x14ac:dyDescent="0.2">
      <c r="A12775"/>
      <c r="B12775"/>
      <c r="C12775"/>
      <c r="D12775"/>
      <c r="E12775"/>
      <c r="F12775"/>
      <c r="G12775"/>
      <c r="H12775"/>
      <c r="I12775"/>
      <c r="J12775"/>
      <c r="K12775" s="1"/>
      <c r="L12775" s="2"/>
    </row>
    <row r="12776" spans="1:12" x14ac:dyDescent="0.2">
      <c r="A12776"/>
      <c r="B12776"/>
      <c r="C12776"/>
      <c r="D12776"/>
      <c r="E12776"/>
      <c r="F12776"/>
      <c r="G12776"/>
      <c r="H12776"/>
      <c r="I12776"/>
      <c r="J12776"/>
      <c r="K12776" s="1"/>
      <c r="L12776" s="2"/>
    </row>
    <row r="12777" spans="1:12" x14ac:dyDescent="0.2">
      <c r="A12777"/>
      <c r="B12777"/>
      <c r="C12777"/>
      <c r="D12777"/>
      <c r="E12777"/>
      <c r="F12777"/>
      <c r="G12777"/>
      <c r="H12777"/>
      <c r="I12777"/>
      <c r="J12777"/>
      <c r="K12777" s="1"/>
      <c r="L12777" s="2"/>
    </row>
    <row r="12778" spans="1:12" x14ac:dyDescent="0.2">
      <c r="A12778"/>
      <c r="B12778"/>
      <c r="C12778"/>
      <c r="D12778"/>
      <c r="E12778"/>
      <c r="F12778"/>
      <c r="G12778"/>
      <c r="H12778"/>
      <c r="I12778"/>
      <c r="J12778"/>
      <c r="K12778" s="1"/>
      <c r="L12778" s="2"/>
    </row>
    <row r="12779" spans="1:12" x14ac:dyDescent="0.2">
      <c r="A12779"/>
      <c r="B12779"/>
      <c r="C12779"/>
      <c r="D12779"/>
      <c r="E12779"/>
      <c r="F12779"/>
      <c r="G12779"/>
      <c r="H12779"/>
      <c r="I12779"/>
      <c r="J12779"/>
      <c r="K12779" s="1"/>
      <c r="L12779" s="2"/>
    </row>
    <row r="12780" spans="1:12" x14ac:dyDescent="0.2">
      <c r="A12780"/>
      <c r="B12780"/>
      <c r="C12780"/>
      <c r="D12780"/>
      <c r="E12780"/>
      <c r="F12780"/>
      <c r="G12780"/>
      <c r="H12780"/>
      <c r="I12780"/>
      <c r="J12780"/>
      <c r="K12780" s="1"/>
      <c r="L12780" s="2"/>
    </row>
    <row r="12781" spans="1:12" x14ac:dyDescent="0.2">
      <c r="A12781"/>
      <c r="B12781"/>
      <c r="C12781"/>
      <c r="D12781"/>
      <c r="E12781"/>
      <c r="F12781"/>
      <c r="G12781"/>
      <c r="H12781"/>
      <c r="I12781"/>
      <c r="J12781"/>
      <c r="K12781" s="1"/>
      <c r="L12781" s="2"/>
    </row>
    <row r="12782" spans="1:12" x14ac:dyDescent="0.2">
      <c r="A12782"/>
      <c r="B12782"/>
      <c r="C12782"/>
      <c r="D12782"/>
      <c r="E12782"/>
      <c r="F12782"/>
      <c r="G12782"/>
      <c r="H12782"/>
      <c r="I12782"/>
      <c r="J12782"/>
      <c r="K12782" s="1"/>
      <c r="L12782" s="2"/>
    </row>
    <row r="12783" spans="1:12" x14ac:dyDescent="0.2">
      <c r="A12783"/>
      <c r="B12783"/>
      <c r="C12783"/>
      <c r="D12783"/>
      <c r="E12783"/>
      <c r="F12783"/>
      <c r="G12783"/>
      <c r="H12783"/>
      <c r="I12783"/>
      <c r="J12783"/>
      <c r="K12783" s="1"/>
      <c r="L12783" s="2"/>
    </row>
    <row r="12784" spans="1:12" x14ac:dyDescent="0.2">
      <c r="A12784"/>
      <c r="B12784"/>
      <c r="C12784"/>
      <c r="D12784"/>
      <c r="E12784"/>
      <c r="F12784"/>
      <c r="G12784"/>
      <c r="H12784"/>
      <c r="I12784"/>
      <c r="J12784"/>
      <c r="K12784" s="1"/>
      <c r="L12784" s="2"/>
    </row>
    <row r="12785" spans="1:12" x14ac:dyDescent="0.2">
      <c r="A12785"/>
      <c r="B12785"/>
      <c r="C12785"/>
      <c r="D12785"/>
      <c r="E12785"/>
      <c r="F12785"/>
      <c r="G12785"/>
      <c r="H12785"/>
      <c r="I12785"/>
      <c r="J12785"/>
      <c r="K12785" s="1"/>
      <c r="L12785" s="2"/>
    </row>
    <row r="12786" spans="1:12" x14ac:dyDescent="0.2">
      <c r="A12786"/>
      <c r="B12786"/>
      <c r="C12786"/>
      <c r="D12786"/>
      <c r="E12786"/>
      <c r="F12786"/>
      <c r="G12786"/>
      <c r="H12786"/>
      <c r="I12786"/>
      <c r="J12786"/>
      <c r="K12786" s="1"/>
      <c r="L12786" s="2"/>
    </row>
    <row r="12787" spans="1:12" x14ac:dyDescent="0.2">
      <c r="A12787"/>
      <c r="B12787"/>
      <c r="C12787"/>
      <c r="D12787"/>
      <c r="E12787"/>
      <c r="F12787"/>
      <c r="G12787"/>
      <c r="H12787"/>
      <c r="I12787"/>
      <c r="J12787"/>
      <c r="K12787" s="1"/>
      <c r="L12787" s="2"/>
    </row>
    <row r="12788" spans="1:12" x14ac:dyDescent="0.2">
      <c r="A12788"/>
      <c r="B12788"/>
      <c r="C12788"/>
      <c r="D12788"/>
      <c r="E12788"/>
      <c r="F12788"/>
      <c r="G12788"/>
      <c r="H12788"/>
      <c r="I12788"/>
      <c r="J12788"/>
      <c r="K12788" s="1"/>
      <c r="L12788" s="2"/>
    </row>
    <row r="12789" spans="1:12" x14ac:dyDescent="0.2">
      <c r="A12789"/>
      <c r="B12789"/>
      <c r="C12789"/>
      <c r="D12789"/>
      <c r="E12789"/>
      <c r="F12789"/>
      <c r="G12789"/>
      <c r="H12789"/>
      <c r="I12789"/>
      <c r="J12789"/>
      <c r="K12789" s="1"/>
      <c r="L12789" s="2"/>
    </row>
    <row r="12790" spans="1:12" x14ac:dyDescent="0.2">
      <c r="A12790"/>
      <c r="B12790"/>
      <c r="C12790"/>
      <c r="D12790"/>
      <c r="E12790"/>
      <c r="F12790"/>
      <c r="G12790"/>
      <c r="H12790"/>
      <c r="I12790"/>
      <c r="J12790"/>
      <c r="K12790" s="1"/>
      <c r="L12790" s="2"/>
    </row>
    <row r="12791" spans="1:12" x14ac:dyDescent="0.2">
      <c r="A12791"/>
      <c r="B12791"/>
      <c r="C12791"/>
      <c r="D12791"/>
      <c r="E12791"/>
      <c r="F12791"/>
      <c r="G12791"/>
      <c r="H12791"/>
      <c r="I12791"/>
      <c r="J12791"/>
      <c r="K12791" s="1"/>
      <c r="L12791" s="2"/>
    </row>
    <row r="12792" spans="1:12" x14ac:dyDescent="0.2">
      <c r="A12792"/>
      <c r="B12792"/>
      <c r="C12792"/>
      <c r="D12792"/>
      <c r="E12792"/>
      <c r="F12792"/>
      <c r="G12792"/>
      <c r="H12792"/>
      <c r="I12792"/>
      <c r="J12792"/>
      <c r="K12792" s="1"/>
      <c r="L12792" s="2"/>
    </row>
    <row r="12793" spans="1:12" x14ac:dyDescent="0.2">
      <c r="A12793"/>
      <c r="B12793"/>
      <c r="C12793"/>
      <c r="D12793"/>
      <c r="E12793"/>
      <c r="F12793"/>
      <c r="G12793"/>
      <c r="H12793"/>
      <c r="I12793"/>
      <c r="J12793"/>
      <c r="K12793" s="1"/>
      <c r="L12793" s="2"/>
    </row>
    <row r="12794" spans="1:12" x14ac:dyDescent="0.2">
      <c r="A12794"/>
      <c r="B12794"/>
      <c r="C12794"/>
      <c r="D12794"/>
      <c r="E12794"/>
      <c r="F12794"/>
      <c r="G12794"/>
      <c r="H12794"/>
      <c r="I12794"/>
      <c r="J12794"/>
      <c r="K12794" s="1"/>
      <c r="L12794" s="2"/>
    </row>
    <row r="12795" spans="1:12" x14ac:dyDescent="0.2">
      <c r="A12795"/>
      <c r="B12795"/>
      <c r="C12795"/>
      <c r="D12795"/>
      <c r="E12795"/>
      <c r="F12795"/>
      <c r="G12795"/>
      <c r="H12795"/>
      <c r="I12795"/>
      <c r="J12795"/>
      <c r="K12795" s="1"/>
      <c r="L12795" s="2"/>
    </row>
    <row r="12796" spans="1:12" x14ac:dyDescent="0.2">
      <c r="A12796"/>
      <c r="B12796"/>
      <c r="C12796"/>
      <c r="D12796"/>
      <c r="E12796"/>
      <c r="F12796"/>
      <c r="G12796"/>
      <c r="H12796"/>
      <c r="I12796"/>
      <c r="J12796"/>
      <c r="K12796" s="1"/>
      <c r="L12796" s="2"/>
    </row>
    <row r="12797" spans="1:12" x14ac:dyDescent="0.2">
      <c r="A12797"/>
      <c r="B12797"/>
      <c r="C12797"/>
      <c r="D12797"/>
      <c r="E12797"/>
      <c r="F12797"/>
      <c r="G12797"/>
      <c r="H12797"/>
      <c r="I12797"/>
      <c r="J12797"/>
      <c r="K12797" s="1"/>
      <c r="L12797" s="2"/>
    </row>
    <row r="12798" spans="1:12" x14ac:dyDescent="0.2">
      <c r="A12798"/>
      <c r="B12798"/>
      <c r="C12798"/>
      <c r="D12798"/>
      <c r="E12798"/>
      <c r="F12798"/>
      <c r="G12798"/>
      <c r="H12798"/>
      <c r="I12798"/>
      <c r="J12798"/>
      <c r="K12798" s="1"/>
      <c r="L12798" s="2"/>
    </row>
    <row r="12799" spans="1:12" x14ac:dyDescent="0.2">
      <c r="A12799"/>
      <c r="B12799"/>
      <c r="C12799"/>
      <c r="D12799"/>
      <c r="E12799"/>
      <c r="F12799"/>
      <c r="G12799"/>
      <c r="H12799"/>
      <c r="I12799"/>
      <c r="J12799"/>
      <c r="K12799" s="1"/>
      <c r="L12799" s="2"/>
    </row>
    <row r="12800" spans="1:12" x14ac:dyDescent="0.2">
      <c r="A12800"/>
      <c r="B12800"/>
      <c r="C12800"/>
      <c r="D12800"/>
      <c r="E12800"/>
      <c r="F12800"/>
      <c r="G12800"/>
      <c r="H12800"/>
      <c r="I12800"/>
      <c r="J12800"/>
      <c r="K12800" s="1"/>
      <c r="L12800" s="2"/>
    </row>
    <row r="12801" spans="1:12" x14ac:dyDescent="0.2">
      <c r="A12801"/>
      <c r="B12801"/>
      <c r="C12801"/>
      <c r="D12801"/>
      <c r="E12801"/>
      <c r="F12801"/>
      <c r="G12801"/>
      <c r="H12801"/>
      <c r="I12801"/>
      <c r="J12801"/>
      <c r="K12801" s="1"/>
      <c r="L12801" s="2"/>
    </row>
    <row r="12802" spans="1:12" x14ac:dyDescent="0.2">
      <c r="A12802"/>
      <c r="B12802"/>
      <c r="C12802"/>
      <c r="D12802"/>
      <c r="E12802"/>
      <c r="F12802"/>
      <c r="G12802"/>
      <c r="H12802"/>
      <c r="I12802"/>
      <c r="J12802"/>
      <c r="K12802" s="1"/>
      <c r="L12802" s="2"/>
    </row>
    <row r="12803" spans="1:12" x14ac:dyDescent="0.2">
      <c r="A12803"/>
      <c r="B12803"/>
      <c r="C12803"/>
      <c r="D12803"/>
      <c r="E12803"/>
      <c r="F12803"/>
      <c r="G12803"/>
      <c r="H12803"/>
      <c r="I12803"/>
      <c r="J12803"/>
      <c r="K12803" s="1"/>
      <c r="L12803" s="2"/>
    </row>
    <row r="12804" spans="1:12" x14ac:dyDescent="0.2">
      <c r="A12804"/>
      <c r="B12804"/>
      <c r="C12804"/>
      <c r="D12804"/>
      <c r="E12804"/>
      <c r="F12804"/>
      <c r="G12804"/>
      <c r="H12804"/>
      <c r="I12804"/>
      <c r="J12804"/>
      <c r="K12804" s="1"/>
      <c r="L12804" s="2"/>
    </row>
    <row r="12805" spans="1:12" x14ac:dyDescent="0.2">
      <c r="A12805"/>
      <c r="B12805"/>
      <c r="C12805"/>
      <c r="D12805"/>
      <c r="E12805"/>
      <c r="F12805"/>
      <c r="G12805"/>
      <c r="H12805"/>
      <c r="I12805"/>
      <c r="J12805"/>
      <c r="K12805" s="1"/>
      <c r="L12805" s="2"/>
    </row>
    <row r="12806" spans="1:12" x14ac:dyDescent="0.2">
      <c r="A12806"/>
      <c r="B12806"/>
      <c r="C12806"/>
      <c r="D12806"/>
      <c r="E12806"/>
      <c r="F12806"/>
      <c r="G12806"/>
      <c r="H12806"/>
      <c r="I12806"/>
      <c r="J12806"/>
      <c r="K12806" s="1"/>
      <c r="L12806" s="2"/>
    </row>
    <row r="12807" spans="1:12" x14ac:dyDescent="0.2">
      <c r="A12807"/>
      <c r="B12807"/>
      <c r="C12807"/>
      <c r="D12807"/>
      <c r="E12807"/>
      <c r="F12807"/>
      <c r="G12807"/>
      <c r="H12807"/>
      <c r="I12807"/>
      <c r="J12807"/>
      <c r="K12807" s="1"/>
      <c r="L12807" s="2"/>
    </row>
    <row r="12808" spans="1:12" x14ac:dyDescent="0.2">
      <c r="A12808"/>
      <c r="B12808"/>
      <c r="C12808"/>
      <c r="D12808"/>
      <c r="E12808"/>
      <c r="F12808"/>
      <c r="G12808"/>
      <c r="H12808"/>
      <c r="I12808"/>
      <c r="J12808"/>
      <c r="K12808" s="1"/>
      <c r="L12808" s="2"/>
    </row>
    <row r="12809" spans="1:12" x14ac:dyDescent="0.2">
      <c r="A12809"/>
      <c r="B12809"/>
      <c r="C12809"/>
      <c r="D12809"/>
      <c r="E12809"/>
      <c r="F12809"/>
      <c r="G12809"/>
      <c r="H12809"/>
      <c r="I12809"/>
      <c r="J12809"/>
      <c r="K12809" s="1"/>
      <c r="L12809" s="2"/>
    </row>
    <row r="12810" spans="1:12" x14ac:dyDescent="0.2">
      <c r="A12810"/>
      <c r="B12810"/>
      <c r="C12810"/>
      <c r="D12810"/>
      <c r="E12810"/>
      <c r="F12810"/>
      <c r="G12810"/>
      <c r="H12810"/>
      <c r="I12810"/>
      <c r="J12810"/>
      <c r="K12810" s="1"/>
      <c r="L12810" s="2"/>
    </row>
    <row r="12811" spans="1:12" x14ac:dyDescent="0.2">
      <c r="A12811"/>
      <c r="B12811"/>
      <c r="C12811"/>
      <c r="D12811"/>
      <c r="E12811"/>
      <c r="F12811"/>
      <c r="G12811"/>
      <c r="H12811"/>
      <c r="I12811"/>
      <c r="J12811"/>
      <c r="K12811" s="1"/>
      <c r="L12811" s="2"/>
    </row>
    <row r="12812" spans="1:12" x14ac:dyDescent="0.2">
      <c r="A12812"/>
      <c r="B12812"/>
      <c r="C12812"/>
      <c r="D12812"/>
      <c r="E12812"/>
      <c r="F12812"/>
      <c r="G12812"/>
      <c r="H12812"/>
      <c r="I12812"/>
      <c r="J12812"/>
      <c r="K12812" s="1"/>
      <c r="L12812" s="2"/>
    </row>
    <row r="12813" spans="1:12" x14ac:dyDescent="0.2">
      <c r="A12813"/>
      <c r="B12813"/>
      <c r="C12813"/>
      <c r="D12813"/>
      <c r="E12813"/>
      <c r="F12813"/>
      <c r="G12813"/>
      <c r="H12813"/>
      <c r="I12813"/>
      <c r="J12813"/>
      <c r="K12813" s="1"/>
      <c r="L12813" s="2"/>
    </row>
    <row r="12814" spans="1:12" x14ac:dyDescent="0.2">
      <c r="A12814"/>
      <c r="B12814"/>
      <c r="C12814"/>
      <c r="D12814"/>
      <c r="E12814"/>
      <c r="F12814"/>
      <c r="G12814"/>
      <c r="H12814"/>
      <c r="I12814"/>
      <c r="J12814"/>
      <c r="K12814" s="1"/>
      <c r="L12814" s="2"/>
    </row>
    <row r="12815" spans="1:12" x14ac:dyDescent="0.2">
      <c r="A12815"/>
      <c r="B12815"/>
      <c r="C12815"/>
      <c r="D12815"/>
      <c r="E12815"/>
      <c r="F12815"/>
      <c r="G12815"/>
      <c r="H12815"/>
      <c r="I12815"/>
      <c r="J12815"/>
      <c r="K12815" s="1"/>
      <c r="L12815" s="2"/>
    </row>
    <row r="12816" spans="1:12" x14ac:dyDescent="0.2">
      <c r="A12816"/>
      <c r="B12816"/>
      <c r="C12816"/>
      <c r="D12816"/>
      <c r="E12816"/>
      <c r="F12816"/>
      <c r="G12816"/>
      <c r="H12816"/>
      <c r="I12816"/>
      <c r="J12816"/>
      <c r="K12816" s="1"/>
      <c r="L12816" s="2"/>
    </row>
    <row r="12817" spans="1:12" x14ac:dyDescent="0.2">
      <c r="A12817"/>
      <c r="B12817"/>
      <c r="C12817"/>
      <c r="D12817"/>
      <c r="E12817"/>
      <c r="F12817"/>
      <c r="G12817"/>
      <c r="H12817"/>
      <c r="I12817"/>
      <c r="J12817"/>
      <c r="K12817" s="1"/>
      <c r="L12817" s="2"/>
    </row>
    <row r="12818" spans="1:12" x14ac:dyDescent="0.2">
      <c r="A12818"/>
      <c r="B12818"/>
      <c r="C12818"/>
      <c r="D12818"/>
      <c r="E12818"/>
      <c r="F12818"/>
      <c r="G12818"/>
      <c r="H12818"/>
      <c r="I12818"/>
      <c r="J12818"/>
      <c r="K12818" s="1"/>
      <c r="L12818" s="2"/>
    </row>
    <row r="12819" spans="1:12" x14ac:dyDescent="0.2">
      <c r="A12819"/>
      <c r="B12819"/>
      <c r="C12819"/>
      <c r="D12819"/>
      <c r="E12819"/>
      <c r="F12819"/>
      <c r="G12819"/>
      <c r="H12819"/>
      <c r="I12819"/>
      <c r="J12819"/>
      <c r="K12819" s="1"/>
      <c r="L12819" s="2"/>
    </row>
    <row r="12820" spans="1:12" x14ac:dyDescent="0.2">
      <c r="A12820"/>
      <c r="B12820"/>
      <c r="C12820"/>
      <c r="D12820"/>
      <c r="E12820"/>
      <c r="F12820"/>
      <c r="G12820"/>
      <c r="H12820"/>
      <c r="I12820"/>
      <c r="J12820"/>
      <c r="K12820" s="1"/>
      <c r="L12820" s="2"/>
    </row>
    <row r="12821" spans="1:12" x14ac:dyDescent="0.2">
      <c r="A12821"/>
      <c r="B12821"/>
      <c r="C12821"/>
      <c r="D12821"/>
      <c r="E12821"/>
      <c r="F12821"/>
      <c r="G12821"/>
      <c r="H12821"/>
      <c r="I12821"/>
      <c r="J12821"/>
      <c r="K12821" s="1"/>
      <c r="L12821" s="2"/>
    </row>
    <row r="12822" spans="1:12" x14ac:dyDescent="0.2">
      <c r="A12822"/>
      <c r="B12822"/>
      <c r="C12822"/>
      <c r="D12822"/>
      <c r="E12822"/>
      <c r="F12822"/>
      <c r="G12822"/>
      <c r="H12822"/>
      <c r="I12822"/>
      <c r="J12822"/>
      <c r="K12822" s="1"/>
      <c r="L12822" s="2"/>
    </row>
    <row r="12823" spans="1:12" x14ac:dyDescent="0.2">
      <c r="A12823"/>
      <c r="B12823"/>
      <c r="C12823"/>
      <c r="D12823"/>
      <c r="E12823"/>
      <c r="F12823"/>
      <c r="G12823"/>
      <c r="H12823"/>
      <c r="I12823"/>
      <c r="J12823"/>
      <c r="K12823" s="1"/>
      <c r="L12823" s="2"/>
    </row>
    <row r="12824" spans="1:12" x14ac:dyDescent="0.2">
      <c r="A12824"/>
      <c r="B12824"/>
      <c r="C12824"/>
      <c r="D12824"/>
      <c r="E12824"/>
      <c r="F12824"/>
      <c r="G12824"/>
      <c r="H12824"/>
      <c r="I12824"/>
      <c r="J12824"/>
      <c r="K12824" s="1"/>
      <c r="L12824" s="2"/>
    </row>
    <row r="12825" spans="1:12" x14ac:dyDescent="0.2">
      <c r="A12825"/>
      <c r="B12825"/>
      <c r="C12825"/>
      <c r="D12825"/>
      <c r="E12825"/>
      <c r="F12825"/>
      <c r="G12825"/>
      <c r="H12825"/>
      <c r="I12825"/>
      <c r="J12825"/>
      <c r="K12825" s="1"/>
      <c r="L12825" s="2"/>
    </row>
    <row r="12826" spans="1:12" x14ac:dyDescent="0.2">
      <c r="A12826"/>
      <c r="B12826"/>
      <c r="C12826"/>
      <c r="D12826"/>
      <c r="E12826"/>
      <c r="F12826"/>
      <c r="G12826"/>
      <c r="H12826"/>
      <c r="I12826"/>
      <c r="J12826"/>
      <c r="K12826" s="1"/>
      <c r="L12826" s="2"/>
    </row>
    <row r="12827" spans="1:12" x14ac:dyDescent="0.2">
      <c r="A12827"/>
      <c r="B12827"/>
      <c r="C12827"/>
      <c r="D12827"/>
      <c r="E12827"/>
      <c r="F12827"/>
      <c r="G12827"/>
      <c r="H12827"/>
      <c r="I12827"/>
      <c r="J12827"/>
      <c r="K12827" s="1"/>
      <c r="L12827" s="2"/>
    </row>
    <row r="12828" spans="1:12" x14ac:dyDescent="0.2">
      <c r="A12828"/>
      <c r="B12828"/>
      <c r="C12828"/>
      <c r="D12828"/>
      <c r="E12828"/>
      <c r="F12828"/>
      <c r="G12828"/>
      <c r="H12828"/>
      <c r="I12828"/>
      <c r="J12828"/>
      <c r="K12828" s="1"/>
      <c r="L12828" s="2"/>
    </row>
    <row r="12829" spans="1:12" x14ac:dyDescent="0.2">
      <c r="A12829"/>
      <c r="B12829"/>
      <c r="C12829"/>
      <c r="D12829"/>
      <c r="E12829"/>
      <c r="F12829"/>
      <c r="G12829"/>
      <c r="H12829"/>
      <c r="I12829"/>
      <c r="J12829"/>
      <c r="K12829" s="1"/>
      <c r="L12829" s="2"/>
    </row>
    <row r="12830" spans="1:12" x14ac:dyDescent="0.2">
      <c r="A12830"/>
      <c r="B12830"/>
      <c r="C12830"/>
      <c r="D12830"/>
      <c r="E12830"/>
      <c r="F12830"/>
      <c r="G12830"/>
      <c r="H12830"/>
      <c r="I12830"/>
      <c r="J12830"/>
      <c r="K12830" s="1"/>
      <c r="L12830" s="2"/>
    </row>
    <row r="12831" spans="1:12" x14ac:dyDescent="0.2">
      <c r="A12831"/>
      <c r="B12831"/>
      <c r="C12831"/>
      <c r="D12831"/>
      <c r="E12831"/>
      <c r="F12831"/>
      <c r="G12831"/>
      <c r="H12831"/>
      <c r="I12831"/>
      <c r="J12831"/>
      <c r="K12831" s="1"/>
      <c r="L12831" s="2"/>
    </row>
    <row r="12832" spans="1:12" x14ac:dyDescent="0.2">
      <c r="A12832"/>
      <c r="B12832"/>
      <c r="C12832"/>
      <c r="D12832"/>
      <c r="E12832"/>
      <c r="F12832"/>
      <c r="G12832"/>
      <c r="H12832"/>
      <c r="I12832"/>
      <c r="J12832"/>
      <c r="K12832" s="1"/>
      <c r="L12832" s="2"/>
    </row>
    <row r="12833" spans="1:12" x14ac:dyDescent="0.2">
      <c r="A12833"/>
      <c r="B12833"/>
      <c r="C12833"/>
      <c r="D12833"/>
      <c r="E12833"/>
      <c r="F12833"/>
      <c r="G12833"/>
      <c r="H12833"/>
      <c r="I12833"/>
      <c r="J12833"/>
      <c r="K12833" s="1"/>
      <c r="L12833" s="2"/>
    </row>
    <row r="12834" spans="1:12" x14ac:dyDescent="0.2">
      <c r="A12834"/>
      <c r="B12834"/>
      <c r="C12834"/>
      <c r="D12834"/>
      <c r="E12834"/>
      <c r="F12834"/>
      <c r="G12834"/>
      <c r="H12834"/>
      <c r="I12834"/>
      <c r="J12834"/>
      <c r="K12834" s="1"/>
      <c r="L12834" s="2"/>
    </row>
    <row r="12835" spans="1:12" x14ac:dyDescent="0.2">
      <c r="A12835"/>
      <c r="B12835"/>
      <c r="C12835"/>
      <c r="D12835"/>
      <c r="E12835"/>
      <c r="F12835"/>
      <c r="G12835"/>
      <c r="H12835"/>
      <c r="I12835"/>
      <c r="J12835"/>
      <c r="K12835" s="1"/>
      <c r="L12835" s="2"/>
    </row>
    <row r="12836" spans="1:12" x14ac:dyDescent="0.2">
      <c r="A12836"/>
      <c r="B12836"/>
      <c r="C12836"/>
      <c r="D12836"/>
      <c r="E12836"/>
      <c r="F12836"/>
      <c r="G12836"/>
      <c r="H12836"/>
      <c r="I12836"/>
      <c r="J12836"/>
      <c r="K12836" s="1"/>
      <c r="L12836" s="2"/>
    </row>
    <row r="12837" spans="1:12" x14ac:dyDescent="0.2">
      <c r="A12837"/>
      <c r="B12837"/>
      <c r="C12837"/>
      <c r="D12837"/>
      <c r="E12837"/>
      <c r="F12837"/>
      <c r="G12837"/>
      <c r="H12837"/>
      <c r="I12837"/>
      <c r="J12837"/>
      <c r="K12837" s="1"/>
      <c r="L12837" s="2"/>
    </row>
    <row r="12838" spans="1:12" x14ac:dyDescent="0.2">
      <c r="A12838"/>
      <c r="B12838"/>
      <c r="C12838"/>
      <c r="D12838"/>
      <c r="E12838"/>
      <c r="F12838"/>
      <c r="G12838"/>
      <c r="H12838"/>
      <c r="I12838"/>
      <c r="J12838"/>
      <c r="K12838" s="1"/>
      <c r="L12838" s="2"/>
    </row>
    <row r="12839" spans="1:12" x14ac:dyDescent="0.2">
      <c r="A12839"/>
      <c r="B12839"/>
      <c r="C12839"/>
      <c r="D12839"/>
      <c r="E12839"/>
      <c r="F12839"/>
      <c r="G12839"/>
      <c r="H12839"/>
      <c r="I12839"/>
      <c r="J12839"/>
      <c r="K12839" s="1"/>
      <c r="L12839" s="2"/>
    </row>
    <row r="12840" spans="1:12" x14ac:dyDescent="0.2">
      <c r="A12840"/>
      <c r="B12840"/>
      <c r="C12840"/>
      <c r="D12840"/>
      <c r="E12840"/>
      <c r="F12840"/>
      <c r="G12840"/>
      <c r="H12840"/>
      <c r="I12840"/>
      <c r="J12840"/>
      <c r="K12840" s="1"/>
      <c r="L12840" s="2"/>
    </row>
    <row r="12841" spans="1:12" x14ac:dyDescent="0.2">
      <c r="A12841"/>
      <c r="B12841"/>
      <c r="C12841"/>
      <c r="D12841"/>
      <c r="E12841"/>
      <c r="F12841"/>
      <c r="G12841"/>
      <c r="H12841"/>
      <c r="I12841"/>
      <c r="J12841"/>
      <c r="K12841" s="1"/>
      <c r="L12841" s="2"/>
    </row>
    <row r="12842" spans="1:12" x14ac:dyDescent="0.2">
      <c r="A12842"/>
      <c r="B12842"/>
      <c r="C12842"/>
      <c r="D12842"/>
      <c r="E12842"/>
      <c r="F12842"/>
      <c r="G12842"/>
      <c r="H12842"/>
      <c r="I12842"/>
      <c r="J12842"/>
      <c r="K12842" s="1"/>
      <c r="L12842" s="2"/>
    </row>
    <row r="12843" spans="1:12" x14ac:dyDescent="0.2">
      <c r="A12843"/>
      <c r="B12843"/>
      <c r="C12843"/>
      <c r="D12843"/>
      <c r="E12843"/>
      <c r="F12843"/>
      <c r="G12843"/>
      <c r="H12843"/>
      <c r="I12843"/>
      <c r="J12843"/>
      <c r="K12843" s="1"/>
      <c r="L12843" s="2"/>
    </row>
    <row r="12844" spans="1:12" x14ac:dyDescent="0.2">
      <c r="A12844"/>
      <c r="B12844"/>
      <c r="C12844"/>
      <c r="D12844"/>
      <c r="E12844"/>
      <c r="F12844"/>
      <c r="G12844"/>
      <c r="H12844"/>
      <c r="I12844"/>
      <c r="J12844"/>
      <c r="K12844" s="1"/>
      <c r="L12844" s="2"/>
    </row>
    <row r="12845" spans="1:12" x14ac:dyDescent="0.2">
      <c r="A12845"/>
      <c r="B12845"/>
      <c r="C12845"/>
      <c r="D12845"/>
      <c r="E12845"/>
      <c r="F12845"/>
      <c r="G12845"/>
      <c r="H12845"/>
      <c r="I12845"/>
      <c r="J12845"/>
      <c r="K12845" s="1"/>
      <c r="L12845" s="2"/>
    </row>
    <row r="12846" spans="1:12" x14ac:dyDescent="0.2">
      <c r="A12846"/>
      <c r="B12846"/>
      <c r="C12846"/>
      <c r="D12846"/>
      <c r="E12846"/>
      <c r="F12846"/>
      <c r="G12846"/>
      <c r="H12846"/>
      <c r="I12846"/>
      <c r="J12846"/>
      <c r="K12846" s="1"/>
      <c r="L12846" s="2"/>
    </row>
    <row r="12847" spans="1:12" x14ac:dyDescent="0.2">
      <c r="A12847"/>
      <c r="B12847"/>
      <c r="C12847"/>
      <c r="D12847"/>
      <c r="E12847"/>
      <c r="F12847"/>
      <c r="G12847"/>
      <c r="H12847"/>
      <c r="I12847"/>
      <c r="J12847"/>
      <c r="K12847" s="1"/>
      <c r="L12847" s="2"/>
    </row>
    <row r="12848" spans="1:12" x14ac:dyDescent="0.2">
      <c r="A12848"/>
      <c r="B12848"/>
      <c r="C12848"/>
      <c r="D12848"/>
      <c r="E12848"/>
      <c r="F12848"/>
      <c r="G12848"/>
      <c r="H12848"/>
      <c r="I12848"/>
      <c r="J12848"/>
      <c r="K12848" s="1"/>
      <c r="L12848" s="2"/>
    </row>
    <row r="12849" spans="1:12" x14ac:dyDescent="0.2">
      <c r="A12849"/>
      <c r="B12849"/>
      <c r="C12849"/>
      <c r="D12849"/>
      <c r="E12849"/>
      <c r="F12849"/>
      <c r="G12849"/>
      <c r="H12849"/>
      <c r="I12849"/>
      <c r="J12849"/>
      <c r="K12849" s="1"/>
      <c r="L12849" s="2"/>
    </row>
    <row r="12850" spans="1:12" x14ac:dyDescent="0.2">
      <c r="A12850"/>
      <c r="B12850"/>
      <c r="C12850"/>
      <c r="D12850"/>
      <c r="E12850"/>
      <c r="F12850"/>
      <c r="G12850"/>
      <c r="H12850"/>
      <c r="I12850"/>
      <c r="J12850"/>
      <c r="K12850" s="1"/>
      <c r="L12850" s="2"/>
    </row>
    <row r="12851" spans="1:12" x14ac:dyDescent="0.2">
      <c r="A12851"/>
      <c r="B12851"/>
      <c r="C12851"/>
      <c r="D12851"/>
      <c r="E12851"/>
      <c r="F12851"/>
      <c r="G12851"/>
      <c r="H12851"/>
      <c r="I12851"/>
      <c r="J12851"/>
      <c r="K12851" s="1"/>
      <c r="L12851" s="2"/>
    </row>
    <row r="12852" spans="1:12" x14ac:dyDescent="0.2">
      <c r="A12852"/>
      <c r="B12852"/>
      <c r="C12852"/>
      <c r="D12852"/>
      <c r="E12852"/>
      <c r="F12852"/>
      <c r="G12852"/>
      <c r="H12852"/>
      <c r="I12852"/>
      <c r="J12852"/>
      <c r="K12852" s="1"/>
      <c r="L12852" s="2"/>
    </row>
    <row r="12853" spans="1:12" x14ac:dyDescent="0.2">
      <c r="A12853"/>
      <c r="B12853"/>
      <c r="C12853"/>
      <c r="D12853"/>
      <c r="E12853"/>
      <c r="F12853"/>
      <c r="G12853"/>
      <c r="H12853"/>
      <c r="I12853"/>
      <c r="J12853"/>
      <c r="K12853" s="1"/>
      <c r="L12853" s="2"/>
    </row>
    <row r="12854" spans="1:12" x14ac:dyDescent="0.2">
      <c r="A12854"/>
      <c r="B12854"/>
      <c r="C12854"/>
      <c r="D12854"/>
      <c r="E12854"/>
      <c r="F12854"/>
      <c r="G12854"/>
      <c r="H12854"/>
      <c r="I12854"/>
      <c r="J12854"/>
      <c r="K12854" s="1"/>
      <c r="L12854" s="2"/>
    </row>
    <row r="12855" spans="1:12" x14ac:dyDescent="0.2">
      <c r="A12855"/>
      <c r="B12855"/>
      <c r="C12855"/>
      <c r="D12855"/>
      <c r="E12855"/>
      <c r="F12855"/>
      <c r="G12855"/>
      <c r="H12855"/>
      <c r="I12855"/>
      <c r="J12855"/>
      <c r="K12855" s="1"/>
      <c r="L12855" s="2"/>
    </row>
    <row r="12856" spans="1:12" x14ac:dyDescent="0.2">
      <c r="A12856"/>
      <c r="B12856"/>
      <c r="C12856"/>
      <c r="D12856"/>
      <c r="E12856"/>
      <c r="F12856"/>
      <c r="G12856"/>
      <c r="H12856"/>
      <c r="I12856"/>
      <c r="J12856"/>
      <c r="K12856" s="1"/>
      <c r="L12856" s="2"/>
    </row>
    <row r="12857" spans="1:12" x14ac:dyDescent="0.2">
      <c r="A12857"/>
      <c r="B12857"/>
      <c r="C12857"/>
      <c r="D12857"/>
      <c r="E12857"/>
      <c r="F12857"/>
      <c r="G12857"/>
      <c r="H12857"/>
      <c r="I12857"/>
      <c r="J12857"/>
      <c r="K12857" s="1"/>
      <c r="L12857" s="2"/>
    </row>
    <row r="12858" spans="1:12" x14ac:dyDescent="0.2">
      <c r="A12858"/>
      <c r="B12858"/>
      <c r="C12858"/>
      <c r="D12858"/>
      <c r="E12858"/>
      <c r="F12858"/>
      <c r="G12858"/>
      <c r="H12858"/>
      <c r="I12858"/>
      <c r="J12858"/>
      <c r="K12858" s="1"/>
      <c r="L12858" s="2"/>
    </row>
    <row r="12859" spans="1:12" x14ac:dyDescent="0.2">
      <c r="A12859"/>
      <c r="B12859"/>
      <c r="C12859"/>
      <c r="D12859"/>
      <c r="E12859"/>
      <c r="F12859"/>
      <c r="G12859"/>
      <c r="H12859"/>
      <c r="I12859"/>
      <c r="J12859"/>
      <c r="K12859" s="1"/>
      <c r="L12859" s="2"/>
    </row>
    <row r="12860" spans="1:12" x14ac:dyDescent="0.2">
      <c r="A12860"/>
      <c r="B12860"/>
      <c r="C12860"/>
      <c r="D12860"/>
      <c r="E12860"/>
      <c r="F12860"/>
      <c r="G12860"/>
      <c r="H12860"/>
      <c r="I12860"/>
      <c r="J12860"/>
      <c r="K12860" s="1"/>
      <c r="L12860" s="2"/>
    </row>
    <row r="12861" spans="1:12" x14ac:dyDescent="0.2">
      <c r="A12861"/>
      <c r="B12861"/>
      <c r="C12861"/>
      <c r="D12861"/>
      <c r="E12861"/>
      <c r="F12861"/>
      <c r="G12861"/>
      <c r="H12861"/>
      <c r="I12861"/>
      <c r="J12861"/>
      <c r="K12861" s="1"/>
      <c r="L12861" s="2"/>
    </row>
    <row r="12862" spans="1:12" x14ac:dyDescent="0.2">
      <c r="A12862"/>
      <c r="B12862"/>
      <c r="C12862"/>
      <c r="D12862"/>
      <c r="E12862"/>
      <c r="F12862"/>
      <c r="G12862"/>
      <c r="H12862"/>
      <c r="I12862"/>
      <c r="J12862"/>
      <c r="K12862" s="1"/>
      <c r="L12862" s="2"/>
    </row>
    <row r="12863" spans="1:12" x14ac:dyDescent="0.2">
      <c r="A12863"/>
      <c r="B12863"/>
      <c r="C12863"/>
      <c r="D12863"/>
      <c r="E12863"/>
      <c r="F12863"/>
      <c r="G12863"/>
      <c r="H12863"/>
      <c r="I12863"/>
      <c r="J12863"/>
      <c r="K12863" s="1"/>
      <c r="L12863" s="2"/>
    </row>
    <row r="12864" spans="1:12" x14ac:dyDescent="0.2">
      <c r="A12864"/>
      <c r="B12864"/>
      <c r="C12864"/>
      <c r="D12864"/>
      <c r="E12864"/>
      <c r="F12864"/>
      <c r="G12864"/>
      <c r="H12864"/>
      <c r="I12864"/>
      <c r="J12864"/>
      <c r="K12864" s="1"/>
      <c r="L12864" s="2"/>
    </row>
    <row r="12865" spans="1:12" x14ac:dyDescent="0.2">
      <c r="A12865"/>
      <c r="B12865"/>
      <c r="C12865"/>
      <c r="D12865"/>
      <c r="E12865"/>
      <c r="F12865"/>
      <c r="G12865"/>
      <c r="H12865"/>
      <c r="I12865"/>
      <c r="J12865"/>
      <c r="K12865" s="1"/>
      <c r="L12865" s="2"/>
    </row>
    <row r="12866" spans="1:12" x14ac:dyDescent="0.2">
      <c r="A12866"/>
      <c r="B12866"/>
      <c r="C12866"/>
      <c r="D12866"/>
      <c r="E12866"/>
      <c r="F12866"/>
      <c r="G12866"/>
      <c r="H12866"/>
      <c r="I12866"/>
      <c r="J12866"/>
      <c r="K12866" s="1"/>
      <c r="L12866" s="2"/>
    </row>
    <row r="12867" spans="1:12" x14ac:dyDescent="0.2">
      <c r="A12867"/>
      <c r="B12867"/>
      <c r="C12867"/>
      <c r="D12867"/>
      <c r="E12867"/>
      <c r="F12867"/>
      <c r="G12867"/>
      <c r="H12867"/>
      <c r="I12867"/>
      <c r="J12867"/>
      <c r="K12867" s="1"/>
      <c r="L12867" s="2"/>
    </row>
    <row r="12868" spans="1:12" x14ac:dyDescent="0.2">
      <c r="A12868"/>
      <c r="B12868"/>
      <c r="C12868"/>
      <c r="D12868"/>
      <c r="E12868"/>
      <c r="F12868"/>
      <c r="G12868"/>
      <c r="H12868"/>
      <c r="I12868"/>
      <c r="J12868"/>
      <c r="K12868" s="1"/>
      <c r="L12868" s="2"/>
    </row>
    <row r="12869" spans="1:12" x14ac:dyDescent="0.2">
      <c r="A12869"/>
      <c r="B12869"/>
      <c r="C12869"/>
      <c r="D12869"/>
      <c r="E12869"/>
      <c r="F12869"/>
      <c r="G12869"/>
      <c r="H12869"/>
      <c r="I12869"/>
      <c r="J12869"/>
      <c r="K12869" s="1"/>
      <c r="L12869" s="2"/>
    </row>
    <row r="12870" spans="1:12" x14ac:dyDescent="0.2">
      <c r="A12870"/>
      <c r="B12870"/>
      <c r="C12870"/>
      <c r="D12870"/>
      <c r="E12870"/>
      <c r="F12870"/>
      <c r="G12870"/>
      <c r="H12870"/>
      <c r="I12870"/>
      <c r="J12870"/>
      <c r="K12870" s="1"/>
      <c r="L12870" s="2"/>
    </row>
    <row r="12871" spans="1:12" x14ac:dyDescent="0.2">
      <c r="A12871"/>
      <c r="B12871"/>
      <c r="C12871"/>
      <c r="D12871"/>
      <c r="E12871"/>
      <c r="F12871"/>
      <c r="G12871"/>
      <c r="H12871"/>
      <c r="I12871"/>
      <c r="J12871"/>
      <c r="K12871" s="1"/>
      <c r="L12871" s="2"/>
    </row>
    <row r="12872" spans="1:12" x14ac:dyDescent="0.2">
      <c r="A12872"/>
      <c r="B12872"/>
      <c r="C12872"/>
      <c r="D12872"/>
      <c r="E12872"/>
      <c r="F12872"/>
      <c r="G12872"/>
      <c r="H12872"/>
      <c r="I12872"/>
      <c r="J12872"/>
      <c r="K12872" s="1"/>
      <c r="L12872" s="2"/>
    </row>
    <row r="12873" spans="1:12" x14ac:dyDescent="0.2">
      <c r="A12873"/>
      <c r="B12873"/>
      <c r="C12873"/>
      <c r="D12873"/>
      <c r="E12873"/>
      <c r="F12873"/>
      <c r="G12873"/>
      <c r="H12873"/>
      <c r="I12873"/>
      <c r="J12873"/>
      <c r="K12873" s="1"/>
      <c r="L12873" s="2"/>
    </row>
    <row r="12874" spans="1:12" x14ac:dyDescent="0.2">
      <c r="A12874"/>
      <c r="B12874"/>
      <c r="C12874"/>
      <c r="D12874"/>
      <c r="E12874"/>
      <c r="F12874"/>
      <c r="G12874"/>
      <c r="H12874"/>
      <c r="I12874"/>
      <c r="J12874"/>
      <c r="K12874" s="1"/>
      <c r="L12874" s="2"/>
    </row>
    <row r="12875" spans="1:12" x14ac:dyDescent="0.2">
      <c r="A12875"/>
      <c r="B12875"/>
      <c r="C12875"/>
      <c r="D12875"/>
      <c r="E12875"/>
      <c r="F12875"/>
      <c r="G12875"/>
      <c r="H12875"/>
      <c r="I12875"/>
      <c r="J12875"/>
      <c r="K12875" s="1"/>
      <c r="L12875" s="2"/>
    </row>
    <row r="12876" spans="1:12" x14ac:dyDescent="0.2">
      <c r="A12876"/>
      <c r="B12876"/>
      <c r="C12876"/>
      <c r="D12876"/>
      <c r="E12876"/>
      <c r="F12876"/>
      <c r="G12876"/>
      <c r="H12876"/>
      <c r="I12876"/>
      <c r="J12876"/>
      <c r="K12876" s="1"/>
      <c r="L12876" s="2"/>
    </row>
    <row r="12877" spans="1:12" x14ac:dyDescent="0.2">
      <c r="A12877"/>
      <c r="B12877"/>
      <c r="C12877"/>
      <c r="D12877"/>
      <c r="E12877"/>
      <c r="F12877"/>
      <c r="G12877"/>
      <c r="H12877"/>
      <c r="I12877"/>
      <c r="J12877"/>
      <c r="K12877" s="1"/>
      <c r="L12877" s="2"/>
    </row>
    <row r="12878" spans="1:12" x14ac:dyDescent="0.2">
      <c r="A12878"/>
      <c r="B12878"/>
      <c r="C12878"/>
      <c r="D12878"/>
      <c r="E12878"/>
      <c r="F12878"/>
      <c r="G12878"/>
      <c r="H12878"/>
      <c r="I12878"/>
      <c r="J12878"/>
      <c r="K12878" s="1"/>
      <c r="L12878" s="2"/>
    </row>
    <row r="12879" spans="1:12" x14ac:dyDescent="0.2">
      <c r="A12879"/>
      <c r="B12879"/>
      <c r="C12879"/>
      <c r="D12879"/>
      <c r="E12879"/>
      <c r="F12879"/>
      <c r="G12879"/>
      <c r="H12879"/>
      <c r="I12879"/>
      <c r="J12879"/>
      <c r="K12879" s="1"/>
      <c r="L12879" s="2"/>
    </row>
    <row r="12880" spans="1:12" x14ac:dyDescent="0.2">
      <c r="A12880"/>
      <c r="B12880"/>
      <c r="C12880"/>
      <c r="D12880"/>
      <c r="E12880"/>
      <c r="F12880"/>
      <c r="G12880"/>
      <c r="H12880"/>
      <c r="I12880"/>
      <c r="J12880"/>
      <c r="K12880" s="1"/>
      <c r="L12880" s="2"/>
    </row>
    <row r="12881" spans="1:12" x14ac:dyDescent="0.2">
      <c r="A12881"/>
      <c r="B12881"/>
      <c r="C12881"/>
      <c r="D12881"/>
      <c r="E12881"/>
      <c r="F12881"/>
      <c r="G12881"/>
      <c r="H12881"/>
      <c r="I12881"/>
      <c r="J12881"/>
      <c r="K12881" s="1"/>
      <c r="L12881" s="2"/>
    </row>
    <row r="12882" spans="1:12" x14ac:dyDescent="0.2">
      <c r="A12882"/>
      <c r="B12882"/>
      <c r="C12882"/>
      <c r="D12882"/>
      <c r="E12882"/>
      <c r="F12882"/>
      <c r="G12882"/>
      <c r="H12882"/>
      <c r="I12882"/>
      <c r="J12882"/>
      <c r="K12882" s="1"/>
      <c r="L12882" s="2"/>
    </row>
    <row r="12883" spans="1:12" x14ac:dyDescent="0.2">
      <c r="A12883"/>
      <c r="B12883"/>
      <c r="C12883"/>
      <c r="D12883"/>
      <c r="E12883"/>
      <c r="F12883"/>
      <c r="G12883"/>
      <c r="H12883"/>
      <c r="I12883"/>
      <c r="J12883"/>
      <c r="K12883" s="1"/>
      <c r="L12883" s="2"/>
    </row>
    <row r="12884" spans="1:12" x14ac:dyDescent="0.2">
      <c r="A12884"/>
      <c r="B12884"/>
      <c r="C12884"/>
      <c r="D12884"/>
      <c r="E12884"/>
      <c r="F12884"/>
      <c r="G12884"/>
      <c r="H12884"/>
      <c r="I12884"/>
      <c r="J12884"/>
      <c r="K12884" s="1"/>
      <c r="L12884" s="2"/>
    </row>
    <row r="12885" spans="1:12" x14ac:dyDescent="0.2">
      <c r="A12885"/>
      <c r="B12885"/>
      <c r="C12885"/>
      <c r="D12885"/>
      <c r="E12885"/>
      <c r="F12885"/>
      <c r="G12885"/>
      <c r="H12885"/>
      <c r="I12885"/>
      <c r="J12885"/>
      <c r="K12885" s="1"/>
      <c r="L12885" s="2"/>
    </row>
    <row r="12886" spans="1:12" x14ac:dyDescent="0.2">
      <c r="A12886"/>
      <c r="B12886"/>
      <c r="C12886"/>
      <c r="D12886"/>
      <c r="E12886"/>
      <c r="F12886"/>
      <c r="G12886"/>
      <c r="H12886"/>
      <c r="I12886"/>
      <c r="J12886"/>
      <c r="K12886" s="1"/>
      <c r="L12886" s="2"/>
    </row>
    <row r="12887" spans="1:12" x14ac:dyDescent="0.2">
      <c r="A12887"/>
      <c r="B12887"/>
      <c r="C12887"/>
      <c r="D12887"/>
      <c r="E12887"/>
      <c r="F12887"/>
      <c r="G12887"/>
      <c r="H12887"/>
      <c r="I12887"/>
      <c r="J12887"/>
      <c r="K12887" s="1"/>
      <c r="L12887" s="2"/>
    </row>
    <row r="12888" spans="1:12" x14ac:dyDescent="0.2">
      <c r="A12888"/>
      <c r="B12888"/>
      <c r="C12888"/>
      <c r="D12888"/>
      <c r="E12888"/>
      <c r="F12888"/>
      <c r="G12888"/>
      <c r="H12888"/>
      <c r="I12888"/>
      <c r="J12888"/>
      <c r="K12888" s="1"/>
      <c r="L12888" s="2"/>
    </row>
    <row r="12889" spans="1:12" x14ac:dyDescent="0.2">
      <c r="A12889"/>
      <c r="B12889"/>
      <c r="C12889"/>
      <c r="D12889"/>
      <c r="E12889"/>
      <c r="F12889"/>
      <c r="G12889"/>
      <c r="H12889"/>
      <c r="I12889"/>
      <c r="J12889"/>
      <c r="K12889" s="1"/>
      <c r="L12889" s="2"/>
    </row>
    <row r="12890" spans="1:12" x14ac:dyDescent="0.2">
      <c r="A12890"/>
      <c r="B12890"/>
      <c r="C12890"/>
      <c r="D12890"/>
      <c r="E12890"/>
      <c r="F12890"/>
      <c r="G12890"/>
      <c r="H12890"/>
      <c r="I12890"/>
      <c r="J12890"/>
      <c r="K12890" s="1"/>
      <c r="L12890" s="2"/>
    </row>
    <row r="12891" spans="1:12" x14ac:dyDescent="0.2">
      <c r="A12891"/>
      <c r="B12891"/>
      <c r="C12891"/>
      <c r="D12891"/>
      <c r="E12891"/>
      <c r="F12891"/>
      <c r="G12891"/>
      <c r="H12891"/>
      <c r="I12891"/>
      <c r="J12891"/>
      <c r="K12891" s="1"/>
      <c r="L12891" s="2"/>
    </row>
    <row r="12892" spans="1:12" x14ac:dyDescent="0.2">
      <c r="A12892"/>
      <c r="B12892"/>
      <c r="C12892"/>
      <c r="D12892"/>
      <c r="E12892"/>
      <c r="F12892"/>
      <c r="G12892"/>
      <c r="H12892"/>
      <c r="I12892"/>
      <c r="J12892"/>
      <c r="K12892" s="1"/>
      <c r="L12892" s="2"/>
    </row>
    <row r="12893" spans="1:12" x14ac:dyDescent="0.2">
      <c r="A12893"/>
      <c r="B12893"/>
      <c r="C12893"/>
      <c r="D12893"/>
      <c r="E12893"/>
      <c r="F12893"/>
      <c r="G12893"/>
      <c r="H12893"/>
      <c r="I12893"/>
      <c r="J12893"/>
      <c r="K12893" s="1"/>
      <c r="L12893" s="2"/>
    </row>
    <row r="12894" spans="1:12" x14ac:dyDescent="0.2">
      <c r="A12894"/>
      <c r="B12894"/>
      <c r="C12894"/>
      <c r="D12894"/>
      <c r="E12894"/>
      <c r="F12894"/>
      <c r="G12894"/>
      <c r="H12894"/>
      <c r="I12894"/>
      <c r="J12894"/>
      <c r="K12894" s="1"/>
      <c r="L12894" s="2"/>
    </row>
    <row r="12895" spans="1:12" x14ac:dyDescent="0.2">
      <c r="A12895"/>
      <c r="B12895"/>
      <c r="C12895"/>
      <c r="D12895"/>
      <c r="E12895"/>
      <c r="F12895"/>
      <c r="G12895"/>
      <c r="H12895"/>
      <c r="I12895"/>
      <c r="J12895"/>
      <c r="K12895" s="1"/>
      <c r="L12895" s="2"/>
    </row>
    <row r="12896" spans="1:12" x14ac:dyDescent="0.2">
      <c r="A12896"/>
      <c r="B12896"/>
      <c r="C12896"/>
      <c r="D12896"/>
      <c r="E12896"/>
      <c r="F12896"/>
      <c r="G12896"/>
      <c r="H12896"/>
      <c r="I12896"/>
      <c r="J12896"/>
      <c r="K12896" s="1"/>
      <c r="L12896" s="2"/>
    </row>
    <row r="12897" spans="1:12" x14ac:dyDescent="0.2">
      <c r="A12897"/>
      <c r="B12897"/>
      <c r="C12897"/>
      <c r="D12897"/>
      <c r="E12897"/>
      <c r="F12897"/>
      <c r="G12897"/>
      <c r="H12897"/>
      <c r="I12897"/>
      <c r="J12897"/>
      <c r="K12897" s="1"/>
      <c r="L12897" s="2"/>
    </row>
    <row r="12898" spans="1:12" x14ac:dyDescent="0.2">
      <c r="A12898"/>
      <c r="B12898"/>
      <c r="C12898"/>
      <c r="D12898"/>
      <c r="E12898"/>
      <c r="F12898"/>
      <c r="G12898"/>
      <c r="H12898"/>
      <c r="I12898"/>
      <c r="J12898"/>
      <c r="K12898" s="1"/>
      <c r="L12898" s="2"/>
    </row>
    <row r="12899" spans="1:12" x14ac:dyDescent="0.2">
      <c r="A12899"/>
      <c r="B12899"/>
      <c r="C12899"/>
      <c r="D12899"/>
      <c r="E12899"/>
      <c r="F12899"/>
      <c r="G12899"/>
      <c r="H12899"/>
      <c r="I12899"/>
      <c r="J12899"/>
      <c r="K12899" s="1"/>
      <c r="L12899" s="2"/>
    </row>
    <row r="12900" spans="1:12" x14ac:dyDescent="0.2">
      <c r="A12900"/>
      <c r="B12900"/>
      <c r="C12900"/>
      <c r="D12900"/>
      <c r="E12900"/>
      <c r="F12900"/>
      <c r="G12900"/>
      <c r="H12900"/>
      <c r="I12900"/>
      <c r="J12900"/>
      <c r="K12900" s="1"/>
      <c r="L12900" s="2"/>
    </row>
    <row r="12901" spans="1:12" x14ac:dyDescent="0.2">
      <c r="A12901"/>
      <c r="B12901"/>
      <c r="C12901"/>
      <c r="D12901"/>
      <c r="E12901"/>
      <c r="F12901"/>
      <c r="G12901"/>
      <c r="H12901"/>
      <c r="I12901"/>
      <c r="J12901"/>
      <c r="K12901" s="1"/>
      <c r="L12901" s="2"/>
    </row>
    <row r="12902" spans="1:12" x14ac:dyDescent="0.2">
      <c r="A12902"/>
      <c r="B12902"/>
      <c r="C12902"/>
      <c r="D12902"/>
      <c r="E12902"/>
      <c r="F12902"/>
      <c r="G12902"/>
      <c r="H12902"/>
      <c r="I12902"/>
      <c r="J12902"/>
      <c r="K12902" s="1"/>
      <c r="L12902" s="2"/>
    </row>
    <row r="12903" spans="1:12" x14ac:dyDescent="0.2">
      <c r="A12903"/>
      <c r="B12903"/>
      <c r="C12903"/>
      <c r="D12903"/>
      <c r="E12903"/>
      <c r="F12903"/>
      <c r="G12903"/>
      <c r="H12903"/>
      <c r="I12903"/>
      <c r="J12903"/>
      <c r="K12903" s="1"/>
      <c r="L12903" s="2"/>
    </row>
    <row r="12904" spans="1:12" x14ac:dyDescent="0.2">
      <c r="A12904"/>
      <c r="B12904"/>
      <c r="C12904"/>
      <c r="D12904"/>
      <c r="E12904"/>
      <c r="F12904"/>
      <c r="G12904"/>
      <c r="H12904"/>
      <c r="I12904"/>
      <c r="J12904"/>
      <c r="K12904" s="1"/>
      <c r="L12904" s="2"/>
    </row>
    <row r="12905" spans="1:12" x14ac:dyDescent="0.2">
      <c r="A12905"/>
      <c r="B12905"/>
      <c r="C12905"/>
      <c r="D12905"/>
      <c r="E12905"/>
      <c r="F12905"/>
      <c r="G12905"/>
      <c r="H12905"/>
      <c r="I12905"/>
      <c r="J12905"/>
      <c r="K12905" s="1"/>
      <c r="L12905" s="2"/>
    </row>
    <row r="12906" spans="1:12" x14ac:dyDescent="0.2">
      <c r="A12906"/>
      <c r="B12906"/>
      <c r="C12906"/>
      <c r="D12906"/>
      <c r="E12906"/>
      <c r="F12906"/>
      <c r="G12906"/>
      <c r="H12906"/>
      <c r="I12906"/>
      <c r="J12906"/>
      <c r="K12906" s="1"/>
      <c r="L12906" s="2"/>
    </row>
    <row r="12907" spans="1:12" x14ac:dyDescent="0.2">
      <c r="A12907"/>
      <c r="B12907"/>
      <c r="C12907"/>
      <c r="D12907"/>
      <c r="E12907"/>
      <c r="F12907"/>
      <c r="G12907"/>
      <c r="H12907"/>
      <c r="I12907"/>
      <c r="J12907"/>
      <c r="K12907" s="1"/>
      <c r="L12907" s="2"/>
    </row>
    <row r="12908" spans="1:12" x14ac:dyDescent="0.2">
      <c r="A12908"/>
      <c r="B12908"/>
      <c r="C12908"/>
      <c r="D12908"/>
      <c r="E12908"/>
      <c r="F12908"/>
      <c r="G12908"/>
      <c r="H12908"/>
      <c r="I12908"/>
      <c r="J12908"/>
      <c r="K12908" s="1"/>
      <c r="L12908" s="2"/>
    </row>
    <row r="12909" spans="1:12" x14ac:dyDescent="0.2">
      <c r="A12909"/>
      <c r="B12909"/>
      <c r="C12909"/>
      <c r="D12909"/>
      <c r="E12909"/>
      <c r="F12909"/>
      <c r="G12909"/>
      <c r="H12909"/>
      <c r="I12909"/>
      <c r="J12909"/>
      <c r="K12909" s="1"/>
      <c r="L12909" s="2"/>
    </row>
    <row r="12910" spans="1:12" x14ac:dyDescent="0.2">
      <c r="A12910"/>
      <c r="B12910"/>
      <c r="C12910"/>
      <c r="D12910"/>
      <c r="E12910"/>
      <c r="F12910"/>
      <c r="G12910"/>
      <c r="H12910"/>
      <c r="I12910"/>
      <c r="J12910"/>
      <c r="K12910" s="1"/>
      <c r="L12910" s="2"/>
    </row>
    <row r="12911" spans="1:12" x14ac:dyDescent="0.2">
      <c r="A12911"/>
      <c r="B12911"/>
      <c r="C12911"/>
      <c r="D12911"/>
      <c r="E12911"/>
      <c r="F12911"/>
      <c r="G12911"/>
      <c r="H12911"/>
      <c r="I12911"/>
      <c r="J12911"/>
      <c r="K12911" s="1"/>
      <c r="L12911" s="2"/>
    </row>
    <row r="12912" spans="1:12" x14ac:dyDescent="0.2">
      <c r="A12912"/>
      <c r="B12912"/>
      <c r="C12912"/>
      <c r="D12912"/>
      <c r="E12912"/>
      <c r="F12912"/>
      <c r="G12912"/>
      <c r="H12912"/>
      <c r="I12912"/>
      <c r="J12912"/>
      <c r="K12912" s="1"/>
      <c r="L12912" s="2"/>
    </row>
    <row r="12913" spans="1:12" x14ac:dyDescent="0.2">
      <c r="A12913"/>
      <c r="B12913"/>
      <c r="C12913"/>
      <c r="D12913"/>
      <c r="E12913"/>
      <c r="F12913"/>
      <c r="G12913"/>
      <c r="H12913"/>
      <c r="I12913"/>
      <c r="J12913"/>
      <c r="K12913" s="1"/>
      <c r="L12913" s="2"/>
    </row>
    <row r="12914" spans="1:12" x14ac:dyDescent="0.2">
      <c r="A12914"/>
      <c r="B12914"/>
      <c r="C12914"/>
      <c r="D12914"/>
      <c r="E12914"/>
      <c r="F12914"/>
      <c r="G12914"/>
      <c r="H12914"/>
      <c r="I12914"/>
      <c r="J12914"/>
      <c r="K12914" s="1"/>
      <c r="L12914" s="2"/>
    </row>
    <row r="12915" spans="1:12" x14ac:dyDescent="0.2">
      <c r="A12915"/>
      <c r="B12915"/>
      <c r="C12915"/>
      <c r="D12915"/>
      <c r="E12915"/>
      <c r="F12915"/>
      <c r="G12915"/>
      <c r="H12915"/>
      <c r="I12915"/>
      <c r="J12915"/>
      <c r="K12915" s="1"/>
      <c r="L12915" s="2"/>
    </row>
    <row r="12916" spans="1:12" x14ac:dyDescent="0.2">
      <c r="A12916"/>
      <c r="B12916"/>
      <c r="C12916"/>
      <c r="D12916"/>
      <c r="E12916"/>
      <c r="F12916"/>
      <c r="G12916"/>
      <c r="H12916"/>
      <c r="I12916"/>
      <c r="J12916"/>
      <c r="K12916" s="1"/>
      <c r="L12916" s="2"/>
    </row>
    <row r="12917" spans="1:12" x14ac:dyDescent="0.2">
      <c r="A12917"/>
      <c r="B12917"/>
      <c r="C12917"/>
      <c r="D12917"/>
      <c r="E12917"/>
      <c r="F12917"/>
      <c r="G12917"/>
      <c r="H12917"/>
      <c r="I12917"/>
      <c r="J12917"/>
      <c r="K12917" s="1"/>
      <c r="L12917" s="2"/>
    </row>
    <row r="12918" spans="1:12" x14ac:dyDescent="0.2">
      <c r="A12918"/>
      <c r="B12918"/>
      <c r="C12918"/>
      <c r="D12918"/>
      <c r="E12918"/>
      <c r="F12918"/>
      <c r="G12918"/>
      <c r="H12918"/>
      <c r="I12918"/>
      <c r="J12918"/>
      <c r="K12918" s="1"/>
      <c r="L12918" s="2"/>
    </row>
    <row r="12919" spans="1:12" x14ac:dyDescent="0.2">
      <c r="A12919"/>
      <c r="B12919"/>
      <c r="C12919"/>
      <c r="D12919"/>
      <c r="E12919"/>
      <c r="F12919"/>
      <c r="G12919"/>
      <c r="H12919"/>
      <c r="I12919"/>
      <c r="J12919"/>
      <c r="K12919" s="1"/>
      <c r="L12919" s="2"/>
    </row>
    <row r="12920" spans="1:12" x14ac:dyDescent="0.2">
      <c r="A12920"/>
      <c r="B12920"/>
      <c r="C12920"/>
      <c r="D12920"/>
      <c r="E12920"/>
      <c r="F12920"/>
      <c r="G12920"/>
      <c r="H12920"/>
      <c r="I12920"/>
      <c r="J12920"/>
      <c r="K12920" s="1"/>
      <c r="L12920" s="2"/>
    </row>
    <row r="12921" spans="1:12" x14ac:dyDescent="0.2">
      <c r="A12921"/>
      <c r="B12921"/>
      <c r="C12921"/>
      <c r="D12921"/>
      <c r="E12921"/>
      <c r="F12921"/>
      <c r="G12921"/>
      <c r="H12921"/>
      <c r="I12921"/>
      <c r="J12921"/>
      <c r="K12921" s="1"/>
      <c r="L12921" s="2"/>
    </row>
    <row r="12922" spans="1:12" x14ac:dyDescent="0.2">
      <c r="A12922"/>
      <c r="B12922"/>
      <c r="C12922"/>
      <c r="D12922"/>
      <c r="E12922"/>
      <c r="F12922"/>
      <c r="G12922"/>
      <c r="H12922"/>
      <c r="I12922"/>
      <c r="J12922"/>
      <c r="K12922" s="1"/>
      <c r="L12922" s="2"/>
    </row>
    <row r="12923" spans="1:12" x14ac:dyDescent="0.2">
      <c r="A12923"/>
      <c r="B12923"/>
      <c r="C12923"/>
      <c r="D12923"/>
      <c r="E12923"/>
      <c r="F12923"/>
      <c r="G12923"/>
      <c r="H12923"/>
      <c r="I12923"/>
      <c r="J12923"/>
      <c r="K12923" s="1"/>
      <c r="L12923" s="2"/>
    </row>
    <row r="12924" spans="1:12" x14ac:dyDescent="0.2">
      <c r="A12924"/>
      <c r="B12924"/>
      <c r="C12924"/>
      <c r="D12924"/>
      <c r="E12924"/>
      <c r="F12924"/>
      <c r="G12924"/>
      <c r="H12924"/>
      <c r="I12924"/>
      <c r="J12924"/>
      <c r="K12924" s="1"/>
      <c r="L12924" s="2"/>
    </row>
    <row r="12925" spans="1:12" x14ac:dyDescent="0.2">
      <c r="A12925"/>
      <c r="B12925"/>
      <c r="C12925"/>
      <c r="D12925"/>
      <c r="E12925"/>
      <c r="F12925"/>
      <c r="G12925"/>
      <c r="H12925"/>
      <c r="I12925"/>
      <c r="J12925"/>
      <c r="K12925" s="1"/>
      <c r="L12925" s="2"/>
    </row>
    <row r="12926" spans="1:12" x14ac:dyDescent="0.2">
      <c r="A12926"/>
      <c r="B12926"/>
      <c r="C12926"/>
      <c r="D12926"/>
      <c r="E12926"/>
      <c r="F12926"/>
      <c r="G12926"/>
      <c r="H12926"/>
      <c r="I12926"/>
      <c r="J12926"/>
      <c r="K12926" s="1"/>
      <c r="L12926" s="2"/>
    </row>
    <row r="12927" spans="1:12" x14ac:dyDescent="0.2">
      <c r="A12927"/>
      <c r="B12927"/>
      <c r="C12927"/>
      <c r="D12927"/>
      <c r="E12927"/>
      <c r="F12927"/>
      <c r="G12927"/>
      <c r="H12927"/>
      <c r="I12927"/>
      <c r="J12927"/>
      <c r="K12927" s="1"/>
      <c r="L12927" s="2"/>
    </row>
    <row r="12928" spans="1:12" x14ac:dyDescent="0.2">
      <c r="A12928"/>
      <c r="B12928"/>
      <c r="C12928"/>
      <c r="D12928"/>
      <c r="E12928"/>
      <c r="F12928"/>
      <c r="G12928"/>
      <c r="H12928"/>
      <c r="I12928"/>
      <c r="J12928"/>
      <c r="K12928" s="1"/>
      <c r="L12928" s="2"/>
    </row>
    <row r="12929" spans="1:12" x14ac:dyDescent="0.2">
      <c r="A12929"/>
      <c r="B12929"/>
      <c r="C12929"/>
      <c r="D12929"/>
      <c r="E12929"/>
      <c r="F12929"/>
      <c r="G12929"/>
      <c r="H12929"/>
      <c r="I12929"/>
      <c r="J12929"/>
      <c r="K12929" s="1"/>
      <c r="L12929" s="2"/>
    </row>
    <row r="12930" spans="1:12" x14ac:dyDescent="0.2">
      <c r="A12930"/>
      <c r="B12930"/>
      <c r="C12930"/>
      <c r="D12930"/>
      <c r="E12930"/>
      <c r="F12930"/>
      <c r="G12930"/>
      <c r="H12930"/>
      <c r="I12930"/>
      <c r="J12930"/>
      <c r="K12930" s="1"/>
      <c r="L12930" s="2"/>
    </row>
    <row r="12931" spans="1:12" x14ac:dyDescent="0.2">
      <c r="A12931"/>
      <c r="B12931"/>
      <c r="C12931"/>
      <c r="D12931"/>
      <c r="E12931"/>
      <c r="F12931"/>
      <c r="G12931"/>
      <c r="H12931"/>
      <c r="I12931"/>
      <c r="J12931"/>
      <c r="K12931" s="1"/>
      <c r="L12931" s="2"/>
    </row>
    <row r="12932" spans="1:12" x14ac:dyDescent="0.2">
      <c r="A12932"/>
      <c r="B12932"/>
      <c r="C12932"/>
      <c r="D12932"/>
      <c r="E12932"/>
      <c r="F12932"/>
      <c r="G12932"/>
      <c r="H12932"/>
      <c r="I12932"/>
      <c r="J12932"/>
      <c r="K12932" s="1"/>
      <c r="L12932" s="2"/>
    </row>
    <row r="12933" spans="1:12" x14ac:dyDescent="0.2">
      <c r="A12933"/>
      <c r="B12933"/>
      <c r="C12933"/>
      <c r="D12933"/>
      <c r="E12933"/>
      <c r="F12933"/>
      <c r="G12933"/>
      <c r="H12933"/>
      <c r="I12933"/>
      <c r="J12933"/>
      <c r="K12933" s="1"/>
      <c r="L12933" s="2"/>
    </row>
    <row r="12934" spans="1:12" x14ac:dyDescent="0.2">
      <c r="A12934"/>
      <c r="B12934"/>
      <c r="C12934"/>
      <c r="D12934"/>
      <c r="E12934"/>
      <c r="F12934"/>
      <c r="G12934"/>
      <c r="H12934"/>
      <c r="I12934"/>
      <c r="J12934"/>
      <c r="K12934" s="1"/>
      <c r="L12934" s="2"/>
    </row>
    <row r="12935" spans="1:12" x14ac:dyDescent="0.2">
      <c r="A12935"/>
      <c r="B12935"/>
      <c r="C12935"/>
      <c r="D12935"/>
      <c r="E12935"/>
      <c r="F12935"/>
      <c r="G12935"/>
      <c r="H12935"/>
      <c r="I12935"/>
      <c r="J12935"/>
      <c r="K12935" s="1"/>
      <c r="L12935" s="2"/>
    </row>
    <row r="12936" spans="1:12" x14ac:dyDescent="0.2">
      <c r="A12936"/>
      <c r="B12936"/>
      <c r="C12936"/>
      <c r="D12936"/>
      <c r="E12936"/>
      <c r="F12936"/>
      <c r="G12936"/>
      <c r="H12936"/>
      <c r="I12936"/>
      <c r="J12936"/>
      <c r="K12936" s="1"/>
      <c r="L12936" s="2"/>
    </row>
    <row r="12937" spans="1:12" x14ac:dyDescent="0.2">
      <c r="A12937"/>
      <c r="B12937"/>
      <c r="C12937"/>
      <c r="D12937"/>
      <c r="E12937"/>
      <c r="F12937"/>
      <c r="G12937"/>
      <c r="H12937"/>
      <c r="I12937"/>
      <c r="J12937"/>
      <c r="K12937" s="1"/>
      <c r="L12937" s="2"/>
    </row>
    <row r="12938" spans="1:12" x14ac:dyDescent="0.2">
      <c r="A12938"/>
      <c r="B12938"/>
      <c r="C12938"/>
      <c r="D12938"/>
      <c r="E12938"/>
      <c r="F12938"/>
      <c r="G12938"/>
      <c r="H12938"/>
      <c r="I12938"/>
      <c r="J12938"/>
      <c r="K12938" s="1"/>
      <c r="L12938" s="2"/>
    </row>
    <row r="12939" spans="1:12" x14ac:dyDescent="0.2">
      <c r="A12939"/>
      <c r="B12939"/>
      <c r="C12939"/>
      <c r="D12939"/>
      <c r="E12939"/>
      <c r="F12939"/>
      <c r="G12939"/>
      <c r="H12939"/>
      <c r="I12939"/>
      <c r="J12939"/>
      <c r="K12939" s="1"/>
      <c r="L12939" s="2"/>
    </row>
    <row r="12940" spans="1:12" x14ac:dyDescent="0.2">
      <c r="A12940"/>
      <c r="B12940"/>
      <c r="C12940"/>
      <c r="D12940"/>
      <c r="E12940"/>
      <c r="F12940"/>
      <c r="G12940"/>
      <c r="H12940"/>
      <c r="I12940"/>
      <c r="J12940"/>
      <c r="K12940" s="1"/>
      <c r="L12940" s="2"/>
    </row>
    <row r="12941" spans="1:12" x14ac:dyDescent="0.2">
      <c r="A12941"/>
      <c r="B12941"/>
      <c r="C12941"/>
      <c r="D12941"/>
      <c r="E12941"/>
      <c r="F12941"/>
      <c r="G12941"/>
      <c r="H12941"/>
      <c r="I12941"/>
      <c r="J12941"/>
      <c r="K12941" s="1"/>
      <c r="L12941" s="2"/>
    </row>
    <row r="12942" spans="1:12" x14ac:dyDescent="0.2">
      <c r="A12942"/>
      <c r="B12942"/>
      <c r="C12942"/>
      <c r="D12942"/>
      <c r="E12942"/>
      <c r="F12942"/>
      <c r="G12942"/>
      <c r="H12942"/>
      <c r="I12942"/>
      <c r="J12942"/>
      <c r="K12942" s="1"/>
      <c r="L12942" s="2"/>
    </row>
    <row r="12943" spans="1:12" x14ac:dyDescent="0.2">
      <c r="A12943"/>
      <c r="B12943"/>
      <c r="C12943"/>
      <c r="D12943"/>
      <c r="E12943"/>
      <c r="F12943"/>
      <c r="G12943"/>
      <c r="H12943"/>
      <c r="I12943"/>
      <c r="J12943"/>
      <c r="K12943" s="1"/>
      <c r="L12943" s="2"/>
    </row>
    <row r="12944" spans="1:12" x14ac:dyDescent="0.2">
      <c r="A12944"/>
      <c r="B12944"/>
      <c r="C12944"/>
      <c r="D12944"/>
      <c r="E12944"/>
      <c r="F12944"/>
      <c r="G12944"/>
      <c r="H12944"/>
      <c r="I12944"/>
      <c r="J12944"/>
      <c r="K12944" s="1"/>
      <c r="L12944" s="2"/>
    </row>
    <row r="12945" spans="1:12" x14ac:dyDescent="0.2">
      <c r="A12945"/>
      <c r="B12945"/>
      <c r="C12945"/>
      <c r="D12945"/>
      <c r="E12945"/>
      <c r="F12945"/>
      <c r="G12945"/>
      <c r="H12945"/>
      <c r="I12945"/>
      <c r="J12945"/>
      <c r="K12945" s="1"/>
      <c r="L12945" s="2"/>
    </row>
    <row r="12946" spans="1:12" x14ac:dyDescent="0.2">
      <c r="A12946"/>
      <c r="B12946"/>
      <c r="C12946"/>
      <c r="D12946"/>
      <c r="E12946"/>
      <c r="F12946"/>
      <c r="G12946"/>
      <c r="H12946"/>
      <c r="I12946"/>
      <c r="J12946"/>
      <c r="K12946" s="1"/>
      <c r="L12946" s="2"/>
    </row>
    <row r="12947" spans="1:12" x14ac:dyDescent="0.2">
      <c r="A12947"/>
      <c r="B12947"/>
      <c r="C12947"/>
      <c r="D12947"/>
      <c r="E12947"/>
      <c r="F12947"/>
      <c r="G12947"/>
      <c r="H12947"/>
      <c r="I12947"/>
      <c r="J12947"/>
      <c r="K12947" s="1"/>
      <c r="L12947" s="2"/>
    </row>
    <row r="12948" spans="1:12" x14ac:dyDescent="0.2">
      <c r="A12948"/>
      <c r="B12948"/>
      <c r="C12948"/>
      <c r="D12948"/>
      <c r="E12948"/>
      <c r="F12948"/>
      <c r="G12948"/>
      <c r="H12948"/>
      <c r="I12948"/>
      <c r="J12948"/>
      <c r="K12948" s="1"/>
      <c r="L12948" s="2"/>
    </row>
    <row r="12949" spans="1:12" x14ac:dyDescent="0.2">
      <c r="A12949"/>
      <c r="B12949"/>
      <c r="C12949"/>
      <c r="D12949"/>
      <c r="E12949"/>
      <c r="F12949"/>
      <c r="G12949"/>
      <c r="H12949"/>
      <c r="I12949"/>
      <c r="J12949"/>
      <c r="K12949" s="1"/>
      <c r="L12949" s="2"/>
    </row>
    <row r="12950" spans="1:12" x14ac:dyDescent="0.2">
      <c r="A12950"/>
      <c r="B12950"/>
      <c r="C12950"/>
      <c r="D12950"/>
      <c r="E12950"/>
      <c r="F12950"/>
      <c r="G12950"/>
      <c r="H12950"/>
      <c r="I12950"/>
      <c r="J12950"/>
      <c r="K12950" s="1"/>
      <c r="L12950" s="2"/>
    </row>
    <row r="12951" spans="1:12" x14ac:dyDescent="0.2">
      <c r="A12951"/>
      <c r="B12951"/>
      <c r="C12951"/>
      <c r="D12951"/>
      <c r="E12951"/>
      <c r="F12951"/>
      <c r="G12951"/>
      <c r="H12951"/>
      <c r="I12951"/>
      <c r="J12951"/>
      <c r="K12951" s="1"/>
      <c r="L12951" s="2"/>
    </row>
    <row r="12952" spans="1:12" x14ac:dyDescent="0.2">
      <c r="A12952"/>
      <c r="B12952"/>
      <c r="C12952"/>
      <c r="D12952"/>
      <c r="E12952"/>
      <c r="F12952"/>
      <c r="G12952"/>
      <c r="H12952"/>
      <c r="I12952"/>
      <c r="J12952"/>
      <c r="K12952" s="1"/>
      <c r="L12952" s="2"/>
    </row>
    <row r="12953" spans="1:12" x14ac:dyDescent="0.2">
      <c r="A12953"/>
      <c r="B12953"/>
      <c r="C12953"/>
      <c r="D12953"/>
      <c r="E12953"/>
      <c r="F12953"/>
      <c r="G12953"/>
      <c r="H12953"/>
      <c r="I12953"/>
      <c r="J12953"/>
      <c r="K12953" s="1"/>
      <c r="L12953" s="2"/>
    </row>
    <row r="12954" spans="1:12" x14ac:dyDescent="0.2">
      <c r="A12954"/>
      <c r="B12954"/>
      <c r="C12954"/>
      <c r="D12954"/>
      <c r="E12954"/>
      <c r="F12954"/>
      <c r="G12954"/>
      <c r="H12954"/>
      <c r="I12954"/>
      <c r="J12954"/>
      <c r="K12954" s="1"/>
      <c r="L12954" s="2"/>
    </row>
    <row r="12955" spans="1:12" x14ac:dyDescent="0.2">
      <c r="A12955"/>
      <c r="B12955"/>
      <c r="C12955"/>
      <c r="D12955"/>
      <c r="E12955"/>
      <c r="F12955"/>
      <c r="G12955"/>
      <c r="H12955"/>
      <c r="I12955"/>
      <c r="J12955"/>
      <c r="K12955" s="1"/>
      <c r="L12955" s="2"/>
    </row>
    <row r="12956" spans="1:12" x14ac:dyDescent="0.2">
      <c r="A12956"/>
      <c r="B12956"/>
      <c r="C12956"/>
      <c r="D12956"/>
      <c r="E12956"/>
      <c r="F12956"/>
      <c r="G12956"/>
      <c r="H12956"/>
      <c r="I12956"/>
      <c r="J12956"/>
      <c r="K12956" s="1"/>
      <c r="L12956" s="2"/>
    </row>
    <row r="12957" spans="1:12" x14ac:dyDescent="0.2">
      <c r="A12957"/>
      <c r="B12957"/>
      <c r="C12957"/>
      <c r="D12957"/>
      <c r="E12957"/>
      <c r="F12957"/>
      <c r="G12957"/>
      <c r="H12957"/>
      <c r="I12957"/>
      <c r="J12957"/>
      <c r="K12957" s="1"/>
      <c r="L12957" s="2"/>
    </row>
    <row r="12958" spans="1:12" x14ac:dyDescent="0.2">
      <c r="A12958"/>
      <c r="B12958"/>
      <c r="C12958"/>
      <c r="D12958"/>
      <c r="E12958"/>
      <c r="F12958"/>
      <c r="G12958"/>
      <c r="H12958"/>
      <c r="I12958"/>
      <c r="J12958"/>
      <c r="K12958" s="1"/>
      <c r="L12958" s="2"/>
    </row>
    <row r="12959" spans="1:12" x14ac:dyDescent="0.2">
      <c r="A12959"/>
      <c r="B12959"/>
      <c r="C12959"/>
      <c r="D12959"/>
      <c r="E12959"/>
      <c r="F12959"/>
      <c r="G12959"/>
      <c r="H12959"/>
      <c r="I12959"/>
      <c r="J12959"/>
      <c r="K12959" s="1"/>
      <c r="L12959" s="2"/>
    </row>
    <row r="12960" spans="1:12" x14ac:dyDescent="0.2">
      <c r="A12960"/>
      <c r="B12960"/>
      <c r="C12960"/>
      <c r="D12960"/>
      <c r="E12960"/>
      <c r="F12960"/>
      <c r="G12960"/>
      <c r="H12960"/>
      <c r="I12960"/>
      <c r="J12960"/>
      <c r="K12960" s="1"/>
      <c r="L12960" s="2"/>
    </row>
    <row r="12961" spans="1:12" x14ac:dyDescent="0.2">
      <c r="A12961"/>
      <c r="B12961"/>
      <c r="C12961"/>
      <c r="D12961"/>
      <c r="E12961"/>
      <c r="F12961"/>
      <c r="G12961"/>
      <c r="H12961"/>
      <c r="I12961"/>
      <c r="J12961"/>
      <c r="K12961" s="1"/>
      <c r="L12961" s="2"/>
    </row>
    <row r="12962" spans="1:12" x14ac:dyDescent="0.2">
      <c r="A12962"/>
      <c r="B12962"/>
      <c r="C12962"/>
      <c r="D12962"/>
      <c r="E12962"/>
      <c r="F12962"/>
      <c r="G12962"/>
      <c r="H12962"/>
      <c r="I12962"/>
      <c r="J12962"/>
      <c r="K12962" s="1"/>
      <c r="L12962" s="2"/>
    </row>
    <row r="12963" spans="1:12" x14ac:dyDescent="0.2">
      <c r="A12963"/>
      <c r="B12963"/>
      <c r="C12963"/>
      <c r="D12963"/>
      <c r="E12963"/>
      <c r="F12963"/>
      <c r="G12963"/>
      <c r="H12963"/>
      <c r="I12963"/>
      <c r="J12963"/>
      <c r="K12963" s="1"/>
      <c r="L12963" s="2"/>
    </row>
    <row r="12964" spans="1:12" x14ac:dyDescent="0.2">
      <c r="A12964"/>
      <c r="B12964"/>
      <c r="C12964"/>
      <c r="D12964"/>
      <c r="E12964"/>
      <c r="F12964"/>
      <c r="G12964"/>
      <c r="H12964"/>
      <c r="I12964"/>
      <c r="J12964"/>
      <c r="K12964" s="1"/>
      <c r="L12964" s="2"/>
    </row>
    <row r="12965" spans="1:12" x14ac:dyDescent="0.2">
      <c r="A12965"/>
      <c r="B12965"/>
      <c r="C12965"/>
      <c r="D12965"/>
      <c r="E12965"/>
      <c r="F12965"/>
      <c r="G12965"/>
      <c r="H12965"/>
      <c r="I12965"/>
      <c r="J12965"/>
      <c r="K12965" s="1"/>
      <c r="L12965" s="2"/>
    </row>
    <row r="12966" spans="1:12" x14ac:dyDescent="0.2">
      <c r="A12966"/>
      <c r="B12966"/>
      <c r="C12966"/>
      <c r="D12966"/>
      <c r="E12966"/>
      <c r="F12966"/>
      <c r="G12966"/>
      <c r="H12966"/>
      <c r="I12966"/>
      <c r="J12966"/>
      <c r="K12966" s="1"/>
      <c r="L12966" s="2"/>
    </row>
    <row r="12967" spans="1:12" x14ac:dyDescent="0.2">
      <c r="A12967"/>
      <c r="B12967"/>
      <c r="C12967"/>
      <c r="D12967"/>
      <c r="E12967"/>
      <c r="F12967"/>
      <c r="G12967"/>
      <c r="H12967"/>
      <c r="I12967"/>
      <c r="J12967"/>
      <c r="K12967" s="1"/>
      <c r="L12967" s="2"/>
    </row>
    <row r="12968" spans="1:12" x14ac:dyDescent="0.2">
      <c r="A12968"/>
      <c r="B12968"/>
      <c r="C12968"/>
      <c r="D12968"/>
      <c r="E12968"/>
      <c r="F12968"/>
      <c r="G12968"/>
      <c r="H12968"/>
      <c r="I12968"/>
      <c r="J12968"/>
      <c r="K12968" s="1"/>
      <c r="L12968" s="2"/>
    </row>
    <row r="12969" spans="1:12" x14ac:dyDescent="0.2">
      <c r="A12969"/>
      <c r="B12969"/>
      <c r="C12969"/>
      <c r="D12969"/>
      <c r="E12969"/>
      <c r="F12969"/>
      <c r="G12969"/>
      <c r="H12969"/>
      <c r="I12969"/>
      <c r="J12969"/>
      <c r="K12969" s="1"/>
      <c r="L12969" s="2"/>
    </row>
    <row r="12970" spans="1:12" x14ac:dyDescent="0.2">
      <c r="A12970"/>
      <c r="B12970"/>
      <c r="C12970"/>
      <c r="D12970"/>
      <c r="E12970"/>
      <c r="F12970"/>
      <c r="G12970"/>
      <c r="H12970"/>
      <c r="I12970"/>
      <c r="J12970"/>
      <c r="K12970" s="1"/>
      <c r="L12970" s="2"/>
    </row>
    <row r="12971" spans="1:12" x14ac:dyDescent="0.2">
      <c r="A12971"/>
      <c r="B12971"/>
      <c r="C12971"/>
      <c r="D12971"/>
      <c r="E12971"/>
      <c r="F12971"/>
      <c r="G12971"/>
      <c r="H12971"/>
      <c r="I12971"/>
      <c r="J12971"/>
      <c r="K12971" s="1"/>
      <c r="L12971" s="2"/>
    </row>
    <row r="12972" spans="1:12" x14ac:dyDescent="0.2">
      <c r="A12972"/>
      <c r="B12972"/>
      <c r="C12972"/>
      <c r="D12972"/>
      <c r="E12972"/>
      <c r="F12972"/>
      <c r="G12972"/>
      <c r="H12972"/>
      <c r="I12972"/>
      <c r="J12972"/>
      <c r="K12972" s="1"/>
      <c r="L12972" s="2"/>
    </row>
    <row r="12973" spans="1:12" x14ac:dyDescent="0.2">
      <c r="A12973"/>
      <c r="B12973"/>
      <c r="C12973"/>
      <c r="D12973"/>
      <c r="E12973"/>
      <c r="F12973"/>
      <c r="G12973"/>
      <c r="H12973"/>
      <c r="I12973"/>
      <c r="J12973"/>
      <c r="K12973" s="1"/>
      <c r="L12973" s="2"/>
    </row>
    <row r="12974" spans="1:12" x14ac:dyDescent="0.2">
      <c r="A12974"/>
      <c r="B12974"/>
      <c r="C12974"/>
      <c r="D12974"/>
      <c r="E12974"/>
      <c r="F12974"/>
      <c r="G12974"/>
      <c r="H12974"/>
      <c r="I12974"/>
      <c r="J12974"/>
      <c r="K12974" s="1"/>
      <c r="L12974" s="2"/>
    </row>
    <row r="12975" spans="1:12" x14ac:dyDescent="0.2">
      <c r="A12975"/>
      <c r="B12975"/>
      <c r="C12975"/>
      <c r="D12975"/>
      <c r="E12975"/>
      <c r="F12975"/>
      <c r="G12975"/>
      <c r="H12975"/>
      <c r="I12975"/>
      <c r="J12975"/>
      <c r="K12975" s="1"/>
      <c r="L12975" s="2"/>
    </row>
    <row r="12976" spans="1:12" x14ac:dyDescent="0.2">
      <c r="A12976"/>
      <c r="B12976"/>
      <c r="C12976"/>
      <c r="D12976"/>
      <c r="E12976"/>
      <c r="F12976"/>
      <c r="G12976"/>
      <c r="H12976"/>
      <c r="I12976"/>
      <c r="J12976"/>
      <c r="K12976" s="1"/>
      <c r="L12976" s="2"/>
    </row>
    <row r="12977" spans="1:12" x14ac:dyDescent="0.2">
      <c r="A12977"/>
      <c r="B12977"/>
      <c r="C12977"/>
      <c r="D12977"/>
      <c r="E12977"/>
      <c r="F12977"/>
      <c r="G12977"/>
      <c r="H12977"/>
      <c r="I12977"/>
      <c r="J12977"/>
      <c r="K12977" s="1"/>
      <c r="L12977" s="2"/>
    </row>
    <row r="12978" spans="1:12" x14ac:dyDescent="0.2">
      <c r="A12978"/>
      <c r="B12978"/>
      <c r="C12978"/>
      <c r="D12978"/>
      <c r="E12978"/>
      <c r="F12978"/>
      <c r="G12978"/>
      <c r="H12978"/>
      <c r="I12978"/>
      <c r="J12978"/>
      <c r="K12978" s="1"/>
      <c r="L12978" s="2"/>
    </row>
    <row r="12979" spans="1:12" x14ac:dyDescent="0.2">
      <c r="A12979"/>
      <c r="B12979"/>
      <c r="C12979"/>
      <c r="D12979"/>
      <c r="E12979"/>
      <c r="F12979"/>
      <c r="G12979"/>
      <c r="H12979"/>
      <c r="I12979"/>
      <c r="J12979"/>
      <c r="K12979" s="1"/>
      <c r="L12979" s="2"/>
    </row>
    <row r="12980" spans="1:12" x14ac:dyDescent="0.2">
      <c r="A12980"/>
      <c r="B12980"/>
      <c r="C12980"/>
      <c r="D12980"/>
      <c r="E12980"/>
      <c r="F12980"/>
      <c r="G12980"/>
      <c r="H12980"/>
      <c r="I12980"/>
      <c r="J12980"/>
      <c r="K12980" s="1"/>
      <c r="L12980" s="2"/>
    </row>
    <row r="12981" spans="1:12" x14ac:dyDescent="0.2">
      <c r="A12981"/>
      <c r="B12981"/>
      <c r="C12981"/>
      <c r="D12981"/>
      <c r="E12981"/>
      <c r="F12981"/>
      <c r="G12981"/>
      <c r="H12981"/>
      <c r="I12981"/>
      <c r="J12981"/>
      <c r="K12981" s="1"/>
      <c r="L12981" s="2"/>
    </row>
    <row r="12982" spans="1:12" x14ac:dyDescent="0.2">
      <c r="A12982"/>
      <c r="B12982"/>
      <c r="C12982"/>
      <c r="D12982"/>
      <c r="E12982"/>
      <c r="F12982"/>
      <c r="G12982"/>
      <c r="H12982"/>
      <c r="I12982"/>
      <c r="J12982"/>
      <c r="K12982" s="1"/>
      <c r="L12982" s="2"/>
    </row>
    <row r="12983" spans="1:12" x14ac:dyDescent="0.2">
      <c r="A12983"/>
      <c r="B12983"/>
      <c r="C12983"/>
      <c r="D12983"/>
      <c r="E12983"/>
      <c r="F12983"/>
      <c r="G12983"/>
      <c r="H12983"/>
      <c r="I12983"/>
      <c r="J12983"/>
      <c r="K12983" s="1"/>
      <c r="L12983" s="2"/>
    </row>
    <row r="12984" spans="1:12" x14ac:dyDescent="0.2">
      <c r="A12984"/>
      <c r="B12984"/>
      <c r="C12984"/>
      <c r="D12984"/>
      <c r="E12984"/>
      <c r="F12984"/>
      <c r="G12984"/>
      <c r="H12984"/>
      <c r="I12984"/>
      <c r="J12984"/>
      <c r="K12984" s="1"/>
      <c r="L12984" s="2"/>
    </row>
    <row r="12985" spans="1:12" x14ac:dyDescent="0.2">
      <c r="A12985"/>
      <c r="B12985"/>
      <c r="C12985"/>
      <c r="D12985"/>
      <c r="E12985"/>
      <c r="F12985"/>
      <c r="G12985"/>
      <c r="H12985"/>
      <c r="I12985"/>
      <c r="J12985"/>
      <c r="K12985" s="1"/>
      <c r="L12985" s="2"/>
    </row>
    <row r="12986" spans="1:12" x14ac:dyDescent="0.2">
      <c r="A12986"/>
      <c r="B12986"/>
      <c r="C12986"/>
      <c r="D12986"/>
      <c r="E12986"/>
      <c r="F12986"/>
      <c r="G12986"/>
      <c r="H12986"/>
      <c r="I12986"/>
      <c r="J12986"/>
      <c r="K12986" s="1"/>
      <c r="L12986" s="2"/>
    </row>
    <row r="12987" spans="1:12" x14ac:dyDescent="0.2">
      <c r="A12987"/>
      <c r="B12987"/>
      <c r="C12987"/>
      <c r="D12987"/>
      <c r="E12987"/>
      <c r="F12987"/>
      <c r="G12987"/>
      <c r="H12987"/>
      <c r="I12987"/>
      <c r="J12987"/>
      <c r="K12987" s="1"/>
      <c r="L12987" s="2"/>
    </row>
    <row r="12988" spans="1:12" x14ac:dyDescent="0.2">
      <c r="A12988"/>
      <c r="B12988"/>
      <c r="C12988"/>
      <c r="D12988"/>
      <c r="E12988"/>
      <c r="F12988"/>
      <c r="G12988"/>
      <c r="H12988"/>
      <c r="I12988"/>
      <c r="J12988"/>
      <c r="K12988" s="1"/>
      <c r="L12988" s="2"/>
    </row>
    <row r="12989" spans="1:12" x14ac:dyDescent="0.2">
      <c r="A12989"/>
      <c r="B12989"/>
      <c r="C12989"/>
      <c r="D12989"/>
      <c r="E12989"/>
      <c r="F12989"/>
      <c r="G12989"/>
      <c r="H12989"/>
      <c r="I12989"/>
      <c r="J12989"/>
      <c r="K12989" s="1"/>
      <c r="L12989" s="2"/>
    </row>
    <row r="12990" spans="1:12" x14ac:dyDescent="0.2">
      <c r="A12990"/>
      <c r="B12990"/>
      <c r="C12990"/>
      <c r="D12990"/>
      <c r="E12990"/>
      <c r="F12990"/>
      <c r="G12990"/>
      <c r="H12990"/>
      <c r="I12990"/>
      <c r="J12990"/>
      <c r="K12990" s="1"/>
      <c r="L12990" s="2"/>
    </row>
    <row r="12991" spans="1:12" x14ac:dyDescent="0.2">
      <c r="A12991"/>
      <c r="B12991"/>
      <c r="C12991"/>
      <c r="D12991"/>
      <c r="E12991"/>
      <c r="F12991"/>
      <c r="G12991"/>
      <c r="H12991"/>
      <c r="I12991"/>
      <c r="J12991"/>
      <c r="K12991" s="1"/>
      <c r="L12991" s="2"/>
    </row>
    <row r="12992" spans="1:12" x14ac:dyDescent="0.2">
      <c r="A12992"/>
      <c r="B12992"/>
      <c r="C12992"/>
      <c r="D12992"/>
      <c r="E12992"/>
      <c r="F12992"/>
      <c r="G12992"/>
      <c r="H12992"/>
      <c r="I12992"/>
      <c r="J12992"/>
      <c r="K12992" s="1"/>
      <c r="L12992" s="2"/>
    </row>
    <row r="12993" spans="1:12" x14ac:dyDescent="0.2">
      <c r="A12993"/>
      <c r="B12993"/>
      <c r="C12993"/>
      <c r="D12993"/>
      <c r="E12993"/>
      <c r="F12993"/>
      <c r="G12993"/>
      <c r="H12993"/>
      <c r="I12993"/>
      <c r="J12993"/>
      <c r="K12993" s="1"/>
      <c r="L12993" s="2"/>
    </row>
    <row r="12994" spans="1:12" x14ac:dyDescent="0.2">
      <c r="A12994"/>
      <c r="B12994"/>
      <c r="C12994"/>
      <c r="D12994"/>
      <c r="E12994"/>
      <c r="F12994"/>
      <c r="G12994"/>
      <c r="H12994"/>
      <c r="I12994"/>
      <c r="J12994"/>
      <c r="K12994" s="1"/>
      <c r="L12994" s="2"/>
    </row>
    <row r="12995" spans="1:12" x14ac:dyDescent="0.2">
      <c r="A12995"/>
      <c r="B12995"/>
      <c r="C12995"/>
      <c r="D12995"/>
      <c r="E12995"/>
      <c r="F12995"/>
      <c r="G12995"/>
      <c r="H12995"/>
      <c r="I12995"/>
      <c r="J12995"/>
      <c r="K12995" s="1"/>
      <c r="L12995" s="2"/>
    </row>
    <row r="12996" spans="1:12" x14ac:dyDescent="0.2">
      <c r="A12996"/>
      <c r="B12996"/>
      <c r="C12996"/>
      <c r="D12996"/>
      <c r="E12996"/>
      <c r="F12996"/>
      <c r="G12996"/>
      <c r="H12996"/>
      <c r="I12996"/>
      <c r="J12996"/>
      <c r="K12996" s="1"/>
      <c r="L12996" s="2"/>
    </row>
    <row r="12997" spans="1:12" x14ac:dyDescent="0.2">
      <c r="A12997"/>
      <c r="B12997"/>
      <c r="C12997"/>
      <c r="D12997"/>
      <c r="E12997"/>
      <c r="F12997"/>
      <c r="G12997"/>
      <c r="H12997"/>
      <c r="I12997"/>
      <c r="J12997"/>
      <c r="K12997" s="1"/>
      <c r="L12997" s="2"/>
    </row>
    <row r="12998" spans="1:12" x14ac:dyDescent="0.2">
      <c r="A12998"/>
      <c r="B12998"/>
      <c r="C12998"/>
      <c r="D12998"/>
      <c r="E12998"/>
      <c r="F12998"/>
      <c r="G12998"/>
      <c r="H12998"/>
      <c r="I12998"/>
      <c r="J12998"/>
      <c r="K12998" s="1"/>
      <c r="L12998" s="2"/>
    </row>
    <row r="12999" spans="1:12" x14ac:dyDescent="0.2">
      <c r="A12999"/>
      <c r="B12999"/>
      <c r="C12999"/>
      <c r="D12999"/>
      <c r="E12999"/>
      <c r="F12999"/>
      <c r="G12999"/>
      <c r="H12999"/>
      <c r="I12999"/>
      <c r="J12999"/>
      <c r="K12999" s="1"/>
      <c r="L12999" s="2"/>
    </row>
    <row r="13000" spans="1:12" x14ac:dyDescent="0.2">
      <c r="A13000"/>
      <c r="B13000"/>
      <c r="C13000"/>
      <c r="D13000"/>
      <c r="E13000"/>
      <c r="F13000"/>
      <c r="G13000"/>
      <c r="H13000"/>
      <c r="I13000"/>
      <c r="J13000"/>
      <c r="K13000" s="1"/>
      <c r="L13000" s="2"/>
    </row>
    <row r="13001" spans="1:12" x14ac:dyDescent="0.2">
      <c r="A13001"/>
      <c r="B13001"/>
      <c r="C13001"/>
      <c r="D13001"/>
      <c r="E13001"/>
      <c r="F13001"/>
      <c r="G13001"/>
      <c r="H13001"/>
      <c r="I13001"/>
      <c r="J13001"/>
      <c r="K13001" s="1"/>
      <c r="L13001" s="2"/>
    </row>
    <row r="13002" spans="1:12" x14ac:dyDescent="0.2">
      <c r="A13002"/>
      <c r="B13002"/>
      <c r="C13002"/>
      <c r="D13002"/>
      <c r="E13002"/>
      <c r="F13002"/>
      <c r="G13002"/>
      <c r="H13002"/>
      <c r="I13002"/>
      <c r="J13002"/>
      <c r="K13002" s="1"/>
      <c r="L13002" s="2"/>
    </row>
    <row r="13003" spans="1:12" x14ac:dyDescent="0.2">
      <c r="A13003"/>
      <c r="B13003"/>
      <c r="C13003"/>
      <c r="D13003"/>
      <c r="E13003"/>
      <c r="F13003"/>
      <c r="G13003"/>
      <c r="H13003"/>
      <c r="I13003"/>
      <c r="J13003"/>
      <c r="K13003" s="1"/>
      <c r="L13003" s="2"/>
    </row>
    <row r="13004" spans="1:12" x14ac:dyDescent="0.2">
      <c r="A13004"/>
      <c r="B13004"/>
      <c r="C13004"/>
      <c r="D13004"/>
      <c r="E13004"/>
      <c r="F13004"/>
      <c r="G13004"/>
      <c r="H13004"/>
      <c r="I13004"/>
      <c r="J13004"/>
      <c r="K13004" s="1"/>
      <c r="L13004" s="2"/>
    </row>
    <row r="13005" spans="1:12" x14ac:dyDescent="0.2">
      <c r="A13005"/>
      <c r="B13005"/>
      <c r="C13005"/>
      <c r="D13005"/>
      <c r="E13005"/>
      <c r="F13005"/>
      <c r="G13005"/>
      <c r="H13005"/>
      <c r="I13005"/>
      <c r="J13005"/>
      <c r="K13005" s="1"/>
      <c r="L13005" s="2"/>
    </row>
    <row r="13006" spans="1:12" x14ac:dyDescent="0.2">
      <c r="A13006"/>
      <c r="B13006"/>
      <c r="C13006"/>
      <c r="D13006"/>
      <c r="E13006"/>
      <c r="F13006"/>
      <c r="G13006"/>
      <c r="H13006"/>
      <c r="I13006"/>
      <c r="J13006"/>
      <c r="K13006" s="1"/>
      <c r="L13006" s="2"/>
    </row>
    <row r="13007" spans="1:12" x14ac:dyDescent="0.2">
      <c r="A13007"/>
      <c r="B13007"/>
      <c r="C13007"/>
      <c r="D13007"/>
      <c r="E13007"/>
      <c r="F13007"/>
      <c r="G13007"/>
      <c r="H13007"/>
      <c r="I13007"/>
      <c r="J13007"/>
      <c r="K13007" s="1"/>
      <c r="L13007" s="2"/>
    </row>
    <row r="13008" spans="1:12" x14ac:dyDescent="0.2">
      <c r="A13008"/>
      <c r="B13008"/>
      <c r="C13008"/>
      <c r="D13008"/>
      <c r="E13008"/>
      <c r="F13008"/>
      <c r="G13008"/>
      <c r="H13008"/>
      <c r="I13008"/>
      <c r="J13008"/>
      <c r="K13008" s="1"/>
      <c r="L13008" s="2"/>
    </row>
    <row r="13009" spans="1:12" x14ac:dyDescent="0.2">
      <c r="A13009"/>
      <c r="B13009"/>
      <c r="C13009"/>
      <c r="D13009"/>
      <c r="E13009"/>
      <c r="F13009"/>
      <c r="G13009"/>
      <c r="H13009"/>
      <c r="I13009"/>
      <c r="J13009"/>
      <c r="K13009" s="1"/>
      <c r="L13009" s="2"/>
    </row>
    <row r="13010" spans="1:12" x14ac:dyDescent="0.2">
      <c r="A13010"/>
      <c r="B13010"/>
      <c r="C13010"/>
      <c r="D13010"/>
      <c r="E13010"/>
      <c r="F13010"/>
      <c r="G13010"/>
      <c r="H13010"/>
      <c r="I13010"/>
      <c r="J13010"/>
      <c r="K13010" s="1"/>
      <c r="L13010" s="2"/>
    </row>
    <row r="13011" spans="1:12" x14ac:dyDescent="0.2">
      <c r="A13011"/>
      <c r="B13011"/>
      <c r="C13011"/>
      <c r="D13011"/>
      <c r="E13011"/>
      <c r="F13011"/>
      <c r="G13011"/>
      <c r="H13011"/>
      <c r="I13011"/>
      <c r="J13011"/>
      <c r="K13011" s="1"/>
      <c r="L13011" s="2"/>
    </row>
    <row r="13012" spans="1:12" x14ac:dyDescent="0.2">
      <c r="A13012"/>
      <c r="B13012"/>
      <c r="C13012"/>
      <c r="D13012"/>
      <c r="E13012"/>
      <c r="F13012"/>
      <c r="G13012"/>
      <c r="H13012"/>
      <c r="I13012"/>
      <c r="J13012"/>
      <c r="K13012" s="1"/>
      <c r="L13012" s="2"/>
    </row>
    <row r="13013" spans="1:12" x14ac:dyDescent="0.2">
      <c r="A13013"/>
      <c r="B13013"/>
      <c r="C13013"/>
      <c r="D13013"/>
      <c r="E13013"/>
      <c r="F13013"/>
      <c r="G13013"/>
      <c r="H13013"/>
      <c r="I13013"/>
      <c r="J13013"/>
      <c r="K13013" s="1"/>
      <c r="L13013" s="2"/>
    </row>
    <row r="13014" spans="1:12" x14ac:dyDescent="0.2">
      <c r="A13014"/>
      <c r="B13014"/>
      <c r="C13014"/>
      <c r="D13014"/>
      <c r="E13014"/>
      <c r="F13014"/>
      <c r="G13014"/>
      <c r="H13014"/>
      <c r="I13014"/>
      <c r="J13014"/>
      <c r="K13014" s="1"/>
      <c r="L13014" s="2"/>
    </row>
    <row r="13015" spans="1:12" x14ac:dyDescent="0.2">
      <c r="A13015"/>
      <c r="B13015"/>
      <c r="C13015"/>
      <c r="D13015"/>
      <c r="E13015"/>
      <c r="F13015"/>
      <c r="G13015"/>
      <c r="H13015"/>
      <c r="I13015"/>
      <c r="J13015"/>
      <c r="K13015" s="1"/>
      <c r="L13015" s="2"/>
    </row>
    <row r="13016" spans="1:12" x14ac:dyDescent="0.2">
      <c r="A13016"/>
      <c r="B13016"/>
      <c r="C13016"/>
      <c r="D13016"/>
      <c r="E13016"/>
      <c r="F13016"/>
      <c r="G13016"/>
      <c r="H13016"/>
      <c r="I13016"/>
      <c r="J13016"/>
      <c r="K13016" s="1"/>
      <c r="L13016" s="2"/>
    </row>
    <row r="13017" spans="1:12" x14ac:dyDescent="0.2">
      <c r="A13017"/>
      <c r="B13017"/>
      <c r="C13017"/>
      <c r="D13017"/>
      <c r="E13017"/>
      <c r="F13017"/>
      <c r="G13017"/>
      <c r="H13017"/>
      <c r="I13017"/>
      <c r="J13017"/>
      <c r="K13017" s="1"/>
      <c r="L13017" s="2"/>
    </row>
    <row r="13018" spans="1:12" x14ac:dyDescent="0.2">
      <c r="A13018"/>
      <c r="B13018"/>
      <c r="C13018"/>
      <c r="D13018"/>
      <c r="E13018"/>
      <c r="F13018"/>
      <c r="G13018"/>
      <c r="H13018"/>
      <c r="I13018"/>
      <c r="J13018"/>
      <c r="K13018" s="1"/>
      <c r="L13018" s="2"/>
    </row>
    <row r="13019" spans="1:12" x14ac:dyDescent="0.2">
      <c r="A13019"/>
      <c r="B13019"/>
      <c r="C13019"/>
      <c r="D13019"/>
      <c r="E13019"/>
      <c r="F13019"/>
      <c r="G13019"/>
      <c r="H13019"/>
      <c r="I13019"/>
      <c r="J13019"/>
      <c r="K13019" s="1"/>
      <c r="L13019" s="2"/>
    </row>
    <row r="13020" spans="1:12" x14ac:dyDescent="0.2">
      <c r="A13020"/>
      <c r="B13020"/>
      <c r="C13020"/>
      <c r="D13020"/>
      <c r="E13020"/>
      <c r="F13020"/>
      <c r="G13020"/>
      <c r="H13020"/>
      <c r="I13020"/>
      <c r="J13020"/>
      <c r="K13020" s="1"/>
      <c r="L13020" s="2"/>
    </row>
    <row r="13021" spans="1:12" x14ac:dyDescent="0.2">
      <c r="A13021"/>
      <c r="B13021"/>
      <c r="C13021"/>
      <c r="D13021"/>
      <c r="E13021"/>
      <c r="F13021"/>
      <c r="G13021"/>
      <c r="H13021"/>
      <c r="I13021"/>
      <c r="J13021"/>
      <c r="K13021" s="1"/>
      <c r="L13021" s="2"/>
    </row>
    <row r="13022" spans="1:12" x14ac:dyDescent="0.2">
      <c r="A13022"/>
      <c r="B13022"/>
      <c r="C13022"/>
      <c r="D13022"/>
      <c r="E13022"/>
      <c r="F13022"/>
      <c r="G13022"/>
      <c r="H13022"/>
      <c r="I13022"/>
      <c r="J13022"/>
      <c r="K13022" s="1"/>
      <c r="L13022" s="2"/>
    </row>
    <row r="13023" spans="1:12" x14ac:dyDescent="0.2">
      <c r="A13023"/>
      <c r="B13023"/>
      <c r="C13023"/>
      <c r="D13023"/>
      <c r="E13023"/>
      <c r="F13023"/>
      <c r="G13023"/>
      <c r="H13023"/>
      <c r="I13023"/>
      <c r="J13023"/>
      <c r="K13023" s="1"/>
      <c r="L13023" s="2"/>
    </row>
    <row r="13024" spans="1:12" x14ac:dyDescent="0.2">
      <c r="A13024"/>
      <c r="B13024"/>
      <c r="C13024"/>
      <c r="D13024"/>
      <c r="E13024"/>
      <c r="F13024"/>
      <c r="G13024"/>
      <c r="H13024"/>
      <c r="I13024"/>
      <c r="J13024"/>
      <c r="K13024" s="1"/>
      <c r="L13024" s="2"/>
    </row>
    <row r="13025" spans="1:12" x14ac:dyDescent="0.2">
      <c r="A13025"/>
      <c r="B13025"/>
      <c r="C13025"/>
      <c r="D13025"/>
      <c r="E13025"/>
      <c r="F13025"/>
      <c r="G13025"/>
      <c r="H13025"/>
      <c r="I13025"/>
      <c r="J13025"/>
      <c r="K13025" s="1"/>
      <c r="L13025" s="2"/>
    </row>
    <row r="13026" spans="1:12" x14ac:dyDescent="0.2">
      <c r="A13026"/>
      <c r="B13026"/>
      <c r="C13026"/>
      <c r="D13026"/>
      <c r="E13026"/>
      <c r="F13026"/>
      <c r="G13026"/>
      <c r="H13026"/>
      <c r="I13026"/>
      <c r="J13026"/>
      <c r="K13026" s="1"/>
      <c r="L13026" s="2"/>
    </row>
    <row r="13027" spans="1:12" x14ac:dyDescent="0.2">
      <c r="A13027"/>
      <c r="B13027"/>
      <c r="C13027"/>
      <c r="D13027"/>
      <c r="E13027"/>
      <c r="F13027"/>
      <c r="G13027"/>
      <c r="H13027"/>
      <c r="I13027"/>
      <c r="J13027"/>
      <c r="K13027" s="1"/>
      <c r="L13027" s="2"/>
    </row>
    <row r="13028" spans="1:12" x14ac:dyDescent="0.2">
      <c r="A13028"/>
      <c r="B13028"/>
      <c r="C13028"/>
      <c r="D13028"/>
      <c r="E13028"/>
      <c r="F13028"/>
      <c r="G13028"/>
      <c r="H13028"/>
      <c r="I13028"/>
      <c r="J13028"/>
      <c r="K13028" s="1"/>
      <c r="L13028" s="2"/>
    </row>
    <row r="13029" spans="1:12" x14ac:dyDescent="0.2">
      <c r="A13029"/>
      <c r="B13029"/>
      <c r="C13029"/>
      <c r="D13029"/>
      <c r="E13029"/>
      <c r="F13029"/>
      <c r="G13029"/>
      <c r="H13029"/>
      <c r="I13029"/>
      <c r="J13029"/>
      <c r="K13029" s="1"/>
      <c r="L13029" s="2"/>
    </row>
    <row r="13030" spans="1:12" x14ac:dyDescent="0.2">
      <c r="A13030"/>
      <c r="B13030"/>
      <c r="C13030"/>
      <c r="D13030"/>
      <c r="E13030"/>
      <c r="F13030"/>
      <c r="G13030"/>
      <c r="H13030"/>
      <c r="I13030"/>
      <c r="J13030"/>
      <c r="K13030" s="1"/>
      <c r="L13030" s="2"/>
    </row>
    <row r="13031" spans="1:12" x14ac:dyDescent="0.2">
      <c r="A13031"/>
      <c r="B13031"/>
      <c r="C13031"/>
      <c r="D13031"/>
      <c r="E13031"/>
      <c r="F13031"/>
      <c r="G13031"/>
      <c r="H13031"/>
      <c r="I13031"/>
      <c r="J13031"/>
      <c r="K13031" s="1"/>
      <c r="L13031" s="2"/>
    </row>
    <row r="13032" spans="1:12" x14ac:dyDescent="0.2">
      <c r="A13032"/>
      <c r="B13032"/>
      <c r="C13032"/>
      <c r="D13032"/>
      <c r="E13032"/>
      <c r="F13032"/>
      <c r="G13032"/>
      <c r="H13032"/>
      <c r="I13032"/>
      <c r="J13032"/>
      <c r="K13032" s="1"/>
      <c r="L13032" s="2"/>
    </row>
    <row r="13033" spans="1:12" x14ac:dyDescent="0.2">
      <c r="A13033"/>
      <c r="B13033"/>
      <c r="C13033"/>
      <c r="D13033"/>
      <c r="E13033"/>
      <c r="F13033"/>
      <c r="G13033"/>
      <c r="H13033"/>
      <c r="I13033"/>
      <c r="J13033"/>
      <c r="K13033" s="1"/>
      <c r="L13033" s="2"/>
    </row>
    <row r="13034" spans="1:12" x14ac:dyDescent="0.2">
      <c r="A13034"/>
      <c r="B13034"/>
      <c r="C13034"/>
      <c r="D13034"/>
      <c r="E13034"/>
      <c r="F13034"/>
      <c r="G13034"/>
      <c r="H13034"/>
      <c r="I13034"/>
      <c r="J13034"/>
      <c r="K13034" s="1"/>
      <c r="L13034" s="2"/>
    </row>
    <row r="13035" spans="1:12" x14ac:dyDescent="0.2">
      <c r="A13035"/>
      <c r="B13035"/>
      <c r="C13035"/>
      <c r="D13035"/>
      <c r="E13035"/>
      <c r="F13035"/>
      <c r="G13035"/>
      <c r="H13035"/>
      <c r="I13035"/>
      <c r="J13035"/>
      <c r="K13035" s="1"/>
      <c r="L13035" s="2"/>
    </row>
    <row r="13036" spans="1:12" x14ac:dyDescent="0.2">
      <c r="A13036"/>
      <c r="B13036"/>
      <c r="C13036"/>
      <c r="D13036"/>
      <c r="E13036"/>
      <c r="F13036"/>
      <c r="G13036"/>
      <c r="H13036"/>
      <c r="I13036"/>
      <c r="J13036"/>
      <c r="K13036" s="1"/>
      <c r="L13036" s="2"/>
    </row>
    <row r="13037" spans="1:12" x14ac:dyDescent="0.2">
      <c r="A13037"/>
      <c r="B13037"/>
      <c r="C13037"/>
      <c r="D13037"/>
      <c r="E13037"/>
      <c r="F13037"/>
      <c r="G13037"/>
      <c r="H13037"/>
      <c r="I13037"/>
      <c r="J13037"/>
      <c r="K13037" s="1"/>
      <c r="L13037" s="2"/>
    </row>
    <row r="13038" spans="1:12" x14ac:dyDescent="0.2">
      <c r="A13038"/>
      <c r="B13038"/>
      <c r="C13038"/>
      <c r="D13038"/>
      <c r="E13038"/>
      <c r="F13038"/>
      <c r="G13038"/>
      <c r="H13038"/>
      <c r="I13038"/>
      <c r="J13038"/>
      <c r="K13038" s="1"/>
      <c r="L13038" s="2"/>
    </row>
    <row r="13039" spans="1:12" x14ac:dyDescent="0.2">
      <c r="A13039"/>
      <c r="B13039"/>
      <c r="C13039"/>
      <c r="D13039"/>
      <c r="E13039"/>
      <c r="F13039"/>
      <c r="G13039"/>
      <c r="H13039"/>
      <c r="I13039"/>
      <c r="J13039"/>
      <c r="K13039" s="1"/>
      <c r="L13039" s="2"/>
    </row>
    <row r="13040" spans="1:12" x14ac:dyDescent="0.2">
      <c r="A13040"/>
      <c r="B13040"/>
      <c r="C13040"/>
      <c r="D13040"/>
      <c r="E13040"/>
      <c r="F13040"/>
      <c r="G13040"/>
      <c r="H13040"/>
      <c r="I13040"/>
      <c r="J13040"/>
      <c r="K13040" s="1"/>
      <c r="L13040" s="2"/>
    </row>
    <row r="13041" spans="1:12" x14ac:dyDescent="0.2">
      <c r="A13041"/>
      <c r="B13041"/>
      <c r="C13041"/>
      <c r="D13041"/>
      <c r="E13041"/>
      <c r="F13041"/>
      <c r="G13041"/>
      <c r="H13041"/>
      <c r="I13041"/>
      <c r="J13041"/>
      <c r="K13041" s="1"/>
      <c r="L13041" s="2"/>
    </row>
    <row r="13042" spans="1:12" x14ac:dyDescent="0.2">
      <c r="A13042"/>
      <c r="B13042"/>
      <c r="C13042"/>
      <c r="D13042"/>
      <c r="E13042"/>
      <c r="F13042"/>
      <c r="G13042"/>
      <c r="H13042"/>
      <c r="I13042"/>
      <c r="J13042"/>
      <c r="K13042" s="1"/>
      <c r="L13042" s="2"/>
    </row>
    <row r="13043" spans="1:12" x14ac:dyDescent="0.2">
      <c r="A13043"/>
      <c r="B13043"/>
      <c r="C13043"/>
      <c r="D13043"/>
      <c r="E13043"/>
      <c r="F13043"/>
      <c r="G13043"/>
      <c r="H13043"/>
      <c r="I13043"/>
      <c r="J13043"/>
      <c r="K13043" s="1"/>
      <c r="L13043" s="2"/>
    </row>
    <row r="13044" spans="1:12" x14ac:dyDescent="0.2">
      <c r="A13044"/>
      <c r="B13044"/>
      <c r="C13044"/>
      <c r="D13044"/>
      <c r="E13044"/>
      <c r="F13044"/>
      <c r="G13044"/>
      <c r="H13044"/>
      <c r="I13044"/>
      <c r="J13044"/>
      <c r="K13044" s="1"/>
      <c r="L13044" s="2"/>
    </row>
    <row r="13045" spans="1:12" x14ac:dyDescent="0.2">
      <c r="A13045"/>
      <c r="B13045"/>
      <c r="C13045"/>
      <c r="D13045"/>
      <c r="E13045"/>
      <c r="F13045"/>
      <c r="G13045"/>
      <c r="H13045"/>
      <c r="I13045"/>
      <c r="J13045"/>
      <c r="K13045" s="1"/>
      <c r="L13045" s="2"/>
    </row>
    <row r="13046" spans="1:12" x14ac:dyDescent="0.2">
      <c r="A13046"/>
      <c r="B13046"/>
      <c r="C13046"/>
      <c r="D13046"/>
      <c r="E13046"/>
      <c r="F13046"/>
      <c r="G13046"/>
      <c r="H13046"/>
      <c r="I13046"/>
      <c r="J13046"/>
      <c r="K13046" s="1"/>
      <c r="L13046" s="2"/>
    </row>
    <row r="13047" spans="1:12" x14ac:dyDescent="0.2">
      <c r="A13047"/>
      <c r="B13047"/>
      <c r="C13047"/>
      <c r="D13047"/>
      <c r="E13047"/>
      <c r="F13047"/>
      <c r="G13047"/>
      <c r="H13047"/>
      <c r="I13047"/>
      <c r="J13047"/>
      <c r="K13047" s="1"/>
      <c r="L13047" s="2"/>
    </row>
    <row r="13048" spans="1:12" x14ac:dyDescent="0.2">
      <c r="A13048"/>
      <c r="B13048"/>
      <c r="C13048"/>
      <c r="D13048"/>
      <c r="E13048"/>
      <c r="F13048"/>
      <c r="G13048"/>
      <c r="H13048"/>
      <c r="I13048"/>
      <c r="J13048"/>
      <c r="K13048" s="1"/>
      <c r="L13048" s="2"/>
    </row>
    <row r="13049" spans="1:12" x14ac:dyDescent="0.2">
      <c r="A13049"/>
      <c r="B13049"/>
      <c r="C13049"/>
      <c r="D13049"/>
      <c r="E13049"/>
      <c r="F13049"/>
      <c r="G13049"/>
      <c r="H13049"/>
      <c r="I13049"/>
      <c r="J13049"/>
      <c r="K13049" s="1"/>
      <c r="L13049" s="2"/>
    </row>
    <row r="13050" spans="1:12" x14ac:dyDescent="0.2">
      <c r="A13050"/>
      <c r="B13050"/>
      <c r="C13050"/>
      <c r="D13050"/>
      <c r="E13050"/>
      <c r="F13050"/>
      <c r="G13050"/>
      <c r="H13050"/>
      <c r="I13050"/>
      <c r="J13050"/>
      <c r="K13050" s="1"/>
      <c r="L13050" s="2"/>
    </row>
    <row r="13051" spans="1:12" x14ac:dyDescent="0.2">
      <c r="A13051"/>
      <c r="B13051"/>
      <c r="C13051"/>
      <c r="D13051"/>
      <c r="E13051"/>
      <c r="F13051"/>
      <c r="G13051"/>
      <c r="H13051"/>
      <c r="I13051"/>
      <c r="J13051"/>
      <c r="K13051" s="1"/>
      <c r="L13051" s="2"/>
    </row>
    <row r="13052" spans="1:12" x14ac:dyDescent="0.2">
      <c r="A13052"/>
      <c r="B13052"/>
      <c r="C13052"/>
      <c r="D13052"/>
      <c r="E13052"/>
      <c r="F13052"/>
      <c r="G13052"/>
      <c r="H13052"/>
      <c r="I13052"/>
      <c r="J13052"/>
      <c r="K13052" s="1"/>
      <c r="L13052" s="2"/>
    </row>
    <row r="13053" spans="1:12" x14ac:dyDescent="0.2">
      <c r="A13053"/>
      <c r="B13053"/>
      <c r="C13053"/>
      <c r="D13053"/>
      <c r="E13053"/>
      <c r="F13053"/>
      <c r="G13053"/>
      <c r="H13053"/>
      <c r="I13053"/>
      <c r="J13053"/>
      <c r="K13053" s="1"/>
      <c r="L13053" s="2"/>
    </row>
    <row r="13054" spans="1:12" x14ac:dyDescent="0.2">
      <c r="A13054"/>
      <c r="B13054"/>
      <c r="C13054"/>
      <c r="D13054"/>
      <c r="E13054"/>
      <c r="F13054"/>
      <c r="G13054"/>
      <c r="H13054"/>
      <c r="I13054"/>
      <c r="J13054"/>
      <c r="K13054" s="1"/>
      <c r="L13054" s="2"/>
    </row>
    <row r="13055" spans="1:12" x14ac:dyDescent="0.2">
      <c r="A13055"/>
      <c r="B13055"/>
      <c r="C13055"/>
      <c r="D13055"/>
      <c r="E13055"/>
      <c r="F13055"/>
      <c r="G13055"/>
      <c r="H13055"/>
      <c r="I13055"/>
      <c r="J13055"/>
      <c r="K13055" s="1"/>
      <c r="L13055" s="2"/>
    </row>
    <row r="13056" spans="1:12" x14ac:dyDescent="0.2">
      <c r="A13056"/>
      <c r="B13056"/>
      <c r="C13056"/>
      <c r="D13056"/>
      <c r="E13056"/>
      <c r="F13056"/>
      <c r="G13056"/>
      <c r="H13056"/>
      <c r="I13056"/>
      <c r="J13056"/>
      <c r="K13056" s="1"/>
      <c r="L13056" s="2"/>
    </row>
    <row r="13057" spans="1:12" x14ac:dyDescent="0.2">
      <c r="A13057"/>
      <c r="B13057"/>
      <c r="C13057"/>
      <c r="D13057"/>
      <c r="E13057"/>
      <c r="F13057"/>
      <c r="G13057"/>
      <c r="H13057"/>
      <c r="I13057"/>
      <c r="J13057"/>
      <c r="K13057" s="1"/>
      <c r="L13057" s="2"/>
    </row>
    <row r="13058" spans="1:12" x14ac:dyDescent="0.2">
      <c r="A13058"/>
      <c r="B13058"/>
      <c r="C13058"/>
      <c r="D13058"/>
      <c r="E13058"/>
      <c r="F13058"/>
      <c r="G13058"/>
      <c r="H13058"/>
      <c r="I13058"/>
      <c r="J13058"/>
      <c r="K13058" s="1"/>
      <c r="L13058" s="2"/>
    </row>
    <row r="13059" spans="1:12" x14ac:dyDescent="0.2">
      <c r="A13059"/>
      <c r="B13059"/>
      <c r="C13059"/>
      <c r="D13059"/>
      <c r="E13059"/>
      <c r="F13059"/>
      <c r="G13059"/>
      <c r="H13059"/>
      <c r="I13059"/>
      <c r="J13059"/>
      <c r="K13059" s="1"/>
      <c r="L13059" s="2"/>
    </row>
    <row r="13060" spans="1:12" x14ac:dyDescent="0.2">
      <c r="A13060"/>
      <c r="B13060"/>
      <c r="C13060"/>
      <c r="D13060"/>
      <c r="E13060"/>
      <c r="F13060"/>
      <c r="G13060"/>
      <c r="H13060"/>
      <c r="I13060"/>
      <c r="J13060"/>
      <c r="K13060" s="1"/>
      <c r="L13060" s="2"/>
    </row>
    <row r="13061" spans="1:12" x14ac:dyDescent="0.2">
      <c r="A13061"/>
      <c r="B13061"/>
      <c r="C13061"/>
      <c r="D13061"/>
      <c r="E13061"/>
      <c r="F13061"/>
      <c r="G13061"/>
      <c r="H13061"/>
      <c r="I13061"/>
      <c r="J13061"/>
      <c r="K13061" s="1"/>
      <c r="L13061" s="2"/>
    </row>
    <row r="13062" spans="1:12" x14ac:dyDescent="0.2">
      <c r="A13062"/>
      <c r="B13062"/>
      <c r="C13062"/>
      <c r="D13062"/>
      <c r="E13062"/>
      <c r="F13062"/>
      <c r="G13062"/>
      <c r="H13062"/>
      <c r="I13062"/>
      <c r="J13062"/>
      <c r="K13062" s="1"/>
      <c r="L13062" s="2"/>
    </row>
    <row r="13063" spans="1:12" x14ac:dyDescent="0.2">
      <c r="A13063"/>
      <c r="B13063"/>
      <c r="C13063"/>
      <c r="D13063"/>
      <c r="E13063"/>
      <c r="F13063"/>
      <c r="G13063"/>
      <c r="H13063"/>
      <c r="I13063"/>
      <c r="J13063"/>
      <c r="K13063" s="1"/>
      <c r="L13063" s="2"/>
    </row>
    <row r="13064" spans="1:12" x14ac:dyDescent="0.2">
      <c r="A13064"/>
      <c r="B13064"/>
      <c r="C13064"/>
      <c r="D13064"/>
      <c r="E13064"/>
      <c r="F13064"/>
      <c r="G13064"/>
      <c r="H13064"/>
      <c r="I13064"/>
      <c r="J13064"/>
      <c r="K13064" s="1"/>
      <c r="L13064" s="2"/>
    </row>
    <row r="13065" spans="1:12" x14ac:dyDescent="0.2">
      <c r="A13065"/>
      <c r="B13065"/>
      <c r="C13065"/>
      <c r="D13065"/>
      <c r="E13065"/>
      <c r="F13065"/>
      <c r="G13065"/>
      <c r="H13065"/>
      <c r="I13065"/>
      <c r="J13065"/>
      <c r="K13065" s="1"/>
      <c r="L13065" s="2"/>
    </row>
    <row r="13066" spans="1:12" x14ac:dyDescent="0.2">
      <c r="A13066"/>
      <c r="B13066"/>
      <c r="C13066"/>
      <c r="D13066"/>
      <c r="E13066"/>
      <c r="F13066"/>
      <c r="G13066"/>
      <c r="H13066"/>
      <c r="I13066"/>
      <c r="J13066"/>
      <c r="K13066" s="1"/>
      <c r="L13066" s="2"/>
    </row>
    <row r="13067" spans="1:12" x14ac:dyDescent="0.2">
      <c r="A13067"/>
      <c r="B13067"/>
      <c r="C13067"/>
      <c r="D13067"/>
      <c r="E13067"/>
      <c r="F13067"/>
      <c r="G13067"/>
      <c r="H13067"/>
      <c r="I13067"/>
      <c r="J13067"/>
      <c r="K13067" s="1"/>
      <c r="L13067" s="2"/>
    </row>
    <row r="13068" spans="1:12" x14ac:dyDescent="0.2">
      <c r="A13068"/>
      <c r="B13068"/>
      <c r="C13068"/>
      <c r="D13068"/>
      <c r="E13068"/>
      <c r="F13068"/>
      <c r="G13068"/>
      <c r="H13068"/>
      <c r="I13068"/>
      <c r="J13068"/>
      <c r="K13068" s="1"/>
      <c r="L13068" s="2"/>
    </row>
    <row r="13069" spans="1:12" x14ac:dyDescent="0.2">
      <c r="A13069"/>
      <c r="B13069"/>
      <c r="C13069"/>
      <c r="D13069"/>
      <c r="E13069"/>
      <c r="F13069"/>
      <c r="G13069"/>
      <c r="H13069"/>
      <c r="I13069"/>
      <c r="J13069"/>
      <c r="K13069" s="1"/>
      <c r="L13069" s="2"/>
    </row>
    <row r="13070" spans="1:12" x14ac:dyDescent="0.2">
      <c r="A13070"/>
      <c r="B13070"/>
      <c r="C13070"/>
      <c r="D13070"/>
      <c r="E13070"/>
      <c r="F13070"/>
      <c r="G13070"/>
      <c r="H13070"/>
      <c r="I13070"/>
      <c r="J13070"/>
      <c r="K13070" s="1"/>
      <c r="L13070" s="2"/>
    </row>
    <row r="13071" spans="1:12" x14ac:dyDescent="0.2">
      <c r="A13071"/>
      <c r="B13071"/>
      <c r="C13071"/>
      <c r="D13071"/>
      <c r="E13071"/>
      <c r="F13071"/>
      <c r="G13071"/>
      <c r="H13071"/>
      <c r="I13071"/>
      <c r="J13071"/>
      <c r="K13071" s="1"/>
      <c r="L13071" s="2"/>
    </row>
    <row r="13072" spans="1:12" x14ac:dyDescent="0.2">
      <c r="A13072"/>
      <c r="B13072"/>
      <c r="C13072"/>
      <c r="D13072"/>
      <c r="E13072"/>
      <c r="F13072"/>
      <c r="G13072"/>
      <c r="H13072"/>
      <c r="I13072"/>
      <c r="J13072"/>
      <c r="K13072" s="1"/>
      <c r="L13072" s="2"/>
    </row>
    <row r="13073" spans="1:12" x14ac:dyDescent="0.2">
      <c r="A13073"/>
      <c r="B13073"/>
      <c r="C13073"/>
      <c r="D13073"/>
      <c r="E13073"/>
      <c r="F13073"/>
      <c r="G13073"/>
      <c r="H13073"/>
      <c r="I13073"/>
      <c r="J13073"/>
      <c r="K13073" s="1"/>
      <c r="L13073" s="2"/>
    </row>
    <row r="13074" spans="1:12" x14ac:dyDescent="0.2">
      <c r="A13074"/>
      <c r="B13074"/>
      <c r="C13074"/>
      <c r="D13074"/>
      <c r="E13074"/>
      <c r="F13074"/>
      <c r="G13074"/>
      <c r="H13074"/>
      <c r="I13074"/>
      <c r="J13074"/>
      <c r="K13074" s="1"/>
      <c r="L13074" s="2"/>
    </row>
    <row r="13075" spans="1:12" x14ac:dyDescent="0.2">
      <c r="A13075"/>
      <c r="B13075"/>
      <c r="C13075"/>
      <c r="D13075"/>
      <c r="E13075"/>
      <c r="F13075"/>
      <c r="G13075"/>
      <c r="H13075"/>
      <c r="I13075"/>
      <c r="J13075"/>
      <c r="K13075" s="1"/>
      <c r="L13075" s="2"/>
    </row>
    <row r="13076" spans="1:12" x14ac:dyDescent="0.2">
      <c r="A13076"/>
      <c r="B13076"/>
      <c r="C13076"/>
      <c r="D13076"/>
      <c r="E13076"/>
      <c r="F13076"/>
      <c r="G13076"/>
      <c r="H13076"/>
      <c r="I13076"/>
      <c r="J13076"/>
      <c r="K13076" s="1"/>
      <c r="L13076" s="2"/>
    </row>
    <row r="13077" spans="1:12" x14ac:dyDescent="0.2">
      <c r="A13077"/>
      <c r="B13077"/>
      <c r="C13077"/>
      <c r="D13077"/>
      <c r="E13077"/>
      <c r="F13077"/>
      <c r="G13077"/>
      <c r="H13077"/>
      <c r="I13077"/>
      <c r="J13077"/>
      <c r="K13077" s="1"/>
      <c r="L13077" s="2"/>
    </row>
    <row r="13078" spans="1:12" x14ac:dyDescent="0.2">
      <c r="A13078"/>
      <c r="B13078"/>
      <c r="C13078"/>
      <c r="D13078"/>
      <c r="E13078"/>
      <c r="F13078"/>
      <c r="G13078"/>
      <c r="H13078"/>
      <c r="I13078"/>
      <c r="J13078"/>
      <c r="K13078" s="1"/>
      <c r="L13078" s="2"/>
    </row>
    <row r="13079" spans="1:12" x14ac:dyDescent="0.2">
      <c r="A13079"/>
      <c r="B13079"/>
      <c r="C13079"/>
      <c r="D13079"/>
      <c r="E13079"/>
      <c r="F13079"/>
      <c r="G13079"/>
      <c r="H13079"/>
      <c r="I13079"/>
      <c r="J13079"/>
      <c r="K13079" s="1"/>
      <c r="L13079" s="2"/>
    </row>
    <row r="13080" spans="1:12" x14ac:dyDescent="0.2">
      <c r="A13080"/>
      <c r="B13080"/>
      <c r="C13080"/>
      <c r="D13080"/>
      <c r="E13080"/>
      <c r="F13080"/>
      <c r="G13080"/>
      <c r="H13080"/>
      <c r="I13080"/>
      <c r="J13080"/>
      <c r="K13080" s="1"/>
      <c r="L13080" s="2"/>
    </row>
    <row r="13081" spans="1:12" x14ac:dyDescent="0.2">
      <c r="A13081"/>
      <c r="B13081"/>
      <c r="C13081"/>
      <c r="D13081"/>
      <c r="E13081"/>
      <c r="F13081"/>
      <c r="G13081"/>
      <c r="H13081"/>
      <c r="I13081"/>
      <c r="J13081"/>
      <c r="K13081" s="1"/>
      <c r="L13081" s="2"/>
    </row>
    <row r="13082" spans="1:12" x14ac:dyDescent="0.2">
      <c r="A13082"/>
      <c r="B13082"/>
      <c r="C13082"/>
      <c r="D13082"/>
      <c r="E13082"/>
      <c r="F13082"/>
      <c r="G13082"/>
      <c r="H13082"/>
      <c r="I13082"/>
      <c r="J13082"/>
      <c r="K13082" s="1"/>
      <c r="L13082" s="2"/>
    </row>
    <row r="13083" spans="1:12" x14ac:dyDescent="0.2">
      <c r="A13083"/>
      <c r="B13083"/>
      <c r="C13083"/>
      <c r="D13083"/>
      <c r="E13083"/>
      <c r="F13083"/>
      <c r="G13083"/>
      <c r="H13083"/>
      <c r="I13083"/>
      <c r="J13083"/>
      <c r="K13083" s="1"/>
      <c r="L13083" s="2"/>
    </row>
    <row r="13084" spans="1:12" x14ac:dyDescent="0.2">
      <c r="A13084"/>
      <c r="B13084"/>
      <c r="C13084"/>
      <c r="D13084"/>
      <c r="E13084"/>
      <c r="F13084"/>
      <c r="G13084"/>
      <c r="H13084"/>
      <c r="I13084"/>
      <c r="J13084"/>
      <c r="K13084" s="1"/>
      <c r="L13084" s="2"/>
    </row>
    <row r="13085" spans="1:12" x14ac:dyDescent="0.2">
      <c r="A13085"/>
      <c r="B13085"/>
      <c r="C13085"/>
      <c r="D13085"/>
      <c r="E13085"/>
      <c r="F13085"/>
      <c r="G13085"/>
      <c r="H13085"/>
      <c r="I13085"/>
      <c r="J13085"/>
      <c r="K13085" s="1"/>
      <c r="L13085" s="2"/>
    </row>
    <row r="13086" spans="1:12" x14ac:dyDescent="0.2">
      <c r="A13086"/>
      <c r="B13086"/>
      <c r="C13086"/>
      <c r="D13086"/>
      <c r="E13086"/>
      <c r="F13086"/>
      <c r="G13086"/>
      <c r="H13086"/>
      <c r="I13086"/>
      <c r="J13086"/>
      <c r="K13086" s="1"/>
      <c r="L13086" s="2"/>
    </row>
    <row r="13087" spans="1:12" x14ac:dyDescent="0.2">
      <c r="A13087"/>
      <c r="B13087"/>
      <c r="C13087"/>
      <c r="D13087"/>
      <c r="E13087"/>
      <c r="F13087"/>
      <c r="G13087"/>
      <c r="H13087"/>
      <c r="I13087"/>
      <c r="J13087"/>
      <c r="K13087" s="1"/>
      <c r="L13087" s="2"/>
    </row>
    <row r="13088" spans="1:12" x14ac:dyDescent="0.2">
      <c r="A13088"/>
      <c r="B13088"/>
      <c r="C13088"/>
      <c r="D13088"/>
      <c r="E13088"/>
      <c r="F13088"/>
      <c r="G13088"/>
      <c r="H13088"/>
      <c r="I13088"/>
      <c r="J13088"/>
      <c r="K13088" s="1"/>
      <c r="L13088" s="2"/>
    </row>
    <row r="13089" spans="1:12" x14ac:dyDescent="0.2">
      <c r="A13089"/>
      <c r="B13089"/>
      <c r="C13089"/>
      <c r="D13089"/>
      <c r="E13089"/>
      <c r="F13089"/>
      <c r="G13089"/>
      <c r="H13089"/>
      <c r="I13089"/>
      <c r="J13089"/>
      <c r="K13089" s="1"/>
      <c r="L13089" s="2"/>
    </row>
    <row r="13090" spans="1:12" x14ac:dyDescent="0.2">
      <c r="A13090"/>
      <c r="B13090"/>
      <c r="C13090"/>
      <c r="D13090"/>
      <c r="E13090"/>
      <c r="F13090"/>
      <c r="G13090"/>
      <c r="H13090"/>
      <c r="I13090"/>
      <c r="J13090"/>
      <c r="K13090" s="1"/>
      <c r="L13090" s="2"/>
    </row>
    <row r="13091" spans="1:12" x14ac:dyDescent="0.2">
      <c r="A13091"/>
      <c r="B13091"/>
      <c r="C13091"/>
      <c r="D13091"/>
      <c r="E13091"/>
      <c r="F13091"/>
      <c r="G13091"/>
      <c r="H13091"/>
      <c r="I13091"/>
      <c r="J13091"/>
      <c r="K13091" s="1"/>
      <c r="L13091" s="2"/>
    </row>
    <row r="13092" spans="1:12" x14ac:dyDescent="0.2">
      <c r="A13092"/>
      <c r="B13092"/>
      <c r="C13092"/>
      <c r="D13092"/>
      <c r="E13092"/>
      <c r="F13092"/>
      <c r="G13092"/>
      <c r="H13092"/>
      <c r="I13092"/>
      <c r="J13092"/>
      <c r="K13092" s="1"/>
      <c r="L13092" s="2"/>
    </row>
    <row r="13093" spans="1:12" x14ac:dyDescent="0.2">
      <c r="A13093"/>
      <c r="B13093"/>
      <c r="C13093"/>
      <c r="D13093"/>
      <c r="E13093"/>
      <c r="F13093"/>
      <c r="G13093"/>
      <c r="H13093"/>
      <c r="I13093"/>
      <c r="J13093"/>
      <c r="K13093" s="1"/>
      <c r="L13093" s="2"/>
    </row>
    <row r="13094" spans="1:12" x14ac:dyDescent="0.2">
      <c r="A13094"/>
      <c r="B13094"/>
      <c r="C13094"/>
      <c r="D13094"/>
      <c r="E13094"/>
      <c r="F13094"/>
      <c r="G13094"/>
      <c r="H13094"/>
      <c r="I13094"/>
      <c r="J13094"/>
      <c r="K13094" s="1"/>
      <c r="L13094" s="2"/>
    </row>
    <row r="13095" spans="1:12" x14ac:dyDescent="0.2">
      <c r="A13095"/>
      <c r="B13095"/>
      <c r="C13095"/>
      <c r="D13095"/>
      <c r="E13095"/>
      <c r="F13095"/>
      <c r="G13095"/>
      <c r="H13095"/>
      <c r="I13095"/>
      <c r="J13095"/>
      <c r="K13095" s="1"/>
      <c r="L13095" s="2"/>
    </row>
    <row r="13096" spans="1:12" x14ac:dyDescent="0.2">
      <c r="A13096"/>
      <c r="B13096"/>
      <c r="C13096"/>
      <c r="D13096"/>
      <c r="E13096"/>
      <c r="F13096"/>
      <c r="G13096"/>
      <c r="H13096"/>
      <c r="I13096"/>
      <c r="J13096"/>
      <c r="K13096" s="1"/>
      <c r="L13096" s="2"/>
    </row>
    <row r="13097" spans="1:12" x14ac:dyDescent="0.2">
      <c r="A13097"/>
      <c r="B13097"/>
      <c r="C13097"/>
      <c r="D13097"/>
      <c r="E13097"/>
      <c r="F13097"/>
      <c r="G13097"/>
      <c r="H13097"/>
      <c r="I13097"/>
      <c r="J13097"/>
      <c r="K13097" s="1"/>
      <c r="L13097" s="2"/>
    </row>
    <row r="13098" spans="1:12" x14ac:dyDescent="0.2">
      <c r="A13098"/>
      <c r="B13098"/>
      <c r="C13098"/>
      <c r="D13098"/>
      <c r="E13098"/>
      <c r="F13098"/>
      <c r="G13098"/>
      <c r="H13098"/>
      <c r="I13098"/>
      <c r="J13098"/>
      <c r="K13098" s="1"/>
      <c r="L13098" s="2"/>
    </row>
    <row r="13099" spans="1:12" x14ac:dyDescent="0.2">
      <c r="A13099"/>
      <c r="B13099"/>
      <c r="C13099"/>
      <c r="D13099"/>
      <c r="E13099"/>
      <c r="F13099"/>
      <c r="G13099"/>
      <c r="H13099"/>
      <c r="I13099"/>
      <c r="J13099"/>
      <c r="K13099" s="1"/>
      <c r="L13099" s="2"/>
    </row>
    <row r="13100" spans="1:12" x14ac:dyDescent="0.2">
      <c r="A13100"/>
      <c r="B13100"/>
      <c r="C13100"/>
      <c r="D13100"/>
      <c r="E13100"/>
      <c r="F13100"/>
      <c r="G13100"/>
      <c r="H13100"/>
      <c r="I13100"/>
      <c r="J13100"/>
      <c r="K13100" s="1"/>
      <c r="L13100" s="2"/>
    </row>
    <row r="13101" spans="1:12" x14ac:dyDescent="0.2">
      <c r="A13101"/>
      <c r="B13101"/>
      <c r="C13101"/>
      <c r="D13101"/>
      <c r="E13101"/>
      <c r="F13101"/>
      <c r="G13101"/>
      <c r="H13101"/>
      <c r="I13101"/>
      <c r="J13101"/>
      <c r="K13101" s="1"/>
      <c r="L13101" s="2"/>
    </row>
    <row r="13102" spans="1:12" x14ac:dyDescent="0.2">
      <c r="A13102"/>
      <c r="B13102"/>
      <c r="C13102"/>
      <c r="D13102"/>
      <c r="E13102"/>
      <c r="F13102"/>
      <c r="G13102"/>
      <c r="H13102"/>
      <c r="I13102"/>
      <c r="J13102"/>
      <c r="K13102" s="1"/>
      <c r="L13102" s="2"/>
    </row>
    <row r="13103" spans="1:12" x14ac:dyDescent="0.2">
      <c r="A13103"/>
      <c r="B13103"/>
      <c r="C13103"/>
      <c r="D13103"/>
      <c r="E13103"/>
      <c r="F13103"/>
      <c r="G13103"/>
      <c r="H13103"/>
      <c r="I13103"/>
      <c r="J13103"/>
      <c r="K13103" s="1"/>
      <c r="L13103" s="2"/>
    </row>
    <row r="13104" spans="1:12" x14ac:dyDescent="0.2">
      <c r="A13104"/>
      <c r="B13104"/>
      <c r="C13104"/>
      <c r="D13104"/>
      <c r="E13104"/>
      <c r="F13104"/>
      <c r="G13104"/>
      <c r="H13104"/>
      <c r="I13104"/>
      <c r="J13104"/>
      <c r="K13104" s="1"/>
      <c r="L13104" s="2"/>
    </row>
    <row r="13105" spans="1:12" x14ac:dyDescent="0.2">
      <c r="A13105"/>
      <c r="B13105"/>
      <c r="C13105"/>
      <c r="D13105"/>
      <c r="E13105"/>
      <c r="F13105"/>
      <c r="G13105"/>
      <c r="H13105"/>
      <c r="I13105"/>
      <c r="J13105"/>
      <c r="K13105" s="1"/>
      <c r="L13105" s="2"/>
    </row>
    <row r="13106" spans="1:12" x14ac:dyDescent="0.2">
      <c r="A13106"/>
      <c r="B13106"/>
      <c r="C13106"/>
      <c r="D13106"/>
      <c r="E13106"/>
      <c r="F13106"/>
      <c r="G13106"/>
      <c r="H13106"/>
      <c r="I13106"/>
      <c r="J13106"/>
      <c r="K13106" s="1"/>
      <c r="L13106" s="2"/>
    </row>
    <row r="13107" spans="1:12" x14ac:dyDescent="0.2">
      <c r="A13107"/>
      <c r="B13107"/>
      <c r="C13107"/>
      <c r="D13107"/>
      <c r="E13107"/>
      <c r="F13107"/>
      <c r="G13107"/>
      <c r="H13107"/>
      <c r="I13107"/>
      <c r="J13107"/>
      <c r="K13107" s="1"/>
      <c r="L13107" s="2"/>
    </row>
    <row r="13108" spans="1:12" x14ac:dyDescent="0.2">
      <c r="A13108"/>
      <c r="B13108"/>
      <c r="C13108"/>
      <c r="D13108"/>
      <c r="E13108"/>
      <c r="F13108"/>
      <c r="G13108"/>
      <c r="H13108"/>
      <c r="I13108"/>
      <c r="J13108"/>
      <c r="K13108" s="1"/>
      <c r="L13108" s="2"/>
    </row>
    <row r="13109" spans="1:12" x14ac:dyDescent="0.2">
      <c r="A13109"/>
      <c r="B13109"/>
      <c r="C13109"/>
      <c r="D13109"/>
      <c r="E13109"/>
      <c r="F13109"/>
      <c r="G13109"/>
      <c r="H13109"/>
      <c r="I13109"/>
      <c r="J13109"/>
      <c r="K13109" s="1"/>
      <c r="L13109" s="2"/>
    </row>
    <row r="13110" spans="1:12" x14ac:dyDescent="0.2">
      <c r="A13110"/>
      <c r="B13110"/>
      <c r="C13110"/>
      <c r="D13110"/>
      <c r="E13110"/>
      <c r="F13110"/>
      <c r="G13110"/>
      <c r="H13110"/>
      <c r="I13110"/>
      <c r="J13110"/>
      <c r="K13110" s="1"/>
      <c r="L13110" s="2"/>
    </row>
    <row r="13111" spans="1:12" x14ac:dyDescent="0.2">
      <c r="A13111"/>
      <c r="B13111"/>
      <c r="C13111"/>
      <c r="D13111"/>
      <c r="E13111"/>
      <c r="F13111"/>
      <c r="G13111"/>
      <c r="H13111"/>
      <c r="I13111"/>
      <c r="J13111"/>
      <c r="K13111" s="1"/>
      <c r="L13111" s="2"/>
    </row>
    <row r="13112" spans="1:12" x14ac:dyDescent="0.2">
      <c r="A13112"/>
      <c r="B13112"/>
      <c r="C13112"/>
      <c r="D13112"/>
      <c r="E13112"/>
      <c r="F13112"/>
      <c r="G13112"/>
      <c r="H13112"/>
      <c r="I13112"/>
      <c r="J13112"/>
      <c r="K13112" s="1"/>
      <c r="L13112" s="2"/>
    </row>
    <row r="13113" spans="1:12" x14ac:dyDescent="0.2">
      <c r="A13113"/>
      <c r="B13113"/>
      <c r="C13113"/>
      <c r="D13113"/>
      <c r="E13113"/>
      <c r="F13113"/>
      <c r="G13113"/>
      <c r="H13113"/>
      <c r="I13113"/>
      <c r="J13113"/>
      <c r="K13113" s="1"/>
      <c r="L13113" s="2"/>
    </row>
    <row r="13114" spans="1:12" x14ac:dyDescent="0.2">
      <c r="A13114"/>
      <c r="B13114"/>
      <c r="C13114"/>
      <c r="D13114"/>
      <c r="E13114"/>
      <c r="F13114"/>
      <c r="G13114"/>
      <c r="H13114"/>
      <c r="I13114"/>
      <c r="J13114"/>
      <c r="K13114" s="1"/>
      <c r="L13114" s="2"/>
    </row>
    <row r="13115" spans="1:12" x14ac:dyDescent="0.2">
      <c r="A13115"/>
      <c r="B13115"/>
      <c r="C13115"/>
      <c r="D13115"/>
      <c r="E13115"/>
      <c r="F13115"/>
      <c r="G13115"/>
      <c r="H13115"/>
      <c r="I13115"/>
      <c r="J13115"/>
      <c r="K13115" s="1"/>
      <c r="L13115" s="2"/>
    </row>
    <row r="13116" spans="1:12" x14ac:dyDescent="0.2">
      <c r="A13116"/>
      <c r="B13116"/>
      <c r="C13116"/>
      <c r="D13116"/>
      <c r="E13116"/>
      <c r="F13116"/>
      <c r="G13116"/>
      <c r="H13116"/>
      <c r="I13116"/>
      <c r="J13116"/>
      <c r="K13116" s="1"/>
      <c r="L13116" s="2"/>
    </row>
    <row r="13117" spans="1:12" x14ac:dyDescent="0.2">
      <c r="A13117"/>
      <c r="B13117"/>
      <c r="C13117"/>
      <c r="D13117"/>
      <c r="E13117"/>
      <c r="F13117"/>
      <c r="G13117"/>
      <c r="H13117"/>
      <c r="I13117"/>
      <c r="J13117"/>
      <c r="K13117" s="1"/>
      <c r="L13117" s="2"/>
    </row>
    <row r="13118" spans="1:12" x14ac:dyDescent="0.2">
      <c r="A13118"/>
      <c r="B13118"/>
      <c r="C13118"/>
      <c r="D13118"/>
      <c r="E13118"/>
      <c r="F13118"/>
      <c r="G13118"/>
      <c r="H13118"/>
      <c r="I13118"/>
      <c r="J13118"/>
      <c r="K13118" s="1"/>
      <c r="L13118" s="2"/>
    </row>
    <row r="13119" spans="1:12" x14ac:dyDescent="0.2">
      <c r="A13119"/>
      <c r="B13119"/>
      <c r="C13119"/>
      <c r="D13119"/>
      <c r="E13119"/>
      <c r="F13119"/>
      <c r="G13119"/>
      <c r="H13119"/>
      <c r="I13119"/>
      <c r="J13119"/>
      <c r="K13119" s="1"/>
      <c r="L13119" s="2"/>
    </row>
    <row r="13120" spans="1:12" x14ac:dyDescent="0.2">
      <c r="A13120"/>
      <c r="B13120"/>
      <c r="C13120"/>
      <c r="D13120"/>
      <c r="E13120"/>
      <c r="F13120"/>
      <c r="G13120"/>
      <c r="H13120"/>
      <c r="I13120"/>
      <c r="J13120"/>
      <c r="K13120" s="1"/>
      <c r="L13120" s="2"/>
    </row>
    <row r="13121" spans="1:12" x14ac:dyDescent="0.2">
      <c r="A13121"/>
      <c r="B13121"/>
      <c r="C13121"/>
      <c r="D13121"/>
      <c r="E13121"/>
      <c r="F13121"/>
      <c r="G13121"/>
      <c r="H13121"/>
      <c r="I13121"/>
      <c r="J13121"/>
      <c r="K13121" s="1"/>
      <c r="L13121" s="2"/>
    </row>
    <row r="13122" spans="1:12" x14ac:dyDescent="0.2">
      <c r="A13122"/>
      <c r="B13122"/>
      <c r="C13122"/>
      <c r="D13122"/>
      <c r="E13122"/>
      <c r="F13122"/>
      <c r="G13122"/>
      <c r="H13122"/>
      <c r="I13122"/>
      <c r="J13122"/>
      <c r="K13122" s="1"/>
      <c r="L13122" s="2"/>
    </row>
    <row r="13123" spans="1:12" x14ac:dyDescent="0.2">
      <c r="A13123"/>
      <c r="B13123"/>
      <c r="C13123"/>
      <c r="D13123"/>
      <c r="E13123"/>
      <c r="F13123"/>
      <c r="G13123"/>
      <c r="H13123"/>
      <c r="I13123"/>
      <c r="J13123"/>
      <c r="K13123" s="1"/>
      <c r="L13123" s="2"/>
    </row>
    <row r="13124" spans="1:12" x14ac:dyDescent="0.2">
      <c r="A13124"/>
      <c r="B13124"/>
      <c r="C13124"/>
      <c r="D13124"/>
      <c r="E13124"/>
      <c r="F13124"/>
      <c r="G13124"/>
      <c r="H13124"/>
      <c r="I13124"/>
      <c r="J13124"/>
      <c r="K13124" s="1"/>
      <c r="L13124" s="2"/>
    </row>
    <row r="13125" spans="1:12" x14ac:dyDescent="0.2">
      <c r="A13125"/>
      <c r="B13125"/>
      <c r="C13125"/>
      <c r="D13125"/>
      <c r="E13125"/>
      <c r="F13125"/>
      <c r="G13125"/>
      <c r="H13125"/>
      <c r="I13125"/>
      <c r="J13125"/>
      <c r="K13125" s="1"/>
      <c r="L13125" s="2"/>
    </row>
    <row r="13126" spans="1:12" x14ac:dyDescent="0.2">
      <c r="A13126"/>
      <c r="B13126"/>
      <c r="C13126"/>
      <c r="D13126"/>
      <c r="E13126"/>
      <c r="F13126"/>
      <c r="G13126"/>
      <c r="H13126"/>
      <c r="I13126"/>
      <c r="J13126"/>
      <c r="K13126" s="1"/>
      <c r="L13126" s="2"/>
    </row>
    <row r="13127" spans="1:12" x14ac:dyDescent="0.2">
      <c r="A13127"/>
      <c r="B13127"/>
      <c r="C13127"/>
      <c r="D13127"/>
      <c r="E13127"/>
      <c r="F13127"/>
      <c r="G13127"/>
      <c r="H13127"/>
      <c r="I13127"/>
      <c r="J13127"/>
      <c r="K13127" s="1"/>
      <c r="L13127" s="2"/>
    </row>
    <row r="13128" spans="1:12" x14ac:dyDescent="0.2">
      <c r="A13128"/>
      <c r="B13128"/>
      <c r="C13128"/>
      <c r="D13128"/>
      <c r="E13128"/>
      <c r="F13128"/>
      <c r="G13128"/>
      <c r="H13128"/>
      <c r="I13128"/>
      <c r="J13128"/>
      <c r="K13128" s="1"/>
      <c r="L13128" s="2"/>
    </row>
    <row r="13129" spans="1:12" x14ac:dyDescent="0.2">
      <c r="A13129"/>
      <c r="B13129"/>
      <c r="C13129"/>
      <c r="D13129"/>
      <c r="E13129"/>
      <c r="F13129"/>
      <c r="G13129"/>
      <c r="H13129"/>
      <c r="I13129"/>
      <c r="J13129"/>
      <c r="K13129" s="1"/>
      <c r="L13129" s="2"/>
    </row>
    <row r="13130" spans="1:12" x14ac:dyDescent="0.2">
      <c r="A13130"/>
      <c r="B13130"/>
      <c r="C13130"/>
      <c r="D13130"/>
      <c r="E13130"/>
      <c r="F13130"/>
      <c r="G13130"/>
      <c r="H13130"/>
      <c r="I13130"/>
      <c r="J13130"/>
      <c r="K13130" s="1"/>
      <c r="L13130" s="2"/>
    </row>
    <row r="13131" spans="1:12" x14ac:dyDescent="0.2">
      <c r="A13131"/>
      <c r="B13131"/>
      <c r="C13131"/>
      <c r="D13131"/>
      <c r="E13131"/>
      <c r="F13131"/>
      <c r="G13131"/>
      <c r="H13131"/>
      <c r="I13131"/>
      <c r="J13131"/>
      <c r="K13131" s="1"/>
      <c r="L13131" s="2"/>
    </row>
    <row r="13132" spans="1:12" x14ac:dyDescent="0.2">
      <c r="A13132"/>
      <c r="B13132"/>
      <c r="C13132"/>
      <c r="D13132"/>
      <c r="E13132"/>
      <c r="F13132"/>
      <c r="G13132"/>
      <c r="H13132"/>
      <c r="I13132"/>
      <c r="J13132"/>
      <c r="K13132" s="1"/>
      <c r="L13132" s="2"/>
    </row>
    <row r="13133" spans="1:12" x14ac:dyDescent="0.2">
      <c r="A13133"/>
      <c r="B13133"/>
      <c r="C13133"/>
      <c r="D13133"/>
      <c r="E13133"/>
      <c r="F13133"/>
      <c r="G13133"/>
      <c r="H13133"/>
      <c r="I13133"/>
      <c r="J13133"/>
      <c r="K13133" s="1"/>
      <c r="L13133" s="2"/>
    </row>
    <row r="13134" spans="1:12" x14ac:dyDescent="0.2">
      <c r="A13134"/>
      <c r="B13134"/>
      <c r="C13134"/>
      <c r="D13134"/>
      <c r="E13134"/>
      <c r="F13134"/>
      <c r="G13134"/>
      <c r="H13134"/>
      <c r="I13134"/>
      <c r="J13134"/>
      <c r="K13134" s="1"/>
      <c r="L13134" s="2"/>
    </row>
    <row r="13135" spans="1:12" x14ac:dyDescent="0.2">
      <c r="A13135"/>
      <c r="B13135"/>
      <c r="C13135"/>
      <c r="D13135"/>
      <c r="E13135"/>
      <c r="F13135"/>
      <c r="G13135"/>
      <c r="H13135"/>
      <c r="I13135"/>
      <c r="J13135"/>
      <c r="K13135" s="1"/>
      <c r="L13135" s="2"/>
    </row>
    <row r="13136" spans="1:12" x14ac:dyDescent="0.2">
      <c r="A13136"/>
      <c r="B13136"/>
      <c r="C13136"/>
      <c r="D13136"/>
      <c r="E13136"/>
      <c r="F13136"/>
      <c r="G13136"/>
      <c r="H13136"/>
      <c r="I13136"/>
      <c r="J13136"/>
      <c r="K13136" s="1"/>
      <c r="L13136" s="2"/>
    </row>
    <row r="13137" spans="1:12" x14ac:dyDescent="0.2">
      <c r="A13137"/>
      <c r="B13137"/>
      <c r="C13137"/>
      <c r="D13137"/>
      <c r="E13137"/>
      <c r="F13137"/>
      <c r="G13137"/>
      <c r="H13137"/>
      <c r="I13137"/>
      <c r="J13137"/>
      <c r="K13137" s="1"/>
      <c r="L13137" s="2"/>
    </row>
    <row r="13138" spans="1:12" x14ac:dyDescent="0.2">
      <c r="A13138"/>
      <c r="B13138"/>
      <c r="C13138"/>
      <c r="D13138"/>
      <c r="E13138"/>
      <c r="F13138"/>
      <c r="G13138"/>
      <c r="H13138"/>
      <c r="I13138"/>
      <c r="J13138"/>
      <c r="K13138" s="1"/>
      <c r="L13138" s="2"/>
    </row>
    <row r="13139" spans="1:12" x14ac:dyDescent="0.2">
      <c r="A13139"/>
      <c r="B13139"/>
      <c r="C13139"/>
      <c r="D13139"/>
      <c r="E13139"/>
      <c r="F13139"/>
      <c r="G13139"/>
      <c r="H13139"/>
      <c r="I13139"/>
      <c r="J13139"/>
      <c r="K13139" s="1"/>
      <c r="L13139" s="2"/>
    </row>
    <row r="13140" spans="1:12" x14ac:dyDescent="0.2">
      <c r="A13140"/>
      <c r="B13140"/>
      <c r="C13140"/>
      <c r="D13140"/>
      <c r="E13140"/>
      <c r="F13140"/>
      <c r="G13140"/>
      <c r="H13140"/>
      <c r="I13140"/>
      <c r="J13140"/>
      <c r="K13140" s="1"/>
      <c r="L13140" s="2"/>
    </row>
    <row r="13141" spans="1:12" x14ac:dyDescent="0.2">
      <c r="A13141"/>
      <c r="B13141"/>
      <c r="C13141"/>
      <c r="D13141"/>
      <c r="E13141"/>
      <c r="F13141"/>
      <c r="G13141"/>
      <c r="H13141"/>
      <c r="I13141"/>
      <c r="J13141"/>
      <c r="K13141" s="1"/>
      <c r="L13141" s="2"/>
    </row>
    <row r="13142" spans="1:12" x14ac:dyDescent="0.2">
      <c r="A13142"/>
      <c r="B13142"/>
      <c r="C13142"/>
      <c r="D13142"/>
      <c r="E13142"/>
      <c r="F13142"/>
      <c r="G13142"/>
      <c r="H13142"/>
      <c r="I13142"/>
      <c r="J13142"/>
      <c r="K13142" s="1"/>
      <c r="L13142" s="2"/>
    </row>
    <row r="13143" spans="1:12" x14ac:dyDescent="0.2">
      <c r="A13143"/>
      <c r="B13143"/>
      <c r="C13143"/>
      <c r="D13143"/>
      <c r="E13143"/>
      <c r="F13143"/>
      <c r="G13143"/>
      <c r="H13143"/>
      <c r="I13143"/>
      <c r="J13143"/>
      <c r="K13143" s="1"/>
      <c r="L13143" s="2"/>
    </row>
    <row r="13144" spans="1:12" x14ac:dyDescent="0.2">
      <c r="A13144"/>
      <c r="B13144"/>
      <c r="C13144"/>
      <c r="D13144"/>
      <c r="E13144"/>
      <c r="F13144"/>
      <c r="G13144"/>
      <c r="H13144"/>
      <c r="I13144"/>
      <c r="J13144"/>
      <c r="K13144" s="1"/>
      <c r="L13144" s="2"/>
    </row>
    <row r="13145" spans="1:12" x14ac:dyDescent="0.2">
      <c r="A13145"/>
      <c r="B13145"/>
      <c r="C13145"/>
      <c r="D13145"/>
      <c r="E13145"/>
      <c r="F13145"/>
      <c r="G13145"/>
      <c r="H13145"/>
      <c r="I13145"/>
      <c r="J13145"/>
      <c r="K13145" s="1"/>
      <c r="L13145" s="2"/>
    </row>
    <row r="13146" spans="1:12" x14ac:dyDescent="0.2">
      <c r="A13146"/>
      <c r="B13146"/>
      <c r="C13146"/>
      <c r="D13146"/>
      <c r="E13146"/>
      <c r="F13146"/>
      <c r="G13146"/>
      <c r="H13146"/>
      <c r="I13146"/>
      <c r="J13146"/>
      <c r="K13146" s="1"/>
      <c r="L13146" s="2"/>
    </row>
    <row r="13147" spans="1:12" x14ac:dyDescent="0.2">
      <c r="A13147"/>
      <c r="B13147"/>
      <c r="C13147"/>
      <c r="D13147"/>
      <c r="E13147"/>
      <c r="F13147"/>
      <c r="G13147"/>
      <c r="H13147"/>
      <c r="I13147"/>
      <c r="J13147"/>
      <c r="K13147" s="1"/>
      <c r="L13147" s="2"/>
    </row>
    <row r="13148" spans="1:12" x14ac:dyDescent="0.2">
      <c r="A13148"/>
      <c r="B13148"/>
      <c r="C13148"/>
      <c r="D13148"/>
      <c r="E13148"/>
      <c r="F13148"/>
      <c r="G13148"/>
      <c r="H13148"/>
      <c r="I13148"/>
      <c r="J13148"/>
      <c r="K13148" s="1"/>
      <c r="L13148" s="2"/>
    </row>
    <row r="13149" spans="1:12" x14ac:dyDescent="0.2">
      <c r="A13149"/>
      <c r="B13149"/>
      <c r="C13149"/>
      <c r="D13149"/>
      <c r="E13149"/>
      <c r="F13149"/>
      <c r="G13149"/>
      <c r="H13149"/>
      <c r="I13149"/>
      <c r="J13149"/>
      <c r="K13149" s="1"/>
      <c r="L13149" s="2"/>
    </row>
    <row r="13150" spans="1:12" x14ac:dyDescent="0.2">
      <c r="A13150"/>
      <c r="B13150"/>
      <c r="C13150"/>
      <c r="D13150"/>
      <c r="E13150"/>
      <c r="F13150"/>
      <c r="G13150"/>
      <c r="H13150"/>
      <c r="I13150"/>
      <c r="J13150"/>
      <c r="K13150" s="1"/>
      <c r="L13150" s="2"/>
    </row>
    <row r="13151" spans="1:12" x14ac:dyDescent="0.2">
      <c r="A13151"/>
      <c r="B13151"/>
      <c r="C13151"/>
      <c r="D13151"/>
      <c r="E13151"/>
      <c r="F13151"/>
      <c r="G13151"/>
      <c r="H13151"/>
      <c r="I13151"/>
      <c r="J13151"/>
      <c r="K13151" s="1"/>
      <c r="L13151" s="2"/>
    </row>
    <row r="13152" spans="1:12" x14ac:dyDescent="0.2">
      <c r="A13152"/>
      <c r="B13152"/>
      <c r="C13152"/>
      <c r="D13152"/>
      <c r="E13152"/>
      <c r="F13152"/>
      <c r="G13152"/>
      <c r="H13152"/>
      <c r="I13152"/>
      <c r="J13152"/>
      <c r="K13152" s="1"/>
      <c r="L13152" s="2"/>
    </row>
    <row r="13153" spans="1:12" x14ac:dyDescent="0.2">
      <c r="A13153"/>
      <c r="B13153"/>
      <c r="C13153"/>
      <c r="D13153"/>
      <c r="E13153"/>
      <c r="F13153"/>
      <c r="G13153"/>
      <c r="H13153"/>
      <c r="I13153"/>
      <c r="J13153"/>
      <c r="K13153" s="1"/>
      <c r="L13153" s="2"/>
    </row>
    <row r="13154" spans="1:12" x14ac:dyDescent="0.2">
      <c r="A13154"/>
      <c r="B13154"/>
      <c r="C13154"/>
      <c r="D13154"/>
      <c r="E13154"/>
      <c r="F13154"/>
      <c r="G13154"/>
      <c r="H13154"/>
      <c r="I13154"/>
      <c r="J13154"/>
      <c r="K13154" s="1"/>
      <c r="L13154" s="2"/>
    </row>
    <row r="13155" spans="1:12" x14ac:dyDescent="0.2">
      <c r="A13155"/>
      <c r="B13155"/>
      <c r="C13155"/>
      <c r="D13155"/>
      <c r="E13155"/>
      <c r="F13155"/>
      <c r="G13155"/>
      <c r="H13155"/>
      <c r="I13155"/>
      <c r="J13155"/>
      <c r="K13155" s="1"/>
      <c r="L13155" s="2"/>
    </row>
    <row r="13156" spans="1:12" x14ac:dyDescent="0.2">
      <c r="A13156"/>
      <c r="B13156"/>
      <c r="C13156"/>
      <c r="D13156"/>
      <c r="E13156"/>
      <c r="F13156"/>
      <c r="G13156"/>
      <c r="H13156"/>
      <c r="I13156"/>
      <c r="J13156"/>
      <c r="K13156" s="1"/>
      <c r="L13156" s="2"/>
    </row>
    <row r="13157" spans="1:12" x14ac:dyDescent="0.2">
      <c r="A13157"/>
      <c r="B13157"/>
      <c r="C13157"/>
      <c r="D13157"/>
      <c r="E13157"/>
      <c r="F13157"/>
      <c r="G13157"/>
      <c r="H13157"/>
      <c r="I13157"/>
      <c r="J13157"/>
      <c r="K13157" s="1"/>
      <c r="L13157" s="2"/>
    </row>
    <row r="13158" spans="1:12" x14ac:dyDescent="0.2">
      <c r="A13158"/>
      <c r="B13158"/>
      <c r="C13158"/>
      <c r="D13158"/>
      <c r="E13158"/>
      <c r="F13158"/>
      <c r="G13158"/>
      <c r="H13158"/>
      <c r="I13158"/>
      <c r="J13158"/>
      <c r="K13158" s="1"/>
      <c r="L13158" s="2"/>
    </row>
    <row r="13159" spans="1:12" x14ac:dyDescent="0.2">
      <c r="A13159"/>
      <c r="B13159"/>
      <c r="C13159"/>
      <c r="D13159"/>
      <c r="E13159"/>
      <c r="F13159"/>
      <c r="G13159"/>
      <c r="H13159"/>
      <c r="I13159"/>
      <c r="J13159"/>
      <c r="K13159" s="1"/>
      <c r="L13159" s="2"/>
    </row>
    <row r="13160" spans="1:12" x14ac:dyDescent="0.2">
      <c r="A13160"/>
      <c r="B13160"/>
      <c r="C13160"/>
      <c r="D13160"/>
      <c r="E13160"/>
      <c r="F13160"/>
      <c r="G13160"/>
      <c r="H13160"/>
      <c r="I13160"/>
      <c r="J13160"/>
      <c r="K13160" s="1"/>
      <c r="L13160" s="2"/>
    </row>
    <row r="13161" spans="1:12" x14ac:dyDescent="0.2">
      <c r="A13161"/>
      <c r="B13161"/>
      <c r="C13161"/>
      <c r="D13161"/>
      <c r="E13161"/>
      <c r="F13161"/>
      <c r="G13161"/>
      <c r="H13161"/>
      <c r="I13161"/>
      <c r="J13161"/>
      <c r="K13161" s="1"/>
      <c r="L13161" s="2"/>
    </row>
    <row r="13162" spans="1:12" x14ac:dyDescent="0.2">
      <c r="A13162"/>
      <c r="B13162"/>
      <c r="C13162"/>
      <c r="D13162"/>
      <c r="E13162"/>
      <c r="F13162"/>
      <c r="G13162"/>
      <c r="H13162"/>
      <c r="I13162"/>
      <c r="J13162"/>
      <c r="K13162" s="1"/>
      <c r="L13162" s="2"/>
    </row>
    <row r="13163" spans="1:12" x14ac:dyDescent="0.2">
      <c r="A13163"/>
      <c r="B13163"/>
      <c r="C13163"/>
      <c r="D13163"/>
      <c r="E13163"/>
      <c r="F13163"/>
      <c r="G13163"/>
      <c r="H13163"/>
      <c r="I13163"/>
      <c r="J13163"/>
      <c r="K13163" s="1"/>
      <c r="L13163" s="2"/>
    </row>
    <row r="13164" spans="1:12" x14ac:dyDescent="0.2">
      <c r="A13164"/>
      <c r="B13164"/>
      <c r="C13164"/>
      <c r="D13164"/>
      <c r="E13164"/>
      <c r="F13164"/>
      <c r="G13164"/>
      <c r="H13164"/>
      <c r="I13164"/>
      <c r="J13164"/>
      <c r="K13164" s="1"/>
      <c r="L13164" s="2"/>
    </row>
    <row r="13165" spans="1:12" x14ac:dyDescent="0.2">
      <c r="A13165"/>
      <c r="B13165"/>
      <c r="C13165"/>
      <c r="D13165"/>
      <c r="E13165"/>
      <c r="F13165"/>
      <c r="G13165"/>
      <c r="H13165"/>
      <c r="I13165"/>
      <c r="J13165"/>
      <c r="K13165" s="1"/>
      <c r="L13165" s="2"/>
    </row>
    <row r="13166" spans="1:12" x14ac:dyDescent="0.2">
      <c r="A13166"/>
      <c r="B13166"/>
      <c r="C13166"/>
      <c r="D13166"/>
      <c r="E13166"/>
      <c r="F13166"/>
      <c r="G13166"/>
      <c r="H13166"/>
      <c r="I13166"/>
      <c r="J13166"/>
      <c r="K13166" s="1"/>
      <c r="L13166" s="2"/>
    </row>
    <row r="13167" spans="1:12" x14ac:dyDescent="0.2">
      <c r="A13167"/>
      <c r="B13167"/>
      <c r="C13167"/>
      <c r="D13167"/>
      <c r="E13167"/>
      <c r="F13167"/>
      <c r="G13167"/>
      <c r="H13167"/>
      <c r="I13167"/>
      <c r="J13167"/>
      <c r="K13167" s="1"/>
      <c r="L13167" s="2"/>
    </row>
    <row r="13168" spans="1:12" x14ac:dyDescent="0.2">
      <c r="A13168"/>
      <c r="B13168"/>
      <c r="C13168"/>
      <c r="D13168"/>
      <c r="E13168"/>
      <c r="F13168"/>
      <c r="G13168"/>
      <c r="H13168"/>
      <c r="I13168"/>
      <c r="J13168"/>
      <c r="K13168" s="1"/>
      <c r="L13168" s="2"/>
    </row>
    <row r="13169" spans="1:12" x14ac:dyDescent="0.2">
      <c r="A13169"/>
      <c r="B13169"/>
      <c r="C13169"/>
      <c r="D13169"/>
      <c r="E13169"/>
      <c r="F13169"/>
      <c r="G13169"/>
      <c r="H13169"/>
      <c r="I13169"/>
      <c r="J13169"/>
      <c r="K13169" s="1"/>
      <c r="L13169" s="2"/>
    </row>
    <row r="13170" spans="1:12" x14ac:dyDescent="0.2">
      <c r="A13170"/>
      <c r="B13170"/>
      <c r="C13170"/>
      <c r="D13170"/>
      <c r="E13170"/>
      <c r="F13170"/>
      <c r="G13170"/>
      <c r="H13170"/>
      <c r="I13170"/>
      <c r="J13170"/>
      <c r="K13170" s="1"/>
      <c r="L13170" s="2"/>
    </row>
    <row r="13171" spans="1:12" x14ac:dyDescent="0.2">
      <c r="A13171"/>
      <c r="B13171"/>
      <c r="C13171"/>
      <c r="D13171"/>
      <c r="E13171"/>
      <c r="F13171"/>
      <c r="G13171"/>
      <c r="H13171"/>
      <c r="I13171"/>
      <c r="J13171"/>
      <c r="K13171" s="1"/>
      <c r="L13171" s="2"/>
    </row>
    <row r="13172" spans="1:12" x14ac:dyDescent="0.2">
      <c r="A13172"/>
      <c r="B13172"/>
      <c r="C13172"/>
      <c r="D13172"/>
      <c r="E13172"/>
      <c r="F13172"/>
      <c r="G13172"/>
      <c r="H13172"/>
      <c r="I13172"/>
      <c r="J13172"/>
      <c r="K13172" s="1"/>
      <c r="L13172" s="2"/>
    </row>
    <row r="13173" spans="1:12" x14ac:dyDescent="0.2">
      <c r="A13173"/>
      <c r="B13173"/>
      <c r="C13173"/>
      <c r="D13173"/>
      <c r="E13173"/>
      <c r="F13173"/>
      <c r="G13173"/>
      <c r="H13173"/>
      <c r="I13173"/>
      <c r="J13173"/>
      <c r="K13173" s="1"/>
      <c r="L13173" s="2"/>
    </row>
    <row r="13174" spans="1:12" x14ac:dyDescent="0.2">
      <c r="A13174"/>
      <c r="B13174"/>
      <c r="C13174"/>
      <c r="D13174"/>
      <c r="E13174"/>
      <c r="F13174"/>
      <c r="G13174"/>
      <c r="H13174"/>
      <c r="I13174"/>
      <c r="J13174"/>
      <c r="K13174" s="1"/>
      <c r="L13174" s="2"/>
    </row>
    <row r="13175" spans="1:12" x14ac:dyDescent="0.2">
      <c r="A13175"/>
      <c r="B13175"/>
      <c r="C13175"/>
      <c r="D13175"/>
      <c r="E13175"/>
      <c r="F13175"/>
      <c r="G13175"/>
      <c r="H13175"/>
      <c r="I13175"/>
      <c r="J13175"/>
      <c r="K13175" s="1"/>
      <c r="L13175" s="2"/>
    </row>
    <row r="13176" spans="1:12" x14ac:dyDescent="0.2">
      <c r="A13176"/>
      <c r="B13176"/>
      <c r="C13176"/>
      <c r="D13176"/>
      <c r="E13176"/>
      <c r="F13176"/>
      <c r="G13176"/>
      <c r="H13176"/>
      <c r="I13176"/>
      <c r="J13176"/>
      <c r="K13176" s="1"/>
      <c r="L13176" s="2"/>
    </row>
    <row r="13177" spans="1:12" x14ac:dyDescent="0.2">
      <c r="A13177"/>
      <c r="B13177"/>
      <c r="C13177"/>
      <c r="D13177"/>
      <c r="E13177"/>
      <c r="F13177"/>
      <c r="G13177"/>
      <c r="H13177"/>
      <c r="I13177"/>
      <c r="J13177"/>
      <c r="K13177" s="1"/>
      <c r="L13177" s="2"/>
    </row>
    <row r="13178" spans="1:12" x14ac:dyDescent="0.2">
      <c r="A13178"/>
      <c r="B13178"/>
      <c r="C13178"/>
      <c r="D13178"/>
      <c r="E13178"/>
      <c r="F13178"/>
      <c r="G13178"/>
      <c r="H13178"/>
      <c r="I13178"/>
      <c r="J13178"/>
      <c r="K13178" s="1"/>
      <c r="L13178" s="2"/>
    </row>
    <row r="13179" spans="1:12" x14ac:dyDescent="0.2">
      <c r="A13179"/>
      <c r="B13179"/>
      <c r="C13179"/>
      <c r="D13179"/>
      <c r="E13179"/>
      <c r="F13179"/>
      <c r="G13179"/>
      <c r="H13179"/>
      <c r="I13179"/>
      <c r="J13179"/>
      <c r="K13179" s="1"/>
      <c r="L13179" s="2"/>
    </row>
    <row r="13180" spans="1:12" x14ac:dyDescent="0.2">
      <c r="A13180"/>
      <c r="B13180"/>
      <c r="C13180"/>
      <c r="D13180"/>
      <c r="E13180"/>
      <c r="F13180"/>
      <c r="G13180"/>
      <c r="H13180"/>
      <c r="I13180"/>
      <c r="J13180"/>
      <c r="K13180" s="1"/>
      <c r="L13180" s="2"/>
    </row>
    <row r="13181" spans="1:12" x14ac:dyDescent="0.2">
      <c r="A13181"/>
      <c r="B13181"/>
      <c r="C13181"/>
      <c r="D13181"/>
      <c r="E13181"/>
      <c r="F13181"/>
      <c r="G13181"/>
      <c r="H13181"/>
      <c r="I13181"/>
      <c r="J13181"/>
      <c r="K13181" s="1"/>
      <c r="L13181" s="2"/>
    </row>
    <row r="13182" spans="1:12" x14ac:dyDescent="0.2">
      <c r="A13182"/>
      <c r="B13182"/>
      <c r="C13182"/>
      <c r="D13182"/>
      <c r="E13182"/>
      <c r="F13182"/>
      <c r="G13182"/>
      <c r="H13182"/>
      <c r="I13182"/>
      <c r="J13182"/>
      <c r="K13182" s="1"/>
      <c r="L13182" s="2"/>
    </row>
    <row r="13183" spans="1:12" x14ac:dyDescent="0.2">
      <c r="A13183"/>
      <c r="B13183"/>
      <c r="C13183"/>
      <c r="D13183"/>
      <c r="E13183"/>
      <c r="F13183"/>
      <c r="G13183"/>
      <c r="H13183"/>
      <c r="I13183"/>
      <c r="J13183"/>
      <c r="K13183" s="1"/>
      <c r="L13183" s="2"/>
    </row>
    <row r="13184" spans="1:12" x14ac:dyDescent="0.2">
      <c r="A13184"/>
      <c r="B13184"/>
      <c r="C13184"/>
      <c r="D13184"/>
      <c r="E13184"/>
      <c r="F13184"/>
      <c r="G13184"/>
      <c r="H13184"/>
      <c r="I13184"/>
      <c r="J13184"/>
      <c r="K13184" s="1"/>
      <c r="L13184" s="2"/>
    </row>
    <row r="13185" spans="1:12" x14ac:dyDescent="0.2">
      <c r="A13185"/>
      <c r="B13185"/>
      <c r="C13185"/>
      <c r="D13185"/>
      <c r="E13185"/>
      <c r="F13185"/>
      <c r="G13185"/>
      <c r="H13185"/>
      <c r="I13185"/>
      <c r="J13185"/>
      <c r="K13185" s="1"/>
      <c r="L13185" s="2"/>
    </row>
    <row r="13186" spans="1:12" x14ac:dyDescent="0.2">
      <c r="A13186"/>
      <c r="B13186"/>
      <c r="C13186"/>
      <c r="D13186"/>
      <c r="E13186"/>
      <c r="F13186"/>
      <c r="G13186"/>
      <c r="H13186"/>
      <c r="I13186"/>
      <c r="J13186"/>
      <c r="K13186" s="1"/>
      <c r="L13186" s="2"/>
    </row>
    <row r="13187" spans="1:12" x14ac:dyDescent="0.2">
      <c r="A13187"/>
      <c r="B13187"/>
      <c r="C13187"/>
      <c r="D13187"/>
      <c r="E13187"/>
      <c r="F13187"/>
      <c r="G13187"/>
      <c r="H13187"/>
      <c r="I13187"/>
      <c r="J13187"/>
      <c r="K13187" s="1"/>
      <c r="L13187" s="2"/>
    </row>
    <row r="13188" spans="1:12" x14ac:dyDescent="0.2">
      <c r="A13188"/>
      <c r="B13188"/>
      <c r="C13188"/>
      <c r="D13188"/>
      <c r="E13188"/>
      <c r="F13188"/>
      <c r="G13188"/>
      <c r="H13188"/>
      <c r="I13188"/>
      <c r="J13188"/>
      <c r="K13188" s="1"/>
      <c r="L13188" s="2"/>
    </row>
    <row r="13189" spans="1:12" x14ac:dyDescent="0.2">
      <c r="A13189"/>
      <c r="B13189"/>
      <c r="C13189"/>
      <c r="D13189"/>
      <c r="E13189"/>
      <c r="F13189"/>
      <c r="G13189"/>
      <c r="H13189"/>
      <c r="I13189"/>
      <c r="J13189"/>
      <c r="K13189" s="1"/>
      <c r="L13189" s="2"/>
    </row>
    <row r="13190" spans="1:12" x14ac:dyDescent="0.2">
      <c r="A13190"/>
      <c r="B13190"/>
      <c r="C13190"/>
      <c r="D13190"/>
      <c r="E13190"/>
      <c r="F13190"/>
      <c r="G13190"/>
      <c r="H13190"/>
      <c r="I13190"/>
      <c r="J13190"/>
      <c r="K13190" s="1"/>
      <c r="L13190" s="2"/>
    </row>
    <row r="13191" spans="1:12" x14ac:dyDescent="0.2">
      <c r="A13191"/>
      <c r="B13191"/>
      <c r="C13191"/>
      <c r="D13191"/>
      <c r="E13191"/>
      <c r="F13191"/>
      <c r="G13191"/>
      <c r="H13191"/>
      <c r="I13191"/>
      <c r="J13191"/>
      <c r="K13191" s="1"/>
      <c r="L13191" s="2"/>
    </row>
    <row r="13192" spans="1:12" x14ac:dyDescent="0.2">
      <c r="A13192"/>
      <c r="B13192"/>
      <c r="C13192"/>
      <c r="D13192"/>
      <c r="E13192"/>
      <c r="F13192"/>
      <c r="G13192"/>
      <c r="H13192"/>
      <c r="I13192"/>
      <c r="J13192"/>
      <c r="K13192" s="1"/>
      <c r="L13192" s="2"/>
    </row>
    <row r="13193" spans="1:12" x14ac:dyDescent="0.2">
      <c r="A13193"/>
      <c r="B13193"/>
      <c r="C13193"/>
      <c r="D13193"/>
      <c r="E13193"/>
      <c r="F13193"/>
      <c r="G13193"/>
      <c r="H13193"/>
      <c r="I13193"/>
      <c r="J13193"/>
      <c r="K13193" s="1"/>
      <c r="L13193" s="2"/>
    </row>
    <row r="13194" spans="1:12" x14ac:dyDescent="0.2">
      <c r="A13194"/>
      <c r="B13194"/>
      <c r="C13194"/>
      <c r="D13194"/>
      <c r="E13194"/>
      <c r="F13194"/>
      <c r="G13194"/>
      <c r="H13194"/>
      <c r="I13194"/>
      <c r="J13194"/>
      <c r="K13194" s="1"/>
      <c r="L13194" s="2"/>
    </row>
    <row r="13195" spans="1:12" x14ac:dyDescent="0.2">
      <c r="A13195"/>
      <c r="B13195"/>
      <c r="C13195"/>
      <c r="D13195"/>
      <c r="E13195"/>
      <c r="F13195"/>
      <c r="G13195"/>
      <c r="H13195"/>
      <c r="I13195"/>
      <c r="J13195"/>
      <c r="K13195" s="1"/>
      <c r="L13195" s="2"/>
    </row>
    <row r="13196" spans="1:12" x14ac:dyDescent="0.2">
      <c r="A13196"/>
      <c r="B13196"/>
      <c r="C13196"/>
      <c r="D13196"/>
      <c r="E13196"/>
      <c r="F13196"/>
      <c r="G13196"/>
      <c r="H13196"/>
      <c r="I13196"/>
      <c r="J13196"/>
      <c r="K13196" s="1"/>
      <c r="L13196" s="2"/>
    </row>
    <row r="13197" spans="1:12" x14ac:dyDescent="0.2">
      <c r="A13197"/>
      <c r="B13197"/>
      <c r="C13197"/>
      <c r="D13197"/>
      <c r="E13197"/>
      <c r="F13197"/>
      <c r="G13197"/>
      <c r="H13197"/>
      <c r="I13197"/>
      <c r="J13197"/>
      <c r="K13197" s="1"/>
      <c r="L13197" s="2"/>
    </row>
    <row r="13198" spans="1:12" x14ac:dyDescent="0.2">
      <c r="A13198"/>
      <c r="B13198"/>
      <c r="C13198"/>
      <c r="D13198"/>
      <c r="E13198"/>
      <c r="F13198"/>
      <c r="G13198"/>
      <c r="H13198"/>
      <c r="I13198"/>
      <c r="J13198"/>
      <c r="K13198" s="1"/>
      <c r="L13198" s="2"/>
    </row>
    <row r="13199" spans="1:12" x14ac:dyDescent="0.2">
      <c r="A13199"/>
      <c r="B13199"/>
      <c r="C13199"/>
      <c r="D13199"/>
      <c r="E13199"/>
      <c r="F13199"/>
      <c r="G13199"/>
      <c r="H13199"/>
      <c r="I13199"/>
      <c r="J13199"/>
      <c r="K13199" s="1"/>
      <c r="L13199" s="2"/>
    </row>
    <row r="13200" spans="1:12" x14ac:dyDescent="0.2">
      <c r="A13200"/>
      <c r="B13200"/>
      <c r="C13200"/>
      <c r="D13200"/>
      <c r="E13200"/>
      <c r="F13200"/>
      <c r="G13200"/>
      <c r="H13200"/>
      <c r="I13200"/>
      <c r="J13200"/>
      <c r="K13200" s="1"/>
      <c r="L13200" s="2"/>
    </row>
    <row r="13201" spans="1:12" x14ac:dyDescent="0.2">
      <c r="A13201"/>
      <c r="B13201"/>
      <c r="C13201"/>
      <c r="D13201"/>
      <c r="E13201"/>
      <c r="F13201"/>
      <c r="G13201"/>
      <c r="H13201"/>
      <c r="I13201"/>
      <c r="J13201"/>
      <c r="K13201" s="1"/>
      <c r="L13201" s="2"/>
    </row>
    <row r="13202" spans="1:12" x14ac:dyDescent="0.2">
      <c r="A13202"/>
      <c r="B13202"/>
      <c r="C13202"/>
      <c r="D13202"/>
      <c r="E13202"/>
      <c r="F13202"/>
      <c r="G13202"/>
      <c r="H13202"/>
      <c r="I13202"/>
      <c r="J13202"/>
      <c r="K13202" s="1"/>
      <c r="L13202" s="2"/>
    </row>
    <row r="13203" spans="1:12" x14ac:dyDescent="0.2">
      <c r="A13203"/>
      <c r="B13203"/>
      <c r="C13203"/>
      <c r="D13203"/>
      <c r="E13203"/>
      <c r="F13203"/>
      <c r="G13203"/>
      <c r="H13203"/>
      <c r="I13203"/>
      <c r="J13203"/>
      <c r="K13203" s="1"/>
      <c r="L13203" s="2"/>
    </row>
    <row r="13204" spans="1:12" x14ac:dyDescent="0.2">
      <c r="A13204"/>
      <c r="B13204"/>
      <c r="C13204"/>
      <c r="D13204"/>
      <c r="E13204"/>
      <c r="F13204"/>
      <c r="G13204"/>
      <c r="H13204"/>
      <c r="I13204"/>
      <c r="J13204"/>
      <c r="K13204" s="1"/>
      <c r="L13204" s="2"/>
    </row>
    <row r="13205" spans="1:12" x14ac:dyDescent="0.2">
      <c r="A13205"/>
      <c r="B13205"/>
      <c r="C13205"/>
      <c r="D13205"/>
      <c r="E13205"/>
      <c r="F13205"/>
      <c r="G13205"/>
      <c r="H13205"/>
      <c r="I13205"/>
      <c r="J13205"/>
      <c r="K13205" s="1"/>
      <c r="L13205" s="2"/>
    </row>
    <row r="13206" spans="1:12" x14ac:dyDescent="0.2">
      <c r="A13206"/>
      <c r="B13206"/>
      <c r="C13206"/>
      <c r="D13206"/>
      <c r="E13206"/>
      <c r="F13206"/>
      <c r="G13206"/>
      <c r="H13206"/>
      <c r="I13206"/>
      <c r="J13206"/>
      <c r="K13206" s="1"/>
      <c r="L13206" s="2"/>
    </row>
    <row r="13207" spans="1:12" x14ac:dyDescent="0.2">
      <c r="A13207"/>
      <c r="B13207"/>
      <c r="C13207"/>
      <c r="D13207"/>
      <c r="E13207"/>
      <c r="F13207"/>
      <c r="G13207"/>
      <c r="H13207"/>
      <c r="I13207"/>
      <c r="J13207"/>
      <c r="K13207" s="1"/>
      <c r="L13207" s="2"/>
    </row>
    <row r="13208" spans="1:12" x14ac:dyDescent="0.2">
      <c r="A13208"/>
      <c r="B13208"/>
      <c r="C13208"/>
      <c r="D13208"/>
      <c r="E13208"/>
      <c r="F13208"/>
      <c r="G13208"/>
      <c r="H13208"/>
      <c r="I13208"/>
      <c r="J13208"/>
      <c r="K13208" s="1"/>
      <c r="L13208" s="2"/>
    </row>
    <row r="13209" spans="1:12" x14ac:dyDescent="0.2">
      <c r="A13209"/>
      <c r="B13209"/>
      <c r="C13209"/>
      <c r="D13209"/>
      <c r="E13209"/>
      <c r="F13209"/>
      <c r="G13209"/>
      <c r="H13209"/>
      <c r="I13209"/>
      <c r="J13209"/>
      <c r="K13209" s="1"/>
      <c r="L13209" s="2"/>
    </row>
    <row r="13210" spans="1:12" x14ac:dyDescent="0.2">
      <c r="A13210"/>
      <c r="B13210"/>
      <c r="C13210"/>
      <c r="D13210"/>
      <c r="E13210"/>
      <c r="F13210"/>
      <c r="G13210"/>
      <c r="H13210"/>
      <c r="I13210"/>
      <c r="J13210"/>
      <c r="K13210" s="1"/>
      <c r="L13210" s="2"/>
    </row>
    <row r="13211" spans="1:12" x14ac:dyDescent="0.2">
      <c r="A13211"/>
      <c r="B13211"/>
      <c r="C13211"/>
      <c r="D13211"/>
      <c r="E13211"/>
      <c r="F13211"/>
      <c r="G13211"/>
      <c r="H13211"/>
      <c r="I13211"/>
      <c r="J13211"/>
      <c r="K13211" s="1"/>
      <c r="L13211" s="2"/>
    </row>
    <row r="13212" spans="1:12" x14ac:dyDescent="0.2">
      <c r="A13212"/>
      <c r="B13212"/>
      <c r="C13212"/>
      <c r="D13212"/>
      <c r="E13212"/>
      <c r="F13212"/>
      <c r="G13212"/>
      <c r="H13212"/>
      <c r="I13212"/>
      <c r="J13212"/>
      <c r="K13212" s="1"/>
      <c r="L13212" s="2"/>
    </row>
    <row r="13213" spans="1:12" x14ac:dyDescent="0.2">
      <c r="A13213"/>
      <c r="B13213"/>
      <c r="C13213"/>
      <c r="D13213"/>
      <c r="E13213"/>
      <c r="F13213"/>
      <c r="G13213"/>
      <c r="H13213"/>
      <c r="I13213"/>
      <c r="J13213"/>
      <c r="K13213" s="1"/>
      <c r="L13213" s="2"/>
    </row>
    <row r="13214" spans="1:12" x14ac:dyDescent="0.2">
      <c r="A13214"/>
      <c r="B13214"/>
      <c r="C13214"/>
      <c r="D13214"/>
      <c r="E13214"/>
      <c r="F13214"/>
      <c r="G13214"/>
      <c r="H13214"/>
      <c r="I13214"/>
      <c r="J13214"/>
      <c r="K13214" s="1"/>
      <c r="L13214" s="2"/>
    </row>
    <row r="13215" spans="1:12" x14ac:dyDescent="0.2">
      <c r="A13215"/>
      <c r="B13215"/>
      <c r="C13215"/>
      <c r="D13215"/>
      <c r="E13215"/>
      <c r="F13215"/>
      <c r="G13215"/>
      <c r="H13215"/>
      <c r="I13215"/>
      <c r="J13215"/>
      <c r="K13215" s="1"/>
      <c r="L13215" s="2"/>
    </row>
    <row r="13216" spans="1:12" x14ac:dyDescent="0.2">
      <c r="A13216"/>
      <c r="B13216"/>
      <c r="C13216"/>
      <c r="D13216"/>
      <c r="E13216"/>
      <c r="F13216"/>
      <c r="G13216"/>
      <c r="H13216"/>
      <c r="I13216"/>
      <c r="J13216"/>
      <c r="K13216" s="1"/>
      <c r="L13216" s="2"/>
    </row>
    <row r="13217" spans="1:12" x14ac:dyDescent="0.2">
      <c r="A13217"/>
      <c r="B13217"/>
      <c r="C13217"/>
      <c r="D13217"/>
      <c r="E13217"/>
      <c r="F13217"/>
      <c r="G13217"/>
      <c r="H13217"/>
      <c r="I13217"/>
      <c r="J13217"/>
      <c r="K13217" s="1"/>
      <c r="L13217" s="2"/>
    </row>
    <row r="13218" spans="1:12" x14ac:dyDescent="0.2">
      <c r="A13218"/>
      <c r="B13218"/>
      <c r="C13218"/>
      <c r="D13218"/>
      <c r="E13218"/>
      <c r="F13218"/>
      <c r="G13218"/>
      <c r="H13218"/>
      <c r="I13218"/>
      <c r="J13218"/>
      <c r="K13218" s="1"/>
      <c r="L13218" s="2"/>
    </row>
    <row r="13219" spans="1:12" x14ac:dyDescent="0.2">
      <c r="A13219"/>
      <c r="B13219"/>
      <c r="C13219"/>
      <c r="D13219"/>
      <c r="E13219"/>
      <c r="F13219"/>
      <c r="G13219"/>
      <c r="H13219"/>
      <c r="I13219"/>
      <c r="J13219"/>
      <c r="K13219" s="1"/>
      <c r="L13219" s="2"/>
    </row>
    <row r="13220" spans="1:12" x14ac:dyDescent="0.2">
      <c r="A13220"/>
      <c r="B13220"/>
      <c r="C13220"/>
      <c r="D13220"/>
      <c r="E13220"/>
      <c r="F13220"/>
      <c r="G13220"/>
      <c r="H13220"/>
      <c r="I13220"/>
      <c r="J13220"/>
      <c r="K13220" s="1"/>
      <c r="L13220" s="2"/>
    </row>
    <row r="13221" spans="1:12" x14ac:dyDescent="0.2">
      <c r="A13221"/>
      <c r="B13221"/>
      <c r="C13221"/>
      <c r="D13221"/>
      <c r="E13221"/>
      <c r="F13221"/>
      <c r="G13221"/>
      <c r="H13221"/>
      <c r="I13221"/>
      <c r="J13221"/>
      <c r="K13221" s="1"/>
      <c r="L13221" s="2"/>
    </row>
    <row r="13222" spans="1:12" x14ac:dyDescent="0.2">
      <c r="A13222"/>
      <c r="B13222"/>
      <c r="C13222"/>
      <c r="D13222"/>
      <c r="E13222"/>
      <c r="F13222"/>
      <c r="G13222"/>
      <c r="H13222"/>
      <c r="I13222"/>
      <c r="J13222"/>
      <c r="K13222" s="1"/>
      <c r="L13222" s="2"/>
    </row>
    <row r="13223" spans="1:12" x14ac:dyDescent="0.2">
      <c r="A13223"/>
      <c r="B13223"/>
      <c r="C13223"/>
      <c r="D13223"/>
      <c r="E13223"/>
      <c r="F13223"/>
      <c r="G13223"/>
      <c r="H13223"/>
      <c r="I13223"/>
      <c r="J13223"/>
      <c r="K13223" s="1"/>
      <c r="L13223" s="2"/>
    </row>
    <row r="13224" spans="1:12" x14ac:dyDescent="0.2">
      <c r="A13224"/>
      <c r="B13224"/>
      <c r="C13224"/>
      <c r="D13224"/>
      <c r="E13224"/>
      <c r="F13224"/>
      <c r="G13224"/>
      <c r="H13224"/>
      <c r="I13224"/>
      <c r="J13224"/>
      <c r="K13224" s="1"/>
      <c r="L13224" s="2"/>
    </row>
    <row r="13225" spans="1:12" x14ac:dyDescent="0.2">
      <c r="A13225"/>
      <c r="B13225"/>
      <c r="C13225"/>
      <c r="D13225"/>
      <c r="E13225"/>
      <c r="F13225"/>
      <c r="G13225"/>
      <c r="H13225"/>
      <c r="I13225"/>
      <c r="J13225"/>
      <c r="K13225" s="1"/>
      <c r="L13225" s="2"/>
    </row>
    <row r="13226" spans="1:12" x14ac:dyDescent="0.2">
      <c r="A13226"/>
      <c r="B13226"/>
      <c r="C13226"/>
      <c r="D13226"/>
      <c r="E13226"/>
      <c r="F13226"/>
      <c r="G13226"/>
      <c r="H13226"/>
      <c r="I13226"/>
      <c r="J13226"/>
      <c r="K13226" s="1"/>
      <c r="L13226" s="2"/>
    </row>
    <row r="13227" spans="1:12" x14ac:dyDescent="0.2">
      <c r="A13227"/>
      <c r="B13227"/>
      <c r="C13227"/>
      <c r="D13227"/>
      <c r="E13227"/>
      <c r="F13227"/>
      <c r="G13227"/>
      <c r="H13227"/>
      <c r="I13227"/>
      <c r="J13227"/>
      <c r="K13227" s="1"/>
      <c r="L13227" s="2"/>
    </row>
    <row r="13228" spans="1:12" x14ac:dyDescent="0.2">
      <c r="A13228"/>
      <c r="B13228"/>
      <c r="C13228"/>
      <c r="D13228"/>
      <c r="E13228"/>
      <c r="F13228"/>
      <c r="G13228"/>
      <c r="H13228"/>
      <c r="I13228"/>
      <c r="J13228"/>
      <c r="K13228" s="1"/>
      <c r="L13228" s="2"/>
    </row>
    <row r="13229" spans="1:12" x14ac:dyDescent="0.2">
      <c r="A13229"/>
      <c r="B13229"/>
      <c r="C13229"/>
      <c r="D13229"/>
      <c r="E13229"/>
      <c r="F13229"/>
      <c r="G13229"/>
      <c r="H13229"/>
      <c r="I13229"/>
      <c r="J13229"/>
      <c r="K13229" s="1"/>
      <c r="L13229" s="2"/>
    </row>
    <row r="13230" spans="1:12" x14ac:dyDescent="0.2">
      <c r="A13230"/>
      <c r="B13230"/>
      <c r="C13230"/>
      <c r="D13230"/>
      <c r="E13230"/>
      <c r="F13230"/>
      <c r="G13230"/>
      <c r="H13230"/>
      <c r="I13230"/>
      <c r="J13230"/>
      <c r="K13230" s="1"/>
      <c r="L13230" s="2"/>
    </row>
    <row r="13231" spans="1:12" x14ac:dyDescent="0.2">
      <c r="A13231"/>
      <c r="B13231"/>
      <c r="C13231"/>
      <c r="D13231"/>
      <c r="E13231"/>
      <c r="F13231"/>
      <c r="G13231"/>
      <c r="H13231"/>
      <c r="I13231"/>
      <c r="J13231"/>
      <c r="K13231" s="1"/>
      <c r="L13231" s="2"/>
    </row>
    <row r="13232" spans="1:12" x14ac:dyDescent="0.2">
      <c r="A13232"/>
      <c r="B13232"/>
      <c r="C13232"/>
      <c r="D13232"/>
      <c r="E13232"/>
      <c r="F13232"/>
      <c r="G13232"/>
      <c r="H13232"/>
      <c r="I13232"/>
      <c r="J13232"/>
      <c r="K13232" s="1"/>
      <c r="L13232" s="2"/>
    </row>
    <row r="13233" spans="1:12" x14ac:dyDescent="0.2">
      <c r="A13233"/>
      <c r="B13233"/>
      <c r="C13233"/>
      <c r="D13233"/>
      <c r="E13233"/>
      <c r="F13233"/>
      <c r="G13233"/>
      <c r="H13233"/>
      <c r="I13233"/>
      <c r="J13233"/>
      <c r="K13233" s="1"/>
      <c r="L13233" s="2"/>
    </row>
    <row r="13234" spans="1:12" x14ac:dyDescent="0.2">
      <c r="A13234"/>
      <c r="B13234"/>
      <c r="C13234"/>
      <c r="D13234"/>
      <c r="E13234"/>
      <c r="F13234"/>
      <c r="G13234"/>
      <c r="H13234"/>
      <c r="I13234"/>
      <c r="J13234"/>
      <c r="K13234" s="1"/>
      <c r="L13234" s="2"/>
    </row>
    <row r="13235" spans="1:12" x14ac:dyDescent="0.2">
      <c r="A13235"/>
      <c r="B13235"/>
      <c r="C13235"/>
      <c r="D13235"/>
      <c r="E13235"/>
      <c r="F13235"/>
      <c r="G13235"/>
      <c r="H13235"/>
      <c r="I13235"/>
      <c r="J13235"/>
      <c r="K13235" s="1"/>
      <c r="L13235" s="2"/>
    </row>
    <row r="13236" spans="1:12" x14ac:dyDescent="0.2">
      <c r="A13236"/>
      <c r="B13236"/>
      <c r="C13236"/>
      <c r="D13236"/>
      <c r="E13236"/>
      <c r="F13236"/>
      <c r="G13236"/>
      <c r="H13236"/>
      <c r="I13236"/>
      <c r="J13236"/>
      <c r="K13236" s="1"/>
      <c r="L13236" s="2"/>
    </row>
    <row r="13237" spans="1:12" x14ac:dyDescent="0.2">
      <c r="A13237"/>
      <c r="B13237"/>
      <c r="C13237"/>
      <c r="D13237"/>
      <c r="E13237"/>
      <c r="F13237"/>
      <c r="G13237"/>
      <c r="H13237"/>
      <c r="I13237"/>
      <c r="J13237"/>
      <c r="K13237" s="1"/>
      <c r="L13237" s="2"/>
    </row>
    <row r="13238" spans="1:12" x14ac:dyDescent="0.2">
      <c r="A13238"/>
      <c r="B13238"/>
      <c r="C13238"/>
      <c r="D13238"/>
      <c r="E13238"/>
      <c r="F13238"/>
      <c r="G13238"/>
      <c r="H13238"/>
      <c r="I13238"/>
      <c r="J13238"/>
      <c r="K13238" s="1"/>
      <c r="L13238" s="2"/>
    </row>
    <row r="13239" spans="1:12" x14ac:dyDescent="0.2">
      <c r="A13239"/>
      <c r="B13239"/>
      <c r="C13239"/>
      <c r="D13239"/>
      <c r="E13239"/>
      <c r="F13239"/>
      <c r="G13239"/>
      <c r="H13239"/>
      <c r="I13239"/>
      <c r="J13239"/>
      <c r="K13239" s="1"/>
      <c r="L13239" s="2"/>
    </row>
    <row r="13240" spans="1:12" x14ac:dyDescent="0.2">
      <c r="A13240"/>
      <c r="B13240"/>
      <c r="C13240"/>
      <c r="D13240"/>
      <c r="E13240"/>
      <c r="F13240"/>
      <c r="G13240"/>
      <c r="H13240"/>
      <c r="I13240"/>
      <c r="J13240"/>
      <c r="K13240" s="1"/>
      <c r="L13240" s="2"/>
    </row>
    <row r="13241" spans="1:12" x14ac:dyDescent="0.2">
      <c r="A13241"/>
      <c r="B13241"/>
      <c r="C13241"/>
      <c r="D13241"/>
      <c r="E13241"/>
      <c r="F13241"/>
      <c r="G13241"/>
      <c r="H13241"/>
      <c r="I13241"/>
      <c r="J13241"/>
      <c r="K13241" s="1"/>
      <c r="L13241" s="2"/>
    </row>
    <row r="13242" spans="1:12" x14ac:dyDescent="0.2">
      <c r="A13242"/>
      <c r="B13242"/>
      <c r="C13242"/>
      <c r="D13242"/>
      <c r="E13242"/>
      <c r="F13242"/>
      <c r="G13242"/>
      <c r="H13242"/>
      <c r="I13242"/>
      <c r="J13242"/>
      <c r="K13242" s="1"/>
      <c r="L13242" s="2"/>
    </row>
    <row r="13243" spans="1:12" x14ac:dyDescent="0.2">
      <c r="A13243"/>
      <c r="B13243"/>
      <c r="C13243"/>
      <c r="D13243"/>
      <c r="E13243"/>
      <c r="F13243"/>
      <c r="G13243"/>
      <c r="H13243"/>
      <c r="I13243"/>
      <c r="J13243"/>
      <c r="K13243" s="1"/>
      <c r="L13243" s="2"/>
    </row>
    <row r="13244" spans="1:12" x14ac:dyDescent="0.2">
      <c r="A13244"/>
      <c r="B13244"/>
      <c r="C13244"/>
      <c r="D13244"/>
      <c r="E13244"/>
      <c r="F13244"/>
      <c r="G13244"/>
      <c r="H13244"/>
      <c r="I13244"/>
      <c r="J13244"/>
      <c r="K13244" s="1"/>
      <c r="L13244" s="2"/>
    </row>
    <row r="13245" spans="1:12" x14ac:dyDescent="0.2">
      <c r="A13245"/>
      <c r="B13245"/>
      <c r="C13245"/>
      <c r="D13245"/>
      <c r="E13245"/>
      <c r="F13245"/>
      <c r="G13245"/>
      <c r="H13245"/>
      <c r="I13245"/>
      <c r="J13245"/>
      <c r="K13245" s="1"/>
      <c r="L13245" s="2"/>
    </row>
    <row r="13246" spans="1:12" x14ac:dyDescent="0.2">
      <c r="A13246"/>
      <c r="B13246"/>
      <c r="C13246"/>
      <c r="D13246"/>
      <c r="E13246"/>
      <c r="F13246"/>
      <c r="G13246"/>
      <c r="H13246"/>
      <c r="I13246"/>
      <c r="J13246"/>
      <c r="K13246" s="1"/>
      <c r="L13246" s="2"/>
    </row>
    <row r="13247" spans="1:12" x14ac:dyDescent="0.2">
      <c r="A13247"/>
      <c r="B13247"/>
      <c r="C13247"/>
      <c r="D13247"/>
      <c r="E13247"/>
      <c r="F13247"/>
      <c r="G13247"/>
      <c r="H13247"/>
      <c r="I13247"/>
      <c r="J13247"/>
      <c r="K13247" s="1"/>
      <c r="L13247" s="2"/>
    </row>
    <row r="13248" spans="1:12" x14ac:dyDescent="0.2">
      <c r="A13248"/>
      <c r="B13248"/>
      <c r="C13248"/>
      <c r="D13248"/>
      <c r="E13248"/>
      <c r="F13248"/>
      <c r="G13248"/>
      <c r="H13248"/>
      <c r="I13248"/>
      <c r="J13248"/>
      <c r="K13248" s="1"/>
      <c r="L13248" s="2"/>
    </row>
    <row r="13249" spans="1:12" x14ac:dyDescent="0.2">
      <c r="A13249"/>
      <c r="B13249"/>
      <c r="C13249"/>
      <c r="D13249"/>
      <c r="E13249"/>
      <c r="F13249"/>
      <c r="G13249"/>
      <c r="H13249"/>
      <c r="I13249"/>
      <c r="J13249"/>
      <c r="K13249" s="1"/>
      <c r="L13249" s="2"/>
    </row>
    <row r="13250" spans="1:12" x14ac:dyDescent="0.2">
      <c r="A13250"/>
      <c r="B13250"/>
      <c r="C13250"/>
      <c r="D13250"/>
      <c r="E13250"/>
      <c r="F13250"/>
      <c r="G13250"/>
      <c r="H13250"/>
      <c r="I13250"/>
      <c r="J13250"/>
      <c r="K13250" s="1"/>
      <c r="L13250" s="2"/>
    </row>
    <row r="13251" spans="1:12" x14ac:dyDescent="0.2">
      <c r="A13251"/>
      <c r="B13251"/>
      <c r="C13251"/>
      <c r="D13251"/>
      <c r="E13251"/>
      <c r="F13251"/>
      <c r="G13251"/>
      <c r="H13251"/>
      <c r="I13251"/>
      <c r="J13251"/>
      <c r="K13251" s="1"/>
      <c r="L13251" s="2"/>
    </row>
    <row r="13252" spans="1:12" x14ac:dyDescent="0.2">
      <c r="A13252"/>
      <c r="B13252"/>
      <c r="C13252"/>
      <c r="D13252"/>
      <c r="E13252"/>
      <c r="F13252"/>
      <c r="G13252"/>
      <c r="H13252"/>
      <c r="I13252"/>
      <c r="J13252"/>
      <c r="K13252" s="1"/>
      <c r="L13252" s="2"/>
    </row>
    <row r="13253" spans="1:12" x14ac:dyDescent="0.2">
      <c r="A13253"/>
      <c r="B13253"/>
      <c r="C13253"/>
      <c r="D13253"/>
      <c r="E13253"/>
      <c r="F13253"/>
      <c r="G13253"/>
      <c r="H13253"/>
      <c r="I13253"/>
      <c r="J13253"/>
      <c r="K13253" s="1"/>
      <c r="L13253" s="2"/>
    </row>
    <row r="13254" spans="1:12" x14ac:dyDescent="0.2">
      <c r="A13254"/>
      <c r="B13254"/>
      <c r="C13254"/>
      <c r="D13254"/>
      <c r="E13254"/>
      <c r="F13254"/>
      <c r="G13254"/>
      <c r="H13254"/>
      <c r="I13254"/>
      <c r="J13254"/>
      <c r="K13254" s="1"/>
      <c r="L13254" s="2"/>
    </row>
    <row r="13255" spans="1:12" x14ac:dyDescent="0.2">
      <c r="A13255"/>
      <c r="B13255"/>
      <c r="C13255"/>
      <c r="D13255"/>
      <c r="E13255"/>
      <c r="F13255"/>
      <c r="G13255"/>
      <c r="H13255"/>
      <c r="I13255"/>
      <c r="J13255"/>
      <c r="K13255" s="1"/>
      <c r="L13255" s="2"/>
    </row>
    <row r="13256" spans="1:12" x14ac:dyDescent="0.2">
      <c r="A13256"/>
      <c r="B13256"/>
      <c r="C13256"/>
      <c r="D13256"/>
      <c r="E13256"/>
      <c r="F13256"/>
      <c r="G13256"/>
      <c r="H13256"/>
      <c r="I13256"/>
      <c r="J13256"/>
      <c r="K13256" s="1"/>
      <c r="L13256" s="2"/>
    </row>
    <row r="13257" spans="1:12" x14ac:dyDescent="0.2">
      <c r="A13257"/>
      <c r="B13257"/>
      <c r="C13257"/>
      <c r="D13257"/>
      <c r="E13257"/>
      <c r="F13257"/>
      <c r="G13257"/>
      <c r="H13257"/>
      <c r="I13257"/>
      <c r="J13257"/>
      <c r="K13257" s="1"/>
      <c r="L13257" s="2"/>
    </row>
    <row r="13258" spans="1:12" x14ac:dyDescent="0.2">
      <c r="A13258"/>
      <c r="B13258"/>
      <c r="C13258"/>
      <c r="D13258"/>
      <c r="E13258"/>
      <c r="F13258"/>
      <c r="G13258"/>
      <c r="H13258"/>
      <c r="I13258"/>
      <c r="J13258"/>
      <c r="K13258" s="1"/>
      <c r="L13258" s="2"/>
    </row>
    <row r="13259" spans="1:12" x14ac:dyDescent="0.2">
      <c r="A13259"/>
      <c r="B13259"/>
      <c r="C13259"/>
      <c r="D13259"/>
      <c r="E13259"/>
      <c r="F13259"/>
      <c r="G13259"/>
      <c r="H13259"/>
      <c r="I13259"/>
      <c r="J13259"/>
      <c r="K13259" s="1"/>
      <c r="L13259" s="2"/>
    </row>
    <row r="13260" spans="1:12" x14ac:dyDescent="0.2">
      <c r="A13260"/>
      <c r="B13260"/>
      <c r="C13260"/>
      <c r="D13260"/>
      <c r="E13260"/>
      <c r="F13260"/>
      <c r="G13260"/>
      <c r="H13260"/>
      <c r="I13260"/>
      <c r="J13260"/>
      <c r="K13260" s="1"/>
      <c r="L13260" s="2"/>
    </row>
    <row r="13261" spans="1:12" x14ac:dyDescent="0.2">
      <c r="A13261"/>
      <c r="B13261"/>
      <c r="C13261"/>
      <c r="D13261"/>
      <c r="E13261"/>
      <c r="F13261"/>
      <c r="G13261"/>
      <c r="H13261"/>
      <c r="I13261"/>
      <c r="J13261"/>
      <c r="K13261" s="1"/>
      <c r="L13261" s="2"/>
    </row>
    <row r="13262" spans="1:12" x14ac:dyDescent="0.2">
      <c r="A13262"/>
      <c r="B13262"/>
      <c r="C13262"/>
      <c r="D13262"/>
      <c r="E13262"/>
      <c r="F13262"/>
      <c r="G13262"/>
      <c r="H13262"/>
      <c r="I13262"/>
      <c r="J13262"/>
      <c r="K13262" s="1"/>
      <c r="L13262" s="2"/>
    </row>
    <row r="13263" spans="1:12" x14ac:dyDescent="0.2">
      <c r="A13263"/>
      <c r="B13263"/>
      <c r="C13263"/>
      <c r="D13263"/>
      <c r="E13263"/>
      <c r="F13263"/>
      <c r="G13263"/>
      <c r="H13263"/>
      <c r="I13263"/>
      <c r="J13263"/>
      <c r="K13263" s="1"/>
      <c r="L13263" s="2"/>
    </row>
    <row r="13264" spans="1:12" x14ac:dyDescent="0.2">
      <c r="A13264"/>
      <c r="B13264"/>
      <c r="C13264"/>
      <c r="D13264"/>
      <c r="E13264"/>
      <c r="F13264"/>
      <c r="G13264"/>
      <c r="H13264"/>
      <c r="I13264"/>
      <c r="J13264"/>
      <c r="K13264" s="1"/>
      <c r="L13264" s="2"/>
    </row>
    <row r="13265" spans="1:12" x14ac:dyDescent="0.2">
      <c r="A13265"/>
      <c r="B13265"/>
      <c r="C13265"/>
      <c r="D13265"/>
      <c r="E13265"/>
      <c r="F13265"/>
      <c r="G13265"/>
      <c r="H13265"/>
      <c r="I13265"/>
      <c r="J13265"/>
      <c r="K13265" s="1"/>
      <c r="L13265" s="2"/>
    </row>
    <row r="13266" spans="1:12" x14ac:dyDescent="0.2">
      <c r="A13266"/>
      <c r="B13266"/>
      <c r="C13266"/>
      <c r="D13266"/>
      <c r="E13266"/>
      <c r="F13266"/>
      <c r="G13266"/>
      <c r="H13266"/>
      <c r="I13266"/>
      <c r="J13266"/>
      <c r="K13266" s="1"/>
      <c r="L13266" s="2"/>
    </row>
    <row r="13267" spans="1:12" x14ac:dyDescent="0.2">
      <c r="A13267"/>
      <c r="B13267"/>
      <c r="C13267"/>
      <c r="D13267"/>
      <c r="E13267"/>
      <c r="F13267"/>
      <c r="G13267"/>
      <c r="H13267"/>
      <c r="I13267"/>
      <c r="J13267"/>
      <c r="K13267" s="1"/>
      <c r="L13267" s="2"/>
    </row>
    <row r="13268" spans="1:12" x14ac:dyDescent="0.2">
      <c r="A13268"/>
      <c r="B13268"/>
      <c r="C13268"/>
      <c r="D13268"/>
      <c r="E13268"/>
      <c r="F13268"/>
      <c r="G13268"/>
      <c r="H13268"/>
      <c r="I13268"/>
      <c r="J13268"/>
      <c r="K13268" s="1"/>
      <c r="L13268" s="2"/>
    </row>
    <row r="13269" spans="1:12" x14ac:dyDescent="0.2">
      <c r="A13269"/>
      <c r="B13269"/>
      <c r="C13269"/>
      <c r="D13269"/>
      <c r="E13269"/>
      <c r="F13269"/>
      <c r="G13269"/>
      <c r="H13269"/>
      <c r="I13269"/>
      <c r="J13269"/>
      <c r="K13269" s="1"/>
      <c r="L13269" s="2"/>
    </row>
    <row r="13270" spans="1:12" x14ac:dyDescent="0.2">
      <c r="A13270"/>
      <c r="B13270"/>
      <c r="C13270"/>
      <c r="D13270"/>
      <c r="E13270"/>
      <c r="F13270"/>
      <c r="G13270"/>
      <c r="H13270"/>
      <c r="I13270"/>
      <c r="J13270"/>
      <c r="K13270" s="1"/>
      <c r="L13270" s="2"/>
    </row>
    <row r="13271" spans="1:12" x14ac:dyDescent="0.2">
      <c r="A13271"/>
      <c r="B13271"/>
      <c r="C13271"/>
      <c r="D13271"/>
      <c r="E13271"/>
      <c r="F13271"/>
      <c r="G13271"/>
      <c r="H13271"/>
      <c r="I13271"/>
      <c r="J13271"/>
      <c r="K13271" s="1"/>
      <c r="L13271" s="2"/>
    </row>
    <row r="13272" spans="1:12" x14ac:dyDescent="0.2">
      <c r="A13272"/>
      <c r="B13272"/>
      <c r="C13272"/>
      <c r="D13272"/>
      <c r="E13272"/>
      <c r="F13272"/>
      <c r="G13272"/>
      <c r="H13272"/>
      <c r="I13272"/>
      <c r="J13272"/>
      <c r="K13272" s="1"/>
      <c r="L13272" s="2"/>
    </row>
    <row r="13273" spans="1:12" x14ac:dyDescent="0.2">
      <c r="A13273"/>
      <c r="B13273"/>
      <c r="C13273"/>
      <c r="D13273"/>
      <c r="E13273"/>
      <c r="F13273"/>
      <c r="G13273"/>
      <c r="H13273"/>
      <c r="I13273"/>
      <c r="J13273"/>
      <c r="K13273" s="1"/>
      <c r="L13273" s="2"/>
    </row>
    <row r="13274" spans="1:12" x14ac:dyDescent="0.2">
      <c r="A13274"/>
      <c r="B13274"/>
      <c r="C13274"/>
      <c r="D13274"/>
      <c r="E13274"/>
      <c r="F13274"/>
      <c r="G13274"/>
      <c r="H13274"/>
      <c r="I13274"/>
      <c r="J13274"/>
      <c r="K13274" s="1"/>
      <c r="L13274" s="2"/>
    </row>
    <row r="13275" spans="1:12" x14ac:dyDescent="0.2">
      <c r="A13275"/>
      <c r="B13275"/>
      <c r="C13275"/>
      <c r="D13275"/>
      <c r="E13275"/>
      <c r="F13275"/>
      <c r="G13275"/>
      <c r="H13275"/>
      <c r="I13275"/>
      <c r="J13275"/>
      <c r="K13275" s="1"/>
      <c r="L13275" s="2"/>
    </row>
    <row r="13276" spans="1:12" x14ac:dyDescent="0.2">
      <c r="A13276"/>
      <c r="B13276"/>
      <c r="C13276"/>
      <c r="D13276"/>
      <c r="E13276"/>
      <c r="F13276"/>
      <c r="G13276"/>
      <c r="H13276"/>
      <c r="I13276"/>
      <c r="J13276"/>
      <c r="K13276" s="1"/>
      <c r="L13276" s="2"/>
    </row>
    <row r="13277" spans="1:12" x14ac:dyDescent="0.2">
      <c r="A13277"/>
      <c r="B13277"/>
      <c r="C13277"/>
      <c r="D13277"/>
      <c r="E13277"/>
      <c r="F13277"/>
      <c r="G13277"/>
      <c r="H13277"/>
      <c r="I13277"/>
      <c r="J13277"/>
      <c r="K13277" s="1"/>
      <c r="L13277" s="2"/>
    </row>
    <row r="13278" spans="1:12" x14ac:dyDescent="0.2">
      <c r="A13278"/>
      <c r="B13278"/>
      <c r="C13278"/>
      <c r="D13278"/>
      <c r="E13278"/>
      <c r="F13278"/>
      <c r="G13278"/>
      <c r="H13278"/>
      <c r="I13278"/>
      <c r="J13278"/>
      <c r="K13278" s="1"/>
      <c r="L13278" s="2"/>
    </row>
    <row r="13279" spans="1:12" x14ac:dyDescent="0.2">
      <c r="A13279"/>
      <c r="B13279"/>
      <c r="C13279"/>
      <c r="D13279"/>
      <c r="E13279"/>
      <c r="F13279"/>
      <c r="G13279"/>
      <c r="H13279"/>
      <c r="I13279"/>
      <c r="J13279"/>
      <c r="K13279" s="1"/>
      <c r="L13279" s="2"/>
    </row>
    <row r="13280" spans="1:12" x14ac:dyDescent="0.2">
      <c r="A13280"/>
      <c r="B13280"/>
      <c r="C13280"/>
      <c r="D13280"/>
      <c r="E13280"/>
      <c r="F13280"/>
      <c r="G13280"/>
      <c r="H13280"/>
      <c r="I13280"/>
      <c r="J13280"/>
      <c r="K13280" s="1"/>
      <c r="L13280" s="2"/>
    </row>
    <row r="13281" spans="1:12" x14ac:dyDescent="0.2">
      <c r="A13281"/>
      <c r="B13281"/>
      <c r="C13281"/>
      <c r="D13281"/>
      <c r="E13281"/>
      <c r="F13281"/>
      <c r="G13281"/>
      <c r="H13281"/>
      <c r="I13281"/>
      <c r="J13281"/>
      <c r="K13281" s="1"/>
      <c r="L13281" s="2"/>
    </row>
    <row r="13282" spans="1:12" x14ac:dyDescent="0.2">
      <c r="A13282"/>
      <c r="B13282"/>
      <c r="C13282"/>
      <c r="D13282"/>
      <c r="E13282"/>
      <c r="F13282"/>
      <c r="G13282"/>
      <c r="H13282"/>
      <c r="I13282"/>
      <c r="J13282"/>
      <c r="K13282" s="1"/>
      <c r="L13282" s="2"/>
    </row>
    <row r="13283" spans="1:12" x14ac:dyDescent="0.2">
      <c r="A13283"/>
      <c r="B13283"/>
      <c r="C13283"/>
      <c r="D13283"/>
      <c r="E13283"/>
      <c r="F13283"/>
      <c r="G13283"/>
      <c r="H13283"/>
      <c r="I13283"/>
      <c r="J13283"/>
      <c r="K13283" s="1"/>
      <c r="L13283" s="2"/>
    </row>
    <row r="13284" spans="1:12" x14ac:dyDescent="0.2">
      <c r="A13284"/>
      <c r="B13284"/>
      <c r="C13284"/>
      <c r="D13284"/>
      <c r="E13284"/>
      <c r="F13284"/>
      <c r="G13284"/>
      <c r="H13284"/>
      <c r="I13284"/>
      <c r="J13284"/>
      <c r="K13284" s="1"/>
      <c r="L13284" s="2"/>
    </row>
    <row r="13285" spans="1:12" x14ac:dyDescent="0.2">
      <c r="A13285"/>
      <c r="B13285"/>
      <c r="C13285"/>
      <c r="D13285"/>
      <c r="E13285"/>
      <c r="F13285"/>
      <c r="G13285"/>
      <c r="H13285"/>
      <c r="I13285"/>
      <c r="J13285"/>
      <c r="K13285" s="1"/>
      <c r="L13285" s="2"/>
    </row>
    <row r="13286" spans="1:12" x14ac:dyDescent="0.2">
      <c r="A13286"/>
      <c r="B13286"/>
      <c r="C13286"/>
      <c r="D13286"/>
      <c r="E13286"/>
      <c r="F13286"/>
      <c r="G13286"/>
      <c r="H13286"/>
      <c r="I13286"/>
      <c r="J13286"/>
      <c r="K13286" s="1"/>
      <c r="L13286" s="2"/>
    </row>
    <row r="13287" spans="1:12" x14ac:dyDescent="0.2">
      <c r="A13287"/>
      <c r="B13287"/>
      <c r="C13287"/>
      <c r="D13287"/>
      <c r="E13287"/>
      <c r="F13287"/>
      <c r="G13287"/>
      <c r="H13287"/>
      <c r="I13287"/>
      <c r="J13287"/>
      <c r="K13287" s="1"/>
      <c r="L13287" s="2"/>
    </row>
    <row r="13288" spans="1:12" x14ac:dyDescent="0.2">
      <c r="A13288"/>
      <c r="B13288"/>
      <c r="C13288"/>
      <c r="D13288"/>
      <c r="E13288"/>
      <c r="F13288"/>
      <c r="G13288"/>
      <c r="H13288"/>
      <c r="I13288"/>
      <c r="J13288"/>
      <c r="K13288" s="1"/>
      <c r="L13288" s="2"/>
    </row>
    <row r="13289" spans="1:12" x14ac:dyDescent="0.2">
      <c r="A13289"/>
      <c r="B13289"/>
      <c r="C13289"/>
      <c r="D13289"/>
      <c r="E13289"/>
      <c r="F13289"/>
      <c r="G13289"/>
      <c r="H13289"/>
      <c r="I13289"/>
      <c r="J13289"/>
      <c r="K13289" s="1"/>
      <c r="L13289" s="2"/>
    </row>
    <row r="13290" spans="1:12" x14ac:dyDescent="0.2">
      <c r="A13290"/>
      <c r="B13290"/>
      <c r="C13290"/>
      <c r="D13290"/>
      <c r="E13290"/>
      <c r="F13290"/>
      <c r="G13290"/>
      <c r="H13290"/>
      <c r="I13290"/>
      <c r="J13290"/>
      <c r="K13290" s="1"/>
      <c r="L13290" s="2"/>
    </row>
    <row r="13291" spans="1:12" x14ac:dyDescent="0.2">
      <c r="A13291"/>
      <c r="B13291"/>
      <c r="C13291"/>
      <c r="D13291"/>
      <c r="E13291"/>
      <c r="F13291"/>
      <c r="G13291"/>
      <c r="H13291"/>
      <c r="I13291"/>
      <c r="J13291"/>
      <c r="K13291" s="1"/>
      <c r="L13291" s="2"/>
    </row>
    <row r="13292" spans="1:12" x14ac:dyDescent="0.2">
      <c r="A13292"/>
      <c r="B13292"/>
      <c r="C13292"/>
      <c r="D13292"/>
      <c r="E13292"/>
      <c r="F13292"/>
      <c r="G13292"/>
      <c r="H13292"/>
      <c r="I13292"/>
      <c r="J13292"/>
      <c r="K13292" s="1"/>
      <c r="L13292" s="2"/>
    </row>
    <row r="13293" spans="1:12" x14ac:dyDescent="0.2">
      <c r="A13293"/>
      <c r="B13293"/>
      <c r="C13293"/>
      <c r="D13293"/>
      <c r="E13293"/>
      <c r="F13293"/>
      <c r="G13293"/>
      <c r="H13293"/>
      <c r="I13293"/>
      <c r="J13293"/>
      <c r="K13293" s="1"/>
      <c r="L13293" s="2"/>
    </row>
    <row r="13294" spans="1:12" x14ac:dyDescent="0.2">
      <c r="A13294"/>
      <c r="B13294"/>
      <c r="C13294"/>
      <c r="D13294"/>
      <c r="E13294"/>
      <c r="F13294"/>
      <c r="G13294"/>
      <c r="H13294"/>
      <c r="I13294"/>
      <c r="J13294"/>
      <c r="K13294" s="1"/>
      <c r="L13294" s="2"/>
    </row>
    <row r="13295" spans="1:12" x14ac:dyDescent="0.2">
      <c r="A13295"/>
      <c r="B13295"/>
      <c r="C13295"/>
      <c r="D13295"/>
      <c r="E13295"/>
      <c r="F13295"/>
      <c r="G13295"/>
      <c r="H13295"/>
      <c r="I13295"/>
      <c r="J13295"/>
      <c r="K13295" s="1"/>
      <c r="L13295" s="2"/>
    </row>
    <row r="13296" spans="1:12" x14ac:dyDescent="0.2">
      <c r="A13296"/>
      <c r="B13296"/>
      <c r="C13296"/>
      <c r="D13296"/>
      <c r="E13296"/>
      <c r="F13296"/>
      <c r="G13296"/>
      <c r="H13296"/>
      <c r="I13296"/>
      <c r="J13296"/>
      <c r="K13296" s="1"/>
      <c r="L13296" s="2"/>
    </row>
    <row r="13297" spans="1:12" x14ac:dyDescent="0.2">
      <c r="A13297"/>
      <c r="B13297"/>
      <c r="C13297"/>
      <c r="D13297"/>
      <c r="E13297"/>
      <c r="F13297"/>
      <c r="G13297"/>
      <c r="H13297"/>
      <c r="I13297"/>
      <c r="J13297"/>
      <c r="K13297" s="1"/>
      <c r="L13297" s="2"/>
    </row>
    <row r="13298" spans="1:12" x14ac:dyDescent="0.2">
      <c r="A13298"/>
      <c r="B13298"/>
      <c r="C13298"/>
      <c r="D13298"/>
      <c r="E13298"/>
      <c r="F13298"/>
      <c r="G13298"/>
      <c r="H13298"/>
      <c r="I13298"/>
      <c r="J13298"/>
      <c r="K13298" s="1"/>
      <c r="L13298" s="2"/>
    </row>
    <row r="13299" spans="1:12" x14ac:dyDescent="0.2">
      <c r="A13299"/>
      <c r="B13299"/>
      <c r="C13299"/>
      <c r="D13299"/>
      <c r="E13299"/>
      <c r="F13299"/>
      <c r="G13299"/>
      <c r="H13299"/>
      <c r="I13299"/>
      <c r="J13299"/>
      <c r="K13299" s="1"/>
      <c r="L13299" s="2"/>
    </row>
    <row r="13300" spans="1:12" x14ac:dyDescent="0.2">
      <c r="A13300"/>
      <c r="B13300"/>
      <c r="C13300"/>
      <c r="D13300"/>
      <c r="E13300"/>
      <c r="F13300"/>
      <c r="G13300"/>
      <c r="H13300"/>
      <c r="I13300"/>
      <c r="J13300"/>
      <c r="K13300" s="1"/>
      <c r="L13300" s="2"/>
    </row>
    <row r="13301" spans="1:12" x14ac:dyDescent="0.2">
      <c r="A13301"/>
      <c r="B13301"/>
      <c r="C13301"/>
      <c r="D13301"/>
      <c r="E13301"/>
      <c r="F13301"/>
      <c r="G13301"/>
      <c r="H13301"/>
      <c r="I13301"/>
      <c r="J13301"/>
      <c r="K13301" s="1"/>
      <c r="L13301" s="2"/>
    </row>
    <row r="13302" spans="1:12" x14ac:dyDescent="0.2">
      <c r="A13302"/>
      <c r="B13302"/>
      <c r="C13302"/>
      <c r="D13302"/>
      <c r="E13302"/>
      <c r="F13302"/>
      <c r="G13302"/>
      <c r="H13302"/>
      <c r="I13302"/>
      <c r="J13302"/>
      <c r="K13302" s="1"/>
      <c r="L13302" s="2"/>
    </row>
    <row r="13303" spans="1:12" x14ac:dyDescent="0.2">
      <c r="A13303"/>
      <c r="B13303"/>
      <c r="C13303"/>
      <c r="D13303"/>
      <c r="E13303"/>
      <c r="F13303"/>
      <c r="G13303"/>
      <c r="H13303"/>
      <c r="I13303"/>
      <c r="J13303"/>
      <c r="K13303" s="1"/>
      <c r="L13303" s="2"/>
    </row>
    <row r="13304" spans="1:12" x14ac:dyDescent="0.2">
      <c r="A13304"/>
      <c r="B13304"/>
      <c r="C13304"/>
      <c r="D13304"/>
      <c r="E13304"/>
      <c r="F13304"/>
      <c r="G13304"/>
      <c r="H13304"/>
      <c r="I13304"/>
      <c r="J13304"/>
      <c r="K13304" s="1"/>
      <c r="L13304" s="2"/>
    </row>
    <row r="13305" spans="1:12" x14ac:dyDescent="0.2">
      <c r="A13305"/>
      <c r="B13305"/>
      <c r="C13305"/>
      <c r="D13305"/>
      <c r="E13305"/>
      <c r="F13305"/>
      <c r="G13305"/>
      <c r="H13305"/>
      <c r="I13305"/>
      <c r="J13305"/>
      <c r="K13305" s="1"/>
      <c r="L13305" s="2"/>
    </row>
    <row r="13306" spans="1:12" x14ac:dyDescent="0.2">
      <c r="A13306"/>
      <c r="B13306"/>
      <c r="C13306"/>
      <c r="D13306"/>
      <c r="E13306"/>
      <c r="F13306"/>
      <c r="G13306"/>
      <c r="H13306"/>
      <c r="I13306"/>
      <c r="J13306"/>
      <c r="K13306" s="1"/>
      <c r="L13306" s="2"/>
    </row>
    <row r="13307" spans="1:12" x14ac:dyDescent="0.2">
      <c r="A13307"/>
      <c r="B13307"/>
      <c r="C13307"/>
      <c r="D13307"/>
      <c r="E13307"/>
      <c r="F13307"/>
      <c r="G13307"/>
      <c r="H13307"/>
      <c r="I13307"/>
      <c r="J13307"/>
      <c r="K13307" s="1"/>
      <c r="L13307" s="2"/>
    </row>
    <row r="13308" spans="1:12" x14ac:dyDescent="0.2">
      <c r="A13308"/>
      <c r="B13308"/>
      <c r="C13308"/>
      <c r="D13308"/>
      <c r="E13308"/>
      <c r="F13308"/>
      <c r="G13308"/>
      <c r="H13308"/>
      <c r="I13308"/>
      <c r="J13308"/>
      <c r="K13308" s="1"/>
      <c r="L13308" s="2"/>
    </row>
    <row r="13309" spans="1:12" x14ac:dyDescent="0.2">
      <c r="A13309"/>
      <c r="B13309"/>
      <c r="C13309"/>
      <c r="D13309"/>
      <c r="E13309"/>
      <c r="F13309"/>
      <c r="G13309"/>
      <c r="H13309"/>
      <c r="I13309"/>
      <c r="J13309"/>
      <c r="K13309" s="1"/>
      <c r="L13309" s="2"/>
    </row>
    <row r="13310" spans="1:12" x14ac:dyDescent="0.2">
      <c r="A13310"/>
      <c r="B13310"/>
      <c r="C13310"/>
      <c r="D13310"/>
      <c r="E13310"/>
      <c r="F13310"/>
      <c r="G13310"/>
      <c r="H13310"/>
      <c r="I13310"/>
      <c r="J13310"/>
      <c r="K13310" s="1"/>
      <c r="L13310" s="2"/>
    </row>
    <row r="13311" spans="1:12" x14ac:dyDescent="0.2">
      <c r="A13311"/>
      <c r="B13311"/>
      <c r="C13311"/>
      <c r="D13311"/>
      <c r="E13311"/>
      <c r="F13311"/>
      <c r="G13311"/>
      <c r="H13311"/>
      <c r="I13311"/>
      <c r="J13311"/>
      <c r="K13311" s="1"/>
      <c r="L13311" s="2"/>
    </row>
    <row r="13312" spans="1:12" x14ac:dyDescent="0.2">
      <c r="A13312"/>
      <c r="B13312"/>
      <c r="C13312"/>
      <c r="D13312"/>
      <c r="E13312"/>
      <c r="F13312"/>
      <c r="G13312"/>
      <c r="H13312"/>
      <c r="I13312"/>
      <c r="J13312"/>
      <c r="K13312" s="1"/>
      <c r="L13312" s="2"/>
    </row>
    <row r="13313" spans="1:12" x14ac:dyDescent="0.2">
      <c r="A13313"/>
      <c r="B13313"/>
      <c r="C13313"/>
      <c r="D13313"/>
      <c r="E13313"/>
      <c r="F13313"/>
      <c r="G13313"/>
      <c r="H13313"/>
      <c r="I13313"/>
      <c r="J13313"/>
      <c r="K13313" s="1"/>
      <c r="L13313" s="2"/>
    </row>
    <row r="13314" spans="1:12" x14ac:dyDescent="0.2">
      <c r="A13314"/>
      <c r="B13314"/>
      <c r="C13314"/>
      <c r="D13314"/>
      <c r="E13314"/>
      <c r="F13314"/>
      <c r="G13314"/>
      <c r="H13314"/>
      <c r="I13314"/>
      <c r="J13314"/>
      <c r="K13314" s="1"/>
      <c r="L13314" s="2"/>
    </row>
    <row r="13315" spans="1:12" x14ac:dyDescent="0.2">
      <c r="A13315"/>
      <c r="B13315"/>
      <c r="C13315"/>
      <c r="D13315"/>
      <c r="E13315"/>
      <c r="F13315"/>
      <c r="G13315"/>
      <c r="H13315"/>
      <c r="I13315"/>
      <c r="J13315"/>
      <c r="K13315" s="1"/>
      <c r="L13315" s="2"/>
    </row>
    <row r="13316" spans="1:12" x14ac:dyDescent="0.2">
      <c r="A13316"/>
      <c r="B13316"/>
      <c r="C13316"/>
      <c r="D13316"/>
      <c r="E13316"/>
      <c r="F13316"/>
      <c r="G13316"/>
      <c r="H13316"/>
      <c r="I13316"/>
      <c r="J13316"/>
      <c r="K13316" s="1"/>
      <c r="L13316" s="2"/>
    </row>
    <row r="13317" spans="1:12" x14ac:dyDescent="0.2">
      <c r="A13317"/>
      <c r="B13317"/>
      <c r="C13317"/>
      <c r="D13317"/>
      <c r="E13317"/>
      <c r="F13317"/>
      <c r="G13317"/>
      <c r="H13317"/>
      <c r="I13317"/>
      <c r="J13317"/>
      <c r="K13317" s="1"/>
      <c r="L13317" s="2"/>
    </row>
    <row r="13318" spans="1:12" x14ac:dyDescent="0.2">
      <c r="A13318"/>
      <c r="B13318"/>
      <c r="C13318"/>
      <c r="D13318"/>
      <c r="E13318"/>
      <c r="F13318"/>
      <c r="G13318"/>
      <c r="H13318"/>
      <c r="I13318"/>
      <c r="J13318"/>
      <c r="K13318" s="1"/>
      <c r="L13318" s="2"/>
    </row>
    <row r="13319" spans="1:12" x14ac:dyDescent="0.2">
      <c r="A13319"/>
      <c r="B13319"/>
      <c r="C13319"/>
      <c r="D13319"/>
      <c r="E13319"/>
      <c r="F13319"/>
      <c r="G13319"/>
      <c r="H13319"/>
      <c r="I13319"/>
      <c r="J13319"/>
      <c r="K13319" s="1"/>
      <c r="L13319" s="2"/>
    </row>
    <row r="13320" spans="1:12" x14ac:dyDescent="0.2">
      <c r="A13320"/>
      <c r="B13320"/>
      <c r="C13320"/>
      <c r="D13320"/>
      <c r="E13320"/>
      <c r="F13320"/>
      <c r="G13320"/>
      <c r="H13320"/>
      <c r="I13320"/>
      <c r="J13320"/>
      <c r="K13320" s="1"/>
      <c r="L13320" s="2"/>
    </row>
    <row r="13321" spans="1:12" x14ac:dyDescent="0.2">
      <c r="A13321"/>
      <c r="B13321"/>
      <c r="C13321"/>
      <c r="D13321"/>
      <c r="E13321"/>
      <c r="F13321"/>
      <c r="G13321"/>
      <c r="H13321"/>
      <c r="I13321"/>
      <c r="J13321"/>
      <c r="K13321" s="1"/>
      <c r="L13321" s="2"/>
    </row>
    <row r="13322" spans="1:12" x14ac:dyDescent="0.2">
      <c r="A13322"/>
      <c r="B13322"/>
      <c r="C13322"/>
      <c r="D13322"/>
      <c r="E13322"/>
      <c r="F13322"/>
      <c r="G13322"/>
      <c r="H13322"/>
      <c r="I13322"/>
      <c r="J13322"/>
      <c r="K13322" s="1"/>
      <c r="L13322" s="2"/>
    </row>
    <row r="13323" spans="1:12" x14ac:dyDescent="0.2">
      <c r="A13323"/>
      <c r="B13323"/>
      <c r="C13323"/>
      <c r="D13323"/>
      <c r="E13323"/>
      <c r="F13323"/>
      <c r="G13323"/>
      <c r="H13323"/>
      <c r="I13323"/>
      <c r="J13323"/>
      <c r="K13323" s="1"/>
      <c r="L13323" s="2"/>
    </row>
    <row r="13324" spans="1:12" x14ac:dyDescent="0.2">
      <c r="A13324"/>
      <c r="B13324"/>
      <c r="C13324"/>
      <c r="D13324"/>
      <c r="E13324"/>
      <c r="F13324"/>
      <c r="G13324"/>
      <c r="H13324"/>
      <c r="I13324"/>
      <c r="J13324"/>
      <c r="K13324" s="1"/>
      <c r="L13324" s="2"/>
    </row>
    <row r="13325" spans="1:12" x14ac:dyDescent="0.2">
      <c r="A13325"/>
      <c r="B13325"/>
      <c r="C13325"/>
      <c r="D13325"/>
      <c r="E13325"/>
      <c r="F13325"/>
      <c r="G13325"/>
      <c r="H13325"/>
      <c r="I13325"/>
      <c r="J13325"/>
      <c r="K13325" s="1"/>
      <c r="L13325" s="2"/>
    </row>
    <row r="13326" spans="1:12" x14ac:dyDescent="0.2">
      <c r="A13326"/>
      <c r="B13326"/>
      <c r="C13326"/>
      <c r="D13326"/>
      <c r="E13326"/>
      <c r="F13326"/>
      <c r="G13326"/>
      <c r="H13326"/>
      <c r="I13326"/>
      <c r="J13326"/>
      <c r="K13326" s="1"/>
      <c r="L13326" s="2"/>
    </row>
    <row r="13327" spans="1:12" x14ac:dyDescent="0.2">
      <c r="A13327"/>
      <c r="B13327"/>
      <c r="C13327"/>
      <c r="D13327"/>
      <c r="E13327"/>
      <c r="F13327"/>
      <c r="G13327"/>
      <c r="H13327"/>
      <c r="I13327"/>
      <c r="J13327"/>
      <c r="K13327" s="1"/>
      <c r="L13327" s="2"/>
    </row>
    <row r="13328" spans="1:12" x14ac:dyDescent="0.2">
      <c r="A13328"/>
      <c r="B13328"/>
      <c r="C13328"/>
      <c r="D13328"/>
      <c r="E13328"/>
      <c r="F13328"/>
      <c r="G13328"/>
      <c r="H13328"/>
      <c r="I13328"/>
      <c r="J13328"/>
      <c r="K13328" s="1"/>
      <c r="L13328" s="2"/>
    </row>
    <row r="13329" spans="1:12" x14ac:dyDescent="0.2">
      <c r="A13329"/>
      <c r="B13329"/>
      <c r="C13329"/>
      <c r="D13329"/>
      <c r="E13329"/>
      <c r="F13329"/>
      <c r="G13329"/>
      <c r="H13329"/>
      <c r="I13329"/>
      <c r="J13329"/>
      <c r="K13329" s="1"/>
      <c r="L13329" s="2"/>
    </row>
    <row r="13330" spans="1:12" x14ac:dyDescent="0.2">
      <c r="A13330"/>
      <c r="B13330"/>
      <c r="C13330"/>
      <c r="D13330"/>
      <c r="E13330"/>
      <c r="F13330"/>
      <c r="G13330"/>
      <c r="H13330"/>
      <c r="I13330"/>
      <c r="J13330"/>
      <c r="K13330" s="1"/>
      <c r="L13330" s="2"/>
    </row>
    <row r="13331" spans="1:12" x14ac:dyDescent="0.2">
      <c r="A13331"/>
      <c r="B13331"/>
      <c r="C13331"/>
      <c r="D13331"/>
      <c r="E13331"/>
      <c r="F13331"/>
      <c r="G13331"/>
      <c r="H13331"/>
      <c r="I13331"/>
      <c r="J13331"/>
      <c r="K13331" s="1"/>
      <c r="L13331" s="2"/>
    </row>
    <row r="13332" spans="1:12" x14ac:dyDescent="0.2">
      <c r="A13332"/>
      <c r="B13332"/>
      <c r="C13332"/>
      <c r="D13332"/>
      <c r="E13332"/>
      <c r="F13332"/>
      <c r="G13332"/>
      <c r="H13332"/>
      <c r="I13332"/>
      <c r="J13332"/>
      <c r="K13332" s="1"/>
      <c r="L13332" s="2"/>
    </row>
    <row r="13333" spans="1:12" x14ac:dyDescent="0.2">
      <c r="A13333"/>
      <c r="B13333"/>
      <c r="C13333"/>
      <c r="D13333"/>
      <c r="E13333"/>
      <c r="F13333"/>
      <c r="G13333"/>
      <c r="H13333"/>
      <c r="I13333"/>
      <c r="J13333"/>
      <c r="K13333" s="1"/>
      <c r="L13333" s="2"/>
    </row>
    <row r="13334" spans="1:12" x14ac:dyDescent="0.2">
      <c r="A13334"/>
      <c r="B13334"/>
      <c r="C13334"/>
      <c r="D13334"/>
      <c r="E13334"/>
      <c r="F13334"/>
      <c r="G13334"/>
      <c r="H13334"/>
      <c r="I13334"/>
      <c r="J13334"/>
      <c r="K13334" s="1"/>
      <c r="L13334" s="2"/>
    </row>
    <row r="13335" spans="1:12" x14ac:dyDescent="0.2">
      <c r="A13335"/>
      <c r="B13335"/>
      <c r="C13335"/>
      <c r="D13335"/>
      <c r="E13335"/>
      <c r="F13335"/>
      <c r="G13335"/>
      <c r="H13335"/>
      <c r="I13335"/>
      <c r="J13335"/>
      <c r="K13335" s="1"/>
      <c r="L13335" s="2"/>
    </row>
    <row r="13336" spans="1:12" x14ac:dyDescent="0.2">
      <c r="A13336"/>
      <c r="B13336"/>
      <c r="C13336"/>
      <c r="D13336"/>
      <c r="E13336"/>
      <c r="F13336"/>
      <c r="G13336"/>
      <c r="H13336"/>
      <c r="I13336"/>
      <c r="J13336"/>
      <c r="K13336" s="1"/>
      <c r="L13336" s="2"/>
    </row>
    <row r="13337" spans="1:12" x14ac:dyDescent="0.2">
      <c r="A13337"/>
      <c r="B13337"/>
      <c r="C13337"/>
      <c r="D13337"/>
      <c r="E13337"/>
      <c r="F13337"/>
      <c r="G13337"/>
      <c r="H13337"/>
      <c r="I13337"/>
      <c r="J13337"/>
      <c r="K13337" s="1"/>
      <c r="L13337" s="2"/>
    </row>
    <row r="13338" spans="1:12" x14ac:dyDescent="0.2">
      <c r="A13338"/>
      <c r="B13338"/>
      <c r="C13338"/>
      <c r="D13338"/>
      <c r="E13338"/>
      <c r="F13338"/>
      <c r="G13338"/>
      <c r="H13338"/>
      <c r="I13338"/>
      <c r="J13338"/>
      <c r="K13338" s="1"/>
      <c r="L13338" s="2"/>
    </row>
    <row r="13339" spans="1:12" x14ac:dyDescent="0.2">
      <c r="A13339"/>
      <c r="B13339"/>
      <c r="C13339"/>
      <c r="D13339"/>
      <c r="E13339"/>
      <c r="F13339"/>
      <c r="G13339"/>
      <c r="H13339"/>
      <c r="I13339"/>
      <c r="J13339"/>
      <c r="K13339" s="1"/>
      <c r="L13339" s="2"/>
    </row>
    <row r="13340" spans="1:12" x14ac:dyDescent="0.2">
      <c r="A13340"/>
      <c r="B13340"/>
      <c r="C13340"/>
      <c r="D13340"/>
      <c r="E13340"/>
      <c r="F13340"/>
      <c r="G13340"/>
      <c r="H13340"/>
      <c r="I13340"/>
      <c r="J13340"/>
      <c r="K13340" s="1"/>
      <c r="L13340" s="2"/>
    </row>
    <row r="13341" spans="1:12" x14ac:dyDescent="0.2">
      <c r="A13341"/>
      <c r="B13341"/>
      <c r="C13341"/>
      <c r="D13341"/>
      <c r="E13341"/>
      <c r="F13341"/>
      <c r="G13341"/>
      <c r="H13341"/>
      <c r="I13341"/>
      <c r="J13341"/>
      <c r="K13341" s="1"/>
      <c r="L13341" s="2"/>
    </row>
    <row r="13342" spans="1:12" x14ac:dyDescent="0.2">
      <c r="A13342"/>
      <c r="B13342"/>
      <c r="C13342"/>
      <c r="D13342"/>
      <c r="E13342"/>
      <c r="F13342"/>
      <c r="G13342"/>
      <c r="H13342"/>
      <c r="I13342"/>
      <c r="J13342"/>
      <c r="K13342" s="1"/>
      <c r="L13342" s="2"/>
    </row>
    <row r="13343" spans="1:12" x14ac:dyDescent="0.2">
      <c r="A13343"/>
      <c r="B13343"/>
      <c r="C13343"/>
      <c r="D13343"/>
      <c r="E13343"/>
      <c r="F13343"/>
      <c r="G13343"/>
      <c r="H13343"/>
      <c r="I13343"/>
      <c r="J13343"/>
      <c r="K13343" s="1"/>
      <c r="L13343" s="2"/>
    </row>
    <row r="13344" spans="1:12" x14ac:dyDescent="0.2">
      <c r="A13344"/>
      <c r="B13344"/>
      <c r="C13344"/>
      <c r="D13344"/>
      <c r="E13344"/>
      <c r="F13344"/>
      <c r="G13344"/>
      <c r="H13344"/>
      <c r="I13344"/>
      <c r="J13344"/>
      <c r="K13344" s="1"/>
      <c r="L13344" s="2"/>
    </row>
    <row r="13345" spans="1:12" x14ac:dyDescent="0.2">
      <c r="A13345"/>
      <c r="B13345"/>
      <c r="C13345"/>
      <c r="D13345"/>
      <c r="E13345"/>
      <c r="F13345"/>
      <c r="G13345"/>
      <c r="H13345"/>
      <c r="I13345"/>
      <c r="J13345"/>
      <c r="K13345" s="1"/>
      <c r="L13345" s="2"/>
    </row>
    <row r="13346" spans="1:12" x14ac:dyDescent="0.2">
      <c r="A13346"/>
      <c r="B13346"/>
      <c r="C13346"/>
      <c r="D13346"/>
      <c r="E13346"/>
      <c r="F13346"/>
      <c r="G13346"/>
      <c r="H13346"/>
      <c r="I13346"/>
      <c r="J13346"/>
      <c r="K13346" s="1"/>
      <c r="L13346" s="2"/>
    </row>
    <row r="13347" spans="1:12" x14ac:dyDescent="0.2">
      <c r="A13347"/>
      <c r="B13347"/>
      <c r="C13347"/>
      <c r="D13347"/>
      <c r="E13347"/>
      <c r="F13347"/>
      <c r="G13347"/>
      <c r="H13347"/>
      <c r="I13347"/>
      <c r="J13347"/>
      <c r="K13347" s="1"/>
      <c r="L13347" s="2"/>
    </row>
    <row r="13348" spans="1:12" x14ac:dyDescent="0.2">
      <c r="A13348"/>
      <c r="B13348"/>
      <c r="C13348"/>
      <c r="D13348"/>
      <c r="E13348"/>
      <c r="F13348"/>
      <c r="G13348"/>
      <c r="H13348"/>
      <c r="I13348"/>
      <c r="J13348"/>
      <c r="K13348" s="1"/>
      <c r="L13348" s="2"/>
    </row>
    <row r="13349" spans="1:12" x14ac:dyDescent="0.2">
      <c r="A13349"/>
      <c r="B13349"/>
      <c r="C13349"/>
      <c r="D13349"/>
      <c r="E13349"/>
      <c r="F13349"/>
      <c r="G13349"/>
      <c r="H13349"/>
      <c r="I13349"/>
      <c r="J13349"/>
      <c r="K13349" s="1"/>
      <c r="L13349" s="2"/>
    </row>
    <row r="13350" spans="1:12" x14ac:dyDescent="0.2">
      <c r="A13350"/>
      <c r="B13350"/>
      <c r="C13350"/>
      <c r="D13350"/>
      <c r="E13350"/>
      <c r="F13350"/>
      <c r="G13350"/>
      <c r="H13350"/>
      <c r="I13350"/>
      <c r="J13350"/>
      <c r="K13350" s="1"/>
      <c r="L13350" s="2"/>
    </row>
    <row r="13351" spans="1:12" x14ac:dyDescent="0.2">
      <c r="A13351"/>
      <c r="B13351"/>
      <c r="C13351"/>
      <c r="D13351"/>
      <c r="E13351"/>
      <c r="F13351"/>
      <c r="G13351"/>
      <c r="H13351"/>
      <c r="I13351"/>
      <c r="J13351"/>
      <c r="K13351" s="1"/>
      <c r="L13351" s="2"/>
    </row>
    <row r="13352" spans="1:12" x14ac:dyDescent="0.2">
      <c r="A13352"/>
      <c r="B13352"/>
      <c r="C13352"/>
      <c r="D13352"/>
      <c r="E13352"/>
      <c r="F13352"/>
      <c r="G13352"/>
      <c r="H13352"/>
      <c r="I13352"/>
      <c r="J13352"/>
      <c r="K13352" s="1"/>
      <c r="L13352" s="2"/>
    </row>
    <row r="13353" spans="1:12" x14ac:dyDescent="0.2">
      <c r="A13353"/>
      <c r="B13353"/>
      <c r="C13353"/>
      <c r="D13353"/>
      <c r="E13353"/>
      <c r="F13353"/>
      <c r="G13353"/>
      <c r="H13353"/>
      <c r="I13353"/>
      <c r="J13353"/>
      <c r="K13353" s="1"/>
      <c r="L13353" s="2"/>
    </row>
    <row r="13354" spans="1:12" x14ac:dyDescent="0.2">
      <c r="A13354"/>
      <c r="B13354"/>
      <c r="C13354"/>
      <c r="D13354"/>
      <c r="E13354"/>
      <c r="F13354"/>
      <c r="G13354"/>
      <c r="H13354"/>
      <c r="I13354"/>
      <c r="J13354"/>
      <c r="K13354" s="1"/>
      <c r="L13354" s="2"/>
    </row>
    <row r="13355" spans="1:12" x14ac:dyDescent="0.2">
      <c r="A13355"/>
      <c r="B13355"/>
      <c r="C13355"/>
      <c r="D13355"/>
      <c r="E13355"/>
      <c r="F13355"/>
      <c r="G13355"/>
      <c r="H13355"/>
      <c r="I13355"/>
      <c r="J13355"/>
      <c r="K13355" s="1"/>
      <c r="L13355" s="2"/>
    </row>
    <row r="13356" spans="1:12" x14ac:dyDescent="0.2">
      <c r="A13356"/>
      <c r="B13356"/>
      <c r="C13356"/>
      <c r="D13356"/>
      <c r="E13356"/>
      <c r="F13356"/>
      <c r="G13356"/>
      <c r="H13356"/>
      <c r="I13356"/>
      <c r="J13356"/>
      <c r="K13356" s="1"/>
      <c r="L13356" s="2"/>
    </row>
    <row r="13357" spans="1:12" x14ac:dyDescent="0.2">
      <c r="A13357"/>
      <c r="B13357"/>
      <c r="C13357"/>
      <c r="D13357"/>
      <c r="E13357"/>
      <c r="F13357"/>
      <c r="G13357"/>
      <c r="H13357"/>
      <c r="I13357"/>
      <c r="J13357"/>
      <c r="K13357" s="1"/>
      <c r="L13357" s="2"/>
    </row>
    <row r="13358" spans="1:12" x14ac:dyDescent="0.2">
      <c r="A13358"/>
      <c r="B13358"/>
      <c r="C13358"/>
      <c r="D13358"/>
      <c r="E13358"/>
      <c r="F13358"/>
      <c r="G13358"/>
      <c r="H13358"/>
      <c r="I13358"/>
      <c r="J13358"/>
      <c r="K13358" s="1"/>
      <c r="L13358" s="2"/>
    </row>
    <row r="13359" spans="1:12" x14ac:dyDescent="0.2">
      <c r="A13359"/>
      <c r="B13359"/>
      <c r="C13359"/>
      <c r="D13359"/>
      <c r="E13359"/>
      <c r="F13359"/>
      <c r="G13359"/>
      <c r="H13359"/>
      <c r="I13359"/>
      <c r="J13359"/>
      <c r="K13359" s="1"/>
      <c r="L13359" s="2"/>
    </row>
    <row r="13360" spans="1:12" x14ac:dyDescent="0.2">
      <c r="A13360"/>
      <c r="B13360"/>
      <c r="C13360"/>
      <c r="D13360"/>
      <c r="E13360"/>
      <c r="F13360"/>
      <c r="G13360"/>
      <c r="H13360"/>
      <c r="I13360"/>
      <c r="J13360"/>
      <c r="K13360" s="1"/>
      <c r="L13360" s="2"/>
    </row>
    <row r="13361" spans="1:12" x14ac:dyDescent="0.2">
      <c r="A13361"/>
      <c r="B13361"/>
      <c r="C13361"/>
      <c r="D13361"/>
      <c r="E13361"/>
      <c r="F13361"/>
      <c r="G13361"/>
      <c r="H13361"/>
      <c r="I13361"/>
      <c r="J13361"/>
      <c r="K13361" s="1"/>
      <c r="L13361" s="2"/>
    </row>
    <row r="13362" spans="1:12" x14ac:dyDescent="0.2">
      <c r="A13362"/>
      <c r="B13362"/>
      <c r="C13362"/>
      <c r="D13362"/>
      <c r="E13362"/>
      <c r="F13362"/>
      <c r="G13362"/>
      <c r="H13362"/>
      <c r="I13362"/>
      <c r="J13362"/>
      <c r="K13362" s="1"/>
      <c r="L13362" s="2"/>
    </row>
    <row r="13363" spans="1:12" x14ac:dyDescent="0.2">
      <c r="A13363"/>
      <c r="B13363"/>
      <c r="C13363"/>
      <c r="D13363"/>
      <c r="E13363"/>
      <c r="F13363"/>
      <c r="G13363"/>
      <c r="H13363"/>
      <c r="I13363"/>
      <c r="J13363"/>
      <c r="K13363" s="1"/>
      <c r="L13363" s="2"/>
    </row>
    <row r="13364" spans="1:12" x14ac:dyDescent="0.2">
      <c r="A13364"/>
      <c r="B13364"/>
      <c r="C13364"/>
      <c r="D13364"/>
      <c r="E13364"/>
      <c r="F13364"/>
      <c r="G13364"/>
      <c r="H13364"/>
      <c r="I13364"/>
      <c r="J13364"/>
      <c r="K13364" s="1"/>
      <c r="L13364" s="2"/>
    </row>
    <row r="13365" spans="1:12" x14ac:dyDescent="0.2">
      <c r="A13365"/>
      <c r="B13365"/>
      <c r="C13365"/>
      <c r="D13365"/>
      <c r="E13365"/>
      <c r="F13365"/>
      <c r="G13365"/>
      <c r="H13365"/>
      <c r="I13365"/>
      <c r="J13365"/>
      <c r="K13365" s="1"/>
      <c r="L13365" s="2"/>
    </row>
    <row r="13366" spans="1:12" x14ac:dyDescent="0.2">
      <c r="A13366"/>
      <c r="B13366"/>
      <c r="C13366"/>
      <c r="D13366"/>
      <c r="E13366"/>
      <c r="F13366"/>
      <c r="G13366"/>
      <c r="H13366"/>
      <c r="I13366"/>
      <c r="J13366"/>
      <c r="K13366" s="1"/>
      <c r="L13366" s="2"/>
    </row>
    <row r="13367" spans="1:12" x14ac:dyDescent="0.2">
      <c r="A13367"/>
      <c r="B13367"/>
      <c r="C13367"/>
      <c r="D13367"/>
      <c r="E13367"/>
      <c r="F13367"/>
      <c r="G13367"/>
      <c r="H13367"/>
      <c r="I13367"/>
      <c r="J13367"/>
      <c r="K13367" s="1"/>
      <c r="L13367" s="2"/>
    </row>
    <row r="13368" spans="1:12" x14ac:dyDescent="0.2">
      <c r="A13368"/>
      <c r="B13368"/>
      <c r="C13368"/>
      <c r="D13368"/>
      <c r="E13368"/>
      <c r="F13368"/>
      <c r="G13368"/>
      <c r="H13368"/>
      <c r="I13368"/>
      <c r="J13368"/>
      <c r="K13368" s="1"/>
      <c r="L13368" s="2"/>
    </row>
    <row r="13369" spans="1:12" x14ac:dyDescent="0.2">
      <c r="A13369"/>
      <c r="B13369"/>
      <c r="C13369"/>
      <c r="D13369"/>
      <c r="E13369"/>
      <c r="F13369"/>
      <c r="G13369"/>
      <c r="H13369"/>
      <c r="I13369"/>
      <c r="J13369"/>
      <c r="K13369" s="1"/>
      <c r="L13369" s="2"/>
    </row>
    <row r="13370" spans="1:12" x14ac:dyDescent="0.2">
      <c r="A13370"/>
      <c r="B13370"/>
      <c r="C13370"/>
      <c r="D13370"/>
      <c r="E13370"/>
      <c r="F13370"/>
      <c r="G13370"/>
      <c r="H13370"/>
      <c r="I13370"/>
      <c r="J13370"/>
      <c r="K13370" s="1"/>
      <c r="L13370" s="2"/>
    </row>
    <row r="13371" spans="1:12" x14ac:dyDescent="0.2">
      <c r="A13371"/>
      <c r="B13371"/>
      <c r="C13371"/>
      <c r="D13371"/>
      <c r="E13371"/>
      <c r="F13371"/>
      <c r="G13371"/>
      <c r="H13371"/>
      <c r="I13371"/>
      <c r="J13371"/>
      <c r="K13371" s="1"/>
      <c r="L13371" s="2"/>
    </row>
    <row r="13372" spans="1:12" x14ac:dyDescent="0.2">
      <c r="A13372"/>
      <c r="B13372"/>
      <c r="C13372"/>
      <c r="D13372"/>
      <c r="E13372"/>
      <c r="F13372"/>
      <c r="G13372"/>
      <c r="H13372"/>
      <c r="I13372"/>
      <c r="J13372"/>
      <c r="K13372" s="1"/>
      <c r="L13372" s="2"/>
    </row>
    <row r="13373" spans="1:12" x14ac:dyDescent="0.2">
      <c r="A13373"/>
      <c r="B13373"/>
      <c r="C13373"/>
      <c r="D13373"/>
      <c r="E13373"/>
      <c r="F13373"/>
      <c r="G13373"/>
      <c r="H13373"/>
      <c r="I13373"/>
      <c r="J13373"/>
      <c r="K13373" s="1"/>
      <c r="L13373" s="2"/>
    </row>
    <row r="13374" spans="1:12" x14ac:dyDescent="0.2">
      <c r="A13374"/>
      <c r="B13374"/>
      <c r="C13374"/>
      <c r="D13374"/>
      <c r="E13374"/>
      <c r="F13374"/>
      <c r="G13374"/>
      <c r="H13374"/>
      <c r="I13374"/>
      <c r="J13374"/>
      <c r="K13374" s="1"/>
      <c r="L13374" s="2"/>
    </row>
    <row r="13375" spans="1:12" x14ac:dyDescent="0.2">
      <c r="A13375"/>
      <c r="B13375"/>
      <c r="C13375"/>
      <c r="D13375"/>
      <c r="E13375"/>
      <c r="F13375"/>
      <c r="G13375"/>
      <c r="H13375"/>
      <c r="I13375"/>
      <c r="J13375"/>
      <c r="K13375" s="1"/>
      <c r="L13375" s="2"/>
    </row>
    <row r="13376" spans="1:12" x14ac:dyDescent="0.2">
      <c r="A13376"/>
      <c r="B13376"/>
      <c r="C13376"/>
      <c r="D13376"/>
      <c r="E13376"/>
      <c r="F13376"/>
      <c r="G13376"/>
      <c r="H13376"/>
      <c r="I13376"/>
      <c r="J13376"/>
      <c r="K13376" s="1"/>
      <c r="L13376" s="2"/>
    </row>
    <row r="13377" spans="1:12" x14ac:dyDescent="0.2">
      <c r="A13377"/>
      <c r="B13377"/>
      <c r="C13377"/>
      <c r="D13377"/>
      <c r="E13377"/>
      <c r="F13377"/>
      <c r="G13377"/>
      <c r="H13377"/>
      <c r="I13377"/>
      <c r="J13377"/>
      <c r="K13377" s="1"/>
      <c r="L13377" s="2"/>
    </row>
    <row r="13378" spans="1:12" x14ac:dyDescent="0.2">
      <c r="A13378"/>
      <c r="B13378"/>
      <c r="C13378"/>
      <c r="D13378"/>
      <c r="E13378"/>
      <c r="F13378"/>
      <c r="G13378"/>
      <c r="H13378"/>
      <c r="I13378"/>
      <c r="J13378"/>
      <c r="K13378" s="1"/>
      <c r="L13378" s="2"/>
    </row>
    <row r="13379" spans="1:12" x14ac:dyDescent="0.2">
      <c r="A13379"/>
      <c r="B13379"/>
      <c r="C13379"/>
      <c r="D13379"/>
      <c r="E13379"/>
      <c r="F13379"/>
      <c r="G13379"/>
      <c r="H13379"/>
      <c r="I13379"/>
      <c r="J13379"/>
      <c r="K13379" s="1"/>
      <c r="L13379" s="2"/>
    </row>
    <row r="13380" spans="1:12" x14ac:dyDescent="0.2">
      <c r="A13380"/>
      <c r="B13380"/>
      <c r="C13380"/>
      <c r="D13380"/>
      <c r="E13380"/>
      <c r="F13380"/>
      <c r="G13380"/>
      <c r="H13380"/>
      <c r="I13380"/>
      <c r="J13380"/>
      <c r="K13380" s="1"/>
      <c r="L13380" s="2"/>
    </row>
    <row r="13381" spans="1:12" x14ac:dyDescent="0.2">
      <c r="A13381"/>
      <c r="B13381"/>
      <c r="C13381"/>
      <c r="D13381"/>
      <c r="E13381"/>
      <c r="F13381"/>
      <c r="G13381"/>
      <c r="H13381"/>
      <c r="I13381"/>
      <c r="J13381"/>
      <c r="K13381" s="1"/>
      <c r="L13381" s="2"/>
    </row>
    <row r="13382" spans="1:12" x14ac:dyDescent="0.2">
      <c r="A13382"/>
      <c r="B13382"/>
      <c r="C13382"/>
      <c r="D13382"/>
      <c r="E13382"/>
      <c r="F13382"/>
      <c r="G13382"/>
      <c r="H13382"/>
      <c r="I13382"/>
      <c r="J13382"/>
      <c r="K13382" s="1"/>
      <c r="L13382" s="2"/>
    </row>
    <row r="13383" spans="1:12" x14ac:dyDescent="0.2">
      <c r="A13383"/>
      <c r="B13383"/>
      <c r="C13383"/>
      <c r="D13383"/>
      <c r="E13383"/>
      <c r="F13383"/>
      <c r="G13383"/>
      <c r="H13383"/>
      <c r="I13383"/>
      <c r="J13383"/>
      <c r="K13383" s="1"/>
      <c r="L13383" s="2"/>
    </row>
    <row r="13384" spans="1:12" x14ac:dyDescent="0.2">
      <c r="A13384"/>
      <c r="B13384"/>
      <c r="C13384"/>
      <c r="D13384"/>
      <c r="E13384"/>
      <c r="F13384"/>
      <c r="G13384"/>
      <c r="H13384"/>
      <c r="I13384"/>
      <c r="J13384"/>
      <c r="K13384" s="1"/>
      <c r="L13384" s="2"/>
    </row>
    <row r="13385" spans="1:12" x14ac:dyDescent="0.2">
      <c r="A13385"/>
      <c r="B13385"/>
      <c r="C13385"/>
      <c r="D13385"/>
      <c r="E13385"/>
      <c r="F13385"/>
      <c r="G13385"/>
      <c r="H13385"/>
      <c r="I13385"/>
      <c r="J13385"/>
      <c r="K13385" s="1"/>
      <c r="L13385" s="2"/>
    </row>
    <row r="13386" spans="1:12" x14ac:dyDescent="0.2">
      <c r="A13386"/>
      <c r="B13386"/>
      <c r="C13386"/>
      <c r="D13386"/>
      <c r="E13386"/>
      <c r="F13386"/>
      <c r="G13386"/>
      <c r="H13386"/>
      <c r="I13386"/>
      <c r="J13386"/>
      <c r="K13386" s="1"/>
      <c r="L13386" s="2"/>
    </row>
    <row r="13387" spans="1:12" x14ac:dyDescent="0.2">
      <c r="A13387"/>
      <c r="B13387"/>
      <c r="C13387"/>
      <c r="D13387"/>
      <c r="E13387"/>
      <c r="F13387"/>
      <c r="G13387"/>
      <c r="H13387"/>
      <c r="I13387"/>
      <c r="J13387"/>
      <c r="K13387" s="1"/>
      <c r="L13387" s="2"/>
    </row>
    <row r="13388" spans="1:12" x14ac:dyDescent="0.2">
      <c r="A13388"/>
      <c r="B13388"/>
      <c r="C13388"/>
      <c r="D13388"/>
      <c r="E13388"/>
      <c r="F13388"/>
      <c r="G13388"/>
      <c r="H13388"/>
      <c r="I13388"/>
      <c r="J13388"/>
      <c r="K13388" s="1"/>
      <c r="L13388" s="2"/>
    </row>
    <row r="13389" spans="1:12" x14ac:dyDescent="0.2">
      <c r="A13389"/>
      <c r="B13389"/>
      <c r="C13389"/>
      <c r="D13389"/>
      <c r="E13389"/>
      <c r="F13389"/>
      <c r="G13389"/>
      <c r="H13389"/>
      <c r="I13389"/>
      <c r="J13389"/>
      <c r="K13389" s="1"/>
      <c r="L13389" s="2"/>
    </row>
    <row r="13390" spans="1:12" x14ac:dyDescent="0.2">
      <c r="A13390"/>
      <c r="B13390"/>
      <c r="C13390"/>
      <c r="D13390"/>
      <c r="E13390"/>
      <c r="F13390"/>
      <c r="G13390"/>
      <c r="H13390"/>
      <c r="I13390"/>
      <c r="J13390"/>
      <c r="K13390" s="1"/>
      <c r="L13390" s="2"/>
    </row>
    <row r="13391" spans="1:12" x14ac:dyDescent="0.2">
      <c r="A13391"/>
      <c r="B13391"/>
      <c r="C13391"/>
      <c r="D13391"/>
      <c r="E13391"/>
      <c r="F13391"/>
      <c r="G13391"/>
      <c r="H13391"/>
      <c r="I13391"/>
      <c r="J13391"/>
      <c r="K13391" s="1"/>
      <c r="L13391" s="2"/>
    </row>
    <row r="13392" spans="1:12" x14ac:dyDescent="0.2">
      <c r="A13392"/>
      <c r="B13392"/>
      <c r="C13392"/>
      <c r="D13392"/>
      <c r="E13392"/>
      <c r="F13392"/>
      <c r="G13392"/>
      <c r="H13392"/>
      <c r="I13392"/>
      <c r="J13392"/>
      <c r="K13392" s="1"/>
      <c r="L13392" s="2"/>
    </row>
    <row r="13393" spans="1:12" x14ac:dyDescent="0.2">
      <c r="A13393"/>
      <c r="B13393"/>
      <c r="C13393"/>
      <c r="D13393"/>
      <c r="E13393"/>
      <c r="F13393"/>
      <c r="G13393"/>
      <c r="H13393"/>
      <c r="I13393"/>
      <c r="J13393"/>
      <c r="K13393" s="1"/>
      <c r="L13393" s="2"/>
    </row>
    <row r="13394" spans="1:12" x14ac:dyDescent="0.2">
      <c r="A13394"/>
      <c r="B13394"/>
      <c r="C13394"/>
      <c r="D13394"/>
      <c r="E13394"/>
      <c r="F13394"/>
      <c r="G13394"/>
      <c r="H13394"/>
      <c r="I13394"/>
      <c r="J13394"/>
      <c r="K13394" s="1"/>
      <c r="L13394" s="2"/>
    </row>
    <row r="13395" spans="1:12" x14ac:dyDescent="0.2">
      <c r="A13395"/>
      <c r="B13395"/>
      <c r="C13395"/>
      <c r="D13395"/>
      <c r="E13395"/>
      <c r="F13395"/>
      <c r="G13395"/>
      <c r="H13395"/>
      <c r="I13395"/>
      <c r="J13395"/>
      <c r="K13395" s="1"/>
      <c r="L13395" s="2"/>
    </row>
    <row r="13396" spans="1:12" x14ac:dyDescent="0.2">
      <c r="A13396"/>
      <c r="B13396"/>
      <c r="C13396"/>
      <c r="D13396"/>
      <c r="E13396"/>
      <c r="F13396"/>
      <c r="G13396"/>
      <c r="H13396"/>
      <c r="I13396"/>
      <c r="J13396"/>
      <c r="K13396" s="1"/>
      <c r="L13396" s="2"/>
    </row>
    <row r="13397" spans="1:12" x14ac:dyDescent="0.2">
      <c r="A13397"/>
      <c r="B13397"/>
      <c r="C13397"/>
      <c r="D13397"/>
      <c r="E13397"/>
      <c r="F13397"/>
      <c r="G13397"/>
      <c r="H13397"/>
      <c r="I13397"/>
      <c r="J13397"/>
      <c r="K13397" s="1"/>
      <c r="L13397" s="2"/>
    </row>
    <row r="13398" spans="1:12" x14ac:dyDescent="0.2">
      <c r="A13398"/>
      <c r="B13398"/>
      <c r="C13398"/>
      <c r="D13398"/>
      <c r="E13398"/>
      <c r="F13398"/>
      <c r="G13398"/>
      <c r="H13398"/>
      <c r="I13398"/>
      <c r="J13398"/>
      <c r="K13398" s="1"/>
      <c r="L13398" s="2"/>
    </row>
    <row r="13399" spans="1:12" x14ac:dyDescent="0.2">
      <c r="A13399"/>
      <c r="B13399"/>
      <c r="C13399"/>
      <c r="D13399"/>
      <c r="E13399"/>
      <c r="F13399"/>
      <c r="G13399"/>
      <c r="H13399"/>
      <c r="I13399"/>
      <c r="J13399"/>
      <c r="K13399" s="1"/>
      <c r="L13399" s="2"/>
    </row>
    <row r="13400" spans="1:12" x14ac:dyDescent="0.2">
      <c r="A13400"/>
      <c r="B13400"/>
      <c r="C13400"/>
      <c r="D13400"/>
      <c r="E13400"/>
      <c r="F13400"/>
      <c r="G13400"/>
      <c r="H13400"/>
      <c r="I13400"/>
      <c r="J13400"/>
      <c r="K13400" s="1"/>
      <c r="L13400" s="2"/>
    </row>
    <row r="13401" spans="1:12" x14ac:dyDescent="0.2">
      <c r="A13401"/>
      <c r="B13401"/>
      <c r="C13401"/>
      <c r="D13401"/>
      <c r="E13401"/>
      <c r="F13401"/>
      <c r="G13401"/>
      <c r="H13401"/>
      <c r="I13401"/>
      <c r="J13401"/>
      <c r="K13401" s="1"/>
      <c r="L13401" s="2"/>
    </row>
    <row r="13402" spans="1:12" x14ac:dyDescent="0.2">
      <c r="A13402"/>
      <c r="B13402"/>
      <c r="C13402"/>
      <c r="D13402"/>
      <c r="E13402"/>
      <c r="F13402"/>
      <c r="G13402"/>
      <c r="H13402"/>
      <c r="I13402"/>
      <c r="J13402"/>
      <c r="K13402" s="1"/>
      <c r="L13402" s="2"/>
    </row>
    <row r="13403" spans="1:12" x14ac:dyDescent="0.2">
      <c r="A13403"/>
      <c r="B13403"/>
      <c r="C13403"/>
      <c r="D13403"/>
      <c r="E13403"/>
      <c r="F13403"/>
      <c r="G13403"/>
      <c r="H13403"/>
      <c r="I13403"/>
      <c r="J13403"/>
      <c r="K13403" s="1"/>
      <c r="L13403" s="2"/>
    </row>
    <row r="13404" spans="1:12" x14ac:dyDescent="0.2">
      <c r="A13404"/>
      <c r="B13404"/>
      <c r="C13404"/>
      <c r="D13404"/>
      <c r="E13404"/>
      <c r="F13404"/>
      <c r="G13404"/>
      <c r="H13404"/>
      <c r="I13404"/>
      <c r="J13404"/>
      <c r="K13404" s="1"/>
      <c r="L13404" s="2"/>
    </row>
    <row r="13405" spans="1:12" x14ac:dyDescent="0.2">
      <c r="A13405"/>
      <c r="B13405"/>
      <c r="C13405"/>
      <c r="D13405"/>
      <c r="E13405"/>
      <c r="F13405"/>
      <c r="G13405"/>
      <c r="H13405"/>
      <c r="I13405"/>
      <c r="J13405"/>
      <c r="K13405" s="1"/>
      <c r="L13405" s="2"/>
    </row>
    <row r="13406" spans="1:12" x14ac:dyDescent="0.2">
      <c r="A13406"/>
      <c r="B13406"/>
      <c r="C13406"/>
      <c r="D13406"/>
      <c r="E13406"/>
      <c r="F13406"/>
      <c r="G13406"/>
      <c r="H13406"/>
      <c r="I13406"/>
      <c r="J13406"/>
      <c r="K13406" s="1"/>
      <c r="L13406" s="2"/>
    </row>
    <row r="13407" spans="1:12" x14ac:dyDescent="0.2">
      <c r="A13407"/>
      <c r="B13407"/>
      <c r="C13407"/>
      <c r="D13407"/>
      <c r="E13407"/>
      <c r="F13407"/>
      <c r="G13407"/>
      <c r="H13407"/>
      <c r="I13407"/>
      <c r="J13407"/>
      <c r="K13407" s="1"/>
      <c r="L13407" s="2"/>
    </row>
    <row r="13408" spans="1:12" x14ac:dyDescent="0.2">
      <c r="A13408"/>
      <c r="B13408"/>
      <c r="C13408"/>
      <c r="D13408"/>
      <c r="E13408"/>
      <c r="F13408"/>
      <c r="G13408"/>
      <c r="H13408"/>
      <c r="I13408"/>
      <c r="J13408"/>
      <c r="K13408" s="1"/>
      <c r="L13408" s="2"/>
    </row>
    <row r="13409" spans="1:12" x14ac:dyDescent="0.2">
      <c r="A13409"/>
      <c r="B13409"/>
      <c r="C13409"/>
      <c r="D13409"/>
      <c r="E13409"/>
      <c r="F13409"/>
      <c r="G13409"/>
      <c r="H13409"/>
      <c r="I13409"/>
      <c r="J13409"/>
      <c r="K13409" s="1"/>
      <c r="L13409" s="2"/>
    </row>
    <row r="13410" spans="1:12" x14ac:dyDescent="0.2">
      <c r="A13410"/>
      <c r="B13410"/>
      <c r="C13410"/>
      <c r="D13410"/>
      <c r="E13410"/>
      <c r="F13410"/>
      <c r="G13410"/>
      <c r="H13410"/>
      <c r="I13410"/>
      <c r="J13410"/>
      <c r="K13410" s="1"/>
      <c r="L13410" s="2"/>
    </row>
    <row r="13411" spans="1:12" x14ac:dyDescent="0.2">
      <c r="A13411"/>
      <c r="B13411"/>
      <c r="C13411"/>
      <c r="D13411"/>
      <c r="E13411"/>
      <c r="F13411"/>
      <c r="G13411"/>
      <c r="H13411"/>
      <c r="I13411"/>
      <c r="J13411"/>
      <c r="K13411" s="1"/>
      <c r="L13411" s="2"/>
    </row>
    <row r="13412" spans="1:12" x14ac:dyDescent="0.2">
      <c r="A13412"/>
      <c r="B13412"/>
      <c r="C13412"/>
      <c r="D13412"/>
      <c r="E13412"/>
      <c r="F13412"/>
      <c r="G13412"/>
      <c r="H13412"/>
      <c r="I13412"/>
      <c r="J13412"/>
      <c r="K13412" s="1"/>
      <c r="L13412" s="2"/>
    </row>
    <row r="13413" spans="1:12" x14ac:dyDescent="0.2">
      <c r="A13413"/>
      <c r="B13413"/>
      <c r="C13413"/>
      <c r="D13413"/>
      <c r="E13413"/>
      <c r="F13413"/>
      <c r="G13413"/>
      <c r="H13413"/>
      <c r="I13413"/>
      <c r="J13413"/>
      <c r="K13413" s="1"/>
      <c r="L13413" s="2"/>
    </row>
    <row r="13414" spans="1:12" x14ac:dyDescent="0.2">
      <c r="A13414"/>
      <c r="B13414"/>
      <c r="C13414"/>
      <c r="D13414"/>
      <c r="E13414"/>
      <c r="F13414"/>
      <c r="G13414"/>
      <c r="H13414"/>
      <c r="I13414"/>
      <c r="J13414"/>
      <c r="K13414" s="1"/>
      <c r="L13414" s="2"/>
    </row>
    <row r="13415" spans="1:12" x14ac:dyDescent="0.2">
      <c r="A13415"/>
      <c r="B13415"/>
      <c r="C13415"/>
      <c r="D13415"/>
      <c r="E13415"/>
      <c r="F13415"/>
      <c r="G13415"/>
      <c r="H13415"/>
      <c r="I13415"/>
      <c r="J13415"/>
      <c r="K13415" s="1"/>
      <c r="L13415" s="2"/>
    </row>
    <row r="13416" spans="1:12" x14ac:dyDescent="0.2">
      <c r="A13416"/>
      <c r="B13416"/>
      <c r="C13416"/>
      <c r="D13416"/>
      <c r="E13416"/>
      <c r="F13416"/>
      <c r="G13416"/>
      <c r="H13416"/>
      <c r="I13416"/>
      <c r="J13416"/>
      <c r="K13416" s="1"/>
      <c r="L13416" s="2"/>
    </row>
    <row r="13417" spans="1:12" x14ac:dyDescent="0.2">
      <c r="A13417"/>
      <c r="B13417"/>
      <c r="C13417"/>
      <c r="D13417"/>
      <c r="E13417"/>
      <c r="F13417"/>
      <c r="G13417"/>
      <c r="H13417"/>
      <c r="I13417"/>
      <c r="J13417"/>
      <c r="K13417" s="1"/>
      <c r="L13417" s="2"/>
    </row>
    <row r="13418" spans="1:12" x14ac:dyDescent="0.2">
      <c r="A13418"/>
      <c r="B13418"/>
      <c r="C13418"/>
      <c r="D13418"/>
      <c r="E13418"/>
      <c r="F13418"/>
      <c r="G13418"/>
      <c r="H13418"/>
      <c r="I13418"/>
      <c r="J13418"/>
      <c r="K13418" s="1"/>
      <c r="L13418" s="2"/>
    </row>
    <row r="13419" spans="1:12" x14ac:dyDescent="0.2">
      <c r="A13419"/>
      <c r="B13419"/>
      <c r="C13419"/>
      <c r="D13419"/>
      <c r="E13419"/>
      <c r="F13419"/>
      <c r="G13419"/>
      <c r="H13419"/>
      <c r="I13419"/>
      <c r="J13419"/>
      <c r="K13419" s="1"/>
      <c r="L13419" s="2"/>
    </row>
    <row r="13420" spans="1:12" x14ac:dyDescent="0.2">
      <c r="A13420"/>
      <c r="B13420"/>
      <c r="C13420"/>
      <c r="D13420"/>
      <c r="E13420"/>
      <c r="F13420"/>
      <c r="G13420"/>
      <c r="H13420"/>
      <c r="I13420"/>
      <c r="J13420"/>
      <c r="K13420" s="1"/>
      <c r="L13420" s="2"/>
    </row>
    <row r="13421" spans="1:12" x14ac:dyDescent="0.2">
      <c r="A13421"/>
      <c r="B13421"/>
      <c r="C13421"/>
      <c r="D13421"/>
      <c r="E13421"/>
      <c r="F13421"/>
      <c r="G13421"/>
      <c r="H13421"/>
      <c r="I13421"/>
      <c r="J13421"/>
      <c r="K13421" s="1"/>
      <c r="L13421" s="2"/>
    </row>
    <row r="13422" spans="1:12" x14ac:dyDescent="0.2">
      <c r="A13422"/>
      <c r="B13422"/>
      <c r="C13422"/>
      <c r="D13422"/>
      <c r="E13422"/>
      <c r="F13422"/>
      <c r="G13422"/>
      <c r="H13422"/>
      <c r="I13422"/>
      <c r="J13422"/>
      <c r="K13422" s="1"/>
      <c r="L13422" s="2"/>
    </row>
    <row r="13423" spans="1:12" x14ac:dyDescent="0.2">
      <c r="A13423"/>
      <c r="B13423"/>
      <c r="C13423"/>
      <c r="D13423"/>
      <c r="E13423"/>
      <c r="F13423"/>
      <c r="G13423"/>
      <c r="H13423"/>
      <c r="I13423"/>
      <c r="J13423"/>
      <c r="K13423" s="1"/>
      <c r="L13423" s="2"/>
    </row>
    <row r="13424" spans="1:12" x14ac:dyDescent="0.2">
      <c r="A13424"/>
      <c r="B13424"/>
      <c r="C13424"/>
      <c r="D13424"/>
      <c r="E13424"/>
      <c r="F13424"/>
      <c r="G13424"/>
      <c r="H13424"/>
      <c r="I13424"/>
      <c r="J13424"/>
      <c r="K13424" s="1"/>
      <c r="L13424" s="2"/>
    </row>
    <row r="13425" spans="1:12" x14ac:dyDescent="0.2">
      <c r="A13425"/>
      <c r="B13425"/>
      <c r="C13425"/>
      <c r="D13425"/>
      <c r="E13425"/>
      <c r="F13425"/>
      <c r="G13425"/>
      <c r="H13425"/>
      <c r="I13425"/>
      <c r="J13425"/>
      <c r="K13425" s="1"/>
      <c r="L13425" s="2"/>
    </row>
    <row r="13426" spans="1:12" x14ac:dyDescent="0.2">
      <c r="A13426"/>
      <c r="B13426"/>
      <c r="C13426"/>
      <c r="D13426"/>
      <c r="E13426"/>
      <c r="F13426"/>
      <c r="G13426"/>
      <c r="H13426"/>
      <c r="I13426"/>
      <c r="J13426"/>
      <c r="K13426" s="1"/>
      <c r="L13426" s="2"/>
    </row>
    <row r="13427" spans="1:12" x14ac:dyDescent="0.2">
      <c r="A13427"/>
      <c r="B13427"/>
      <c r="C13427"/>
      <c r="D13427"/>
      <c r="E13427"/>
      <c r="F13427"/>
      <c r="G13427"/>
      <c r="H13427"/>
      <c r="I13427"/>
      <c r="J13427"/>
      <c r="K13427" s="1"/>
      <c r="L13427" s="2"/>
    </row>
    <row r="13428" spans="1:12" x14ac:dyDescent="0.2">
      <c r="A13428"/>
      <c r="B13428"/>
      <c r="C13428"/>
      <c r="D13428"/>
      <c r="E13428"/>
      <c r="F13428"/>
      <c r="G13428"/>
      <c r="H13428"/>
      <c r="I13428"/>
      <c r="J13428"/>
      <c r="K13428" s="1"/>
      <c r="L13428" s="2"/>
    </row>
    <row r="13429" spans="1:12" x14ac:dyDescent="0.2">
      <c r="A13429"/>
      <c r="B13429"/>
      <c r="C13429"/>
      <c r="D13429"/>
      <c r="E13429"/>
      <c r="F13429"/>
      <c r="G13429"/>
      <c r="H13429"/>
      <c r="I13429"/>
      <c r="J13429"/>
      <c r="K13429" s="1"/>
      <c r="L13429" s="2"/>
    </row>
    <row r="13430" spans="1:12" x14ac:dyDescent="0.2">
      <c r="A13430"/>
      <c r="B13430"/>
      <c r="C13430"/>
      <c r="D13430"/>
      <c r="E13430"/>
      <c r="F13430"/>
      <c r="G13430"/>
      <c r="H13430"/>
      <c r="I13430"/>
      <c r="J13430"/>
      <c r="K13430" s="1"/>
      <c r="L13430" s="2"/>
    </row>
    <row r="13431" spans="1:12" x14ac:dyDescent="0.2">
      <c r="A13431"/>
      <c r="B13431"/>
      <c r="C13431"/>
      <c r="D13431"/>
      <c r="E13431"/>
      <c r="F13431"/>
      <c r="G13431"/>
      <c r="H13431"/>
      <c r="I13431"/>
      <c r="J13431"/>
      <c r="K13431" s="1"/>
      <c r="L13431" s="2"/>
    </row>
    <row r="13432" spans="1:12" x14ac:dyDescent="0.2">
      <c r="A13432"/>
      <c r="B13432"/>
      <c r="C13432"/>
      <c r="D13432"/>
      <c r="E13432"/>
      <c r="F13432"/>
      <c r="G13432"/>
      <c r="H13432"/>
      <c r="I13432"/>
      <c r="J13432"/>
      <c r="K13432" s="1"/>
      <c r="L13432" s="2"/>
    </row>
    <row r="13433" spans="1:12" x14ac:dyDescent="0.2">
      <c r="A13433"/>
      <c r="B13433"/>
      <c r="C13433"/>
      <c r="D13433"/>
      <c r="E13433"/>
      <c r="F13433"/>
      <c r="G13433"/>
      <c r="H13433"/>
      <c r="I13433"/>
      <c r="J13433"/>
      <c r="K13433" s="1"/>
      <c r="L13433" s="2"/>
    </row>
    <row r="13434" spans="1:12" x14ac:dyDescent="0.2">
      <c r="A13434"/>
      <c r="B13434"/>
      <c r="C13434"/>
      <c r="D13434"/>
      <c r="E13434"/>
      <c r="F13434"/>
      <c r="G13434"/>
      <c r="H13434"/>
      <c r="I13434"/>
      <c r="J13434"/>
      <c r="K13434" s="1"/>
      <c r="L13434" s="2"/>
    </row>
    <row r="13435" spans="1:12" x14ac:dyDescent="0.2">
      <c r="A13435"/>
      <c r="B13435"/>
      <c r="C13435"/>
      <c r="D13435"/>
      <c r="E13435"/>
      <c r="F13435"/>
      <c r="G13435"/>
      <c r="H13435"/>
      <c r="I13435"/>
      <c r="J13435"/>
      <c r="K13435" s="1"/>
      <c r="L13435" s="2"/>
    </row>
    <row r="13436" spans="1:12" x14ac:dyDescent="0.2">
      <c r="A13436"/>
      <c r="B13436"/>
      <c r="C13436"/>
      <c r="D13436"/>
      <c r="E13436"/>
      <c r="F13436"/>
      <c r="G13436"/>
      <c r="H13436"/>
      <c r="I13436"/>
      <c r="J13436"/>
      <c r="K13436" s="1"/>
      <c r="L13436" s="2"/>
    </row>
    <row r="13437" spans="1:12" x14ac:dyDescent="0.2">
      <c r="A13437"/>
      <c r="B13437"/>
      <c r="C13437"/>
      <c r="D13437"/>
      <c r="E13437"/>
      <c r="F13437"/>
      <c r="G13437"/>
      <c r="H13437"/>
      <c r="I13437"/>
      <c r="J13437"/>
      <c r="K13437" s="1"/>
      <c r="L13437" s="2"/>
    </row>
    <row r="13438" spans="1:12" x14ac:dyDescent="0.2">
      <c r="A13438"/>
      <c r="B13438"/>
      <c r="C13438"/>
      <c r="D13438"/>
      <c r="E13438"/>
      <c r="F13438"/>
      <c r="G13438"/>
      <c r="H13438"/>
      <c r="I13438"/>
      <c r="J13438"/>
      <c r="K13438" s="1"/>
      <c r="L13438" s="2"/>
    </row>
    <row r="13439" spans="1:12" x14ac:dyDescent="0.2">
      <c r="A13439"/>
      <c r="B13439"/>
      <c r="C13439"/>
      <c r="D13439"/>
      <c r="E13439"/>
      <c r="F13439"/>
      <c r="G13439"/>
      <c r="H13439"/>
      <c r="I13439"/>
      <c r="J13439"/>
      <c r="K13439" s="1"/>
      <c r="L13439" s="2"/>
    </row>
    <row r="13440" spans="1:12" x14ac:dyDescent="0.2">
      <c r="A13440"/>
      <c r="B13440"/>
      <c r="C13440"/>
      <c r="D13440"/>
      <c r="E13440"/>
      <c r="F13440"/>
      <c r="G13440"/>
      <c r="H13440"/>
      <c r="I13440"/>
      <c r="J13440"/>
      <c r="K13440" s="1"/>
      <c r="L13440" s="2"/>
    </row>
    <row r="13441" spans="1:12" x14ac:dyDescent="0.2">
      <c r="A13441"/>
      <c r="B13441"/>
      <c r="C13441"/>
      <c r="D13441"/>
      <c r="E13441"/>
      <c r="F13441"/>
      <c r="G13441"/>
      <c r="H13441"/>
      <c r="I13441"/>
      <c r="J13441"/>
      <c r="K13441" s="1"/>
      <c r="L13441" s="2"/>
    </row>
    <row r="13442" spans="1:12" x14ac:dyDescent="0.2">
      <c r="A13442"/>
      <c r="B13442"/>
      <c r="C13442"/>
      <c r="D13442"/>
      <c r="E13442"/>
      <c r="F13442"/>
      <c r="G13442"/>
      <c r="H13442"/>
      <c r="I13442"/>
      <c r="J13442"/>
      <c r="K13442" s="1"/>
      <c r="L13442" s="2"/>
    </row>
    <row r="13443" spans="1:12" x14ac:dyDescent="0.2">
      <c r="A13443"/>
      <c r="B13443"/>
      <c r="C13443"/>
      <c r="D13443"/>
      <c r="E13443"/>
      <c r="F13443"/>
      <c r="G13443"/>
      <c r="H13443"/>
      <c r="I13443"/>
      <c r="J13443"/>
      <c r="K13443" s="1"/>
      <c r="L13443" s="2"/>
    </row>
    <row r="13444" spans="1:12" x14ac:dyDescent="0.2">
      <c r="A13444"/>
      <c r="B13444"/>
      <c r="C13444"/>
      <c r="D13444"/>
      <c r="E13444"/>
      <c r="F13444"/>
      <c r="G13444"/>
      <c r="H13444"/>
      <c r="I13444"/>
      <c r="J13444"/>
      <c r="K13444" s="1"/>
      <c r="L13444" s="2"/>
    </row>
    <row r="13445" spans="1:12" x14ac:dyDescent="0.2">
      <c r="A13445"/>
      <c r="B13445"/>
      <c r="C13445"/>
      <c r="D13445"/>
      <c r="E13445"/>
      <c r="F13445"/>
      <c r="G13445"/>
      <c r="H13445"/>
      <c r="I13445"/>
      <c r="J13445"/>
      <c r="K13445" s="1"/>
      <c r="L13445" s="2"/>
    </row>
    <row r="13446" spans="1:12" x14ac:dyDescent="0.2">
      <c r="A13446"/>
      <c r="B13446"/>
      <c r="C13446"/>
      <c r="D13446"/>
      <c r="E13446"/>
      <c r="F13446"/>
      <c r="G13446"/>
      <c r="H13446"/>
      <c r="I13446"/>
      <c r="J13446"/>
      <c r="K13446" s="1"/>
      <c r="L13446" s="2"/>
    </row>
    <row r="13447" spans="1:12" x14ac:dyDescent="0.2">
      <c r="A13447"/>
      <c r="B13447"/>
      <c r="C13447"/>
      <c r="D13447"/>
      <c r="E13447"/>
      <c r="F13447"/>
      <c r="G13447"/>
      <c r="H13447"/>
      <c r="I13447"/>
      <c r="J13447"/>
      <c r="K13447" s="1"/>
      <c r="L13447" s="2"/>
    </row>
    <row r="13448" spans="1:12" x14ac:dyDescent="0.2">
      <c r="A13448"/>
      <c r="B13448"/>
      <c r="C13448"/>
      <c r="D13448"/>
      <c r="E13448"/>
      <c r="F13448"/>
      <c r="G13448"/>
      <c r="H13448"/>
      <c r="I13448"/>
      <c r="J13448"/>
      <c r="K13448" s="1"/>
      <c r="L13448" s="2"/>
    </row>
    <row r="13449" spans="1:12" x14ac:dyDescent="0.2">
      <c r="A13449"/>
      <c r="B13449"/>
      <c r="C13449"/>
      <c r="D13449"/>
      <c r="E13449"/>
      <c r="F13449"/>
      <c r="G13449"/>
      <c r="H13449"/>
      <c r="I13449"/>
      <c r="J13449"/>
      <c r="K13449" s="1"/>
      <c r="L13449" s="2"/>
    </row>
    <row r="13450" spans="1:12" x14ac:dyDescent="0.2">
      <c r="A13450"/>
      <c r="B13450"/>
      <c r="C13450"/>
      <c r="D13450"/>
      <c r="E13450"/>
      <c r="F13450"/>
      <c r="G13450"/>
      <c r="H13450"/>
      <c r="I13450"/>
      <c r="J13450"/>
      <c r="K13450" s="1"/>
      <c r="L13450" s="2"/>
    </row>
    <row r="13451" spans="1:12" x14ac:dyDescent="0.2">
      <c r="A13451"/>
      <c r="B13451"/>
      <c r="C13451"/>
      <c r="D13451"/>
      <c r="E13451"/>
      <c r="F13451"/>
      <c r="G13451"/>
      <c r="H13451"/>
      <c r="I13451"/>
      <c r="J13451"/>
      <c r="K13451" s="1"/>
      <c r="L13451" s="2"/>
    </row>
    <row r="13452" spans="1:12" x14ac:dyDescent="0.2">
      <c r="A13452"/>
      <c r="B13452"/>
      <c r="C13452"/>
      <c r="D13452"/>
      <c r="E13452"/>
      <c r="F13452"/>
      <c r="G13452"/>
      <c r="H13452"/>
      <c r="I13452"/>
      <c r="J13452"/>
      <c r="K13452" s="1"/>
      <c r="L13452" s="2"/>
    </row>
    <row r="13453" spans="1:12" x14ac:dyDescent="0.2">
      <c r="A13453"/>
      <c r="B13453"/>
      <c r="C13453"/>
      <c r="D13453"/>
      <c r="E13453"/>
      <c r="F13453"/>
      <c r="G13453"/>
      <c r="H13453"/>
      <c r="I13453"/>
      <c r="J13453"/>
      <c r="K13453" s="1"/>
      <c r="L13453" s="2"/>
    </row>
    <row r="13454" spans="1:12" x14ac:dyDescent="0.2">
      <c r="A13454"/>
      <c r="B13454"/>
      <c r="C13454"/>
      <c r="D13454"/>
      <c r="E13454"/>
      <c r="F13454"/>
      <c r="G13454"/>
      <c r="H13454"/>
      <c r="I13454"/>
      <c r="J13454"/>
      <c r="K13454" s="1"/>
      <c r="L13454" s="2"/>
    </row>
    <row r="13455" spans="1:12" x14ac:dyDescent="0.2">
      <c r="A13455"/>
      <c r="B13455"/>
      <c r="C13455"/>
      <c r="D13455"/>
      <c r="E13455"/>
      <c r="F13455"/>
      <c r="G13455"/>
      <c r="H13455"/>
      <c r="I13455"/>
      <c r="J13455"/>
      <c r="K13455" s="1"/>
      <c r="L13455" s="2"/>
    </row>
    <row r="13456" spans="1:12" x14ac:dyDescent="0.2">
      <c r="A13456"/>
      <c r="B13456"/>
      <c r="C13456"/>
      <c r="D13456"/>
      <c r="E13456"/>
      <c r="F13456"/>
      <c r="G13456"/>
      <c r="H13456"/>
      <c r="I13456"/>
      <c r="J13456"/>
      <c r="K13456" s="1"/>
      <c r="L13456" s="2"/>
    </row>
    <row r="13457" spans="1:12" x14ac:dyDescent="0.2">
      <c r="A13457"/>
      <c r="B13457"/>
      <c r="C13457"/>
      <c r="D13457"/>
      <c r="E13457"/>
      <c r="F13457"/>
      <c r="G13457"/>
      <c r="H13457"/>
      <c r="I13457"/>
      <c r="J13457"/>
      <c r="K13457" s="1"/>
      <c r="L13457" s="2"/>
    </row>
    <row r="13458" spans="1:12" x14ac:dyDescent="0.2">
      <c r="A13458"/>
      <c r="B13458"/>
      <c r="C13458"/>
      <c r="D13458"/>
      <c r="E13458"/>
      <c r="F13458"/>
      <c r="G13458"/>
      <c r="H13458"/>
      <c r="I13458"/>
      <c r="J13458"/>
      <c r="K13458" s="1"/>
      <c r="L13458" s="2"/>
    </row>
    <row r="13459" spans="1:12" x14ac:dyDescent="0.2">
      <c r="A13459"/>
      <c r="B13459"/>
      <c r="C13459"/>
      <c r="D13459"/>
      <c r="E13459"/>
      <c r="F13459"/>
      <c r="G13459"/>
      <c r="H13459"/>
      <c r="I13459"/>
      <c r="J13459"/>
      <c r="K13459" s="1"/>
      <c r="L13459" s="2"/>
    </row>
    <row r="13460" spans="1:12" x14ac:dyDescent="0.2">
      <c r="A13460"/>
      <c r="B13460"/>
      <c r="C13460"/>
      <c r="D13460"/>
      <c r="E13460"/>
      <c r="F13460"/>
      <c r="G13460"/>
      <c r="H13460"/>
      <c r="I13460"/>
      <c r="J13460"/>
      <c r="K13460" s="1"/>
      <c r="L13460" s="2"/>
    </row>
    <row r="13461" spans="1:12" x14ac:dyDescent="0.2">
      <c r="A13461"/>
      <c r="B13461"/>
      <c r="C13461"/>
      <c r="D13461"/>
      <c r="E13461"/>
      <c r="F13461"/>
      <c r="G13461"/>
      <c r="H13461"/>
      <c r="I13461"/>
      <c r="J13461"/>
      <c r="K13461" s="1"/>
      <c r="L13461" s="2"/>
    </row>
    <row r="13462" spans="1:12" x14ac:dyDescent="0.2">
      <c r="A13462"/>
      <c r="B13462"/>
      <c r="C13462"/>
      <c r="D13462"/>
      <c r="E13462"/>
      <c r="F13462"/>
      <c r="G13462"/>
      <c r="H13462"/>
      <c r="I13462"/>
      <c r="J13462"/>
      <c r="K13462" s="1"/>
      <c r="L13462" s="2"/>
    </row>
    <row r="13463" spans="1:12" x14ac:dyDescent="0.2">
      <c r="A13463"/>
      <c r="B13463"/>
      <c r="C13463"/>
      <c r="D13463"/>
      <c r="E13463"/>
      <c r="F13463"/>
      <c r="G13463"/>
      <c r="H13463"/>
      <c r="I13463"/>
      <c r="J13463"/>
      <c r="K13463" s="1"/>
      <c r="L13463" s="2"/>
    </row>
    <row r="13464" spans="1:12" x14ac:dyDescent="0.2">
      <c r="A13464"/>
      <c r="B13464"/>
      <c r="C13464"/>
      <c r="D13464"/>
      <c r="E13464"/>
      <c r="F13464"/>
      <c r="G13464"/>
      <c r="H13464"/>
      <c r="I13464"/>
      <c r="J13464"/>
      <c r="K13464" s="1"/>
      <c r="L13464" s="2"/>
    </row>
    <row r="13465" spans="1:12" x14ac:dyDescent="0.2">
      <c r="A13465"/>
      <c r="B13465"/>
      <c r="C13465"/>
      <c r="D13465"/>
      <c r="E13465"/>
      <c r="F13465"/>
      <c r="G13465"/>
      <c r="H13465"/>
      <c r="I13465"/>
      <c r="J13465"/>
      <c r="K13465" s="1"/>
      <c r="L13465" s="2"/>
    </row>
    <row r="13466" spans="1:12" x14ac:dyDescent="0.2">
      <c r="A13466"/>
      <c r="B13466"/>
      <c r="C13466"/>
      <c r="D13466"/>
      <c r="E13466"/>
      <c r="F13466"/>
      <c r="G13466"/>
      <c r="H13466"/>
      <c r="I13466"/>
      <c r="J13466"/>
      <c r="K13466" s="1"/>
      <c r="L13466" s="2"/>
    </row>
    <row r="13467" spans="1:12" x14ac:dyDescent="0.2">
      <c r="A13467"/>
      <c r="B13467"/>
      <c r="C13467"/>
      <c r="D13467"/>
      <c r="E13467"/>
      <c r="F13467"/>
      <c r="G13467"/>
      <c r="H13467"/>
      <c r="I13467"/>
      <c r="J13467"/>
      <c r="K13467" s="1"/>
      <c r="L13467" s="2"/>
    </row>
    <row r="13468" spans="1:12" x14ac:dyDescent="0.2">
      <c r="A13468"/>
      <c r="B13468"/>
      <c r="C13468"/>
      <c r="D13468"/>
      <c r="E13468"/>
      <c r="F13468"/>
      <c r="G13468"/>
      <c r="H13468"/>
      <c r="I13468"/>
      <c r="J13468"/>
      <c r="K13468" s="1"/>
      <c r="L13468" s="2"/>
    </row>
    <row r="13469" spans="1:12" x14ac:dyDescent="0.2">
      <c r="A13469"/>
      <c r="B13469"/>
      <c r="C13469"/>
      <c r="D13469"/>
      <c r="E13469"/>
      <c r="F13469"/>
      <c r="G13469"/>
      <c r="H13469"/>
      <c r="I13469"/>
      <c r="J13469"/>
      <c r="K13469" s="1"/>
      <c r="L13469" s="2"/>
    </row>
    <row r="13470" spans="1:12" x14ac:dyDescent="0.2">
      <c r="A13470"/>
      <c r="B13470"/>
      <c r="C13470"/>
      <c r="D13470"/>
      <c r="E13470"/>
      <c r="F13470"/>
      <c r="G13470"/>
      <c r="H13470"/>
      <c r="I13470"/>
      <c r="J13470"/>
      <c r="K13470" s="1"/>
      <c r="L13470" s="2"/>
    </row>
    <row r="13471" spans="1:12" x14ac:dyDescent="0.2">
      <c r="A13471"/>
      <c r="B13471"/>
      <c r="C13471"/>
      <c r="D13471"/>
      <c r="E13471"/>
      <c r="F13471"/>
      <c r="G13471"/>
      <c r="H13471"/>
      <c r="I13471"/>
      <c r="J13471"/>
      <c r="K13471" s="1"/>
      <c r="L13471" s="2"/>
    </row>
    <row r="13472" spans="1:12" x14ac:dyDescent="0.2">
      <c r="A13472"/>
      <c r="B13472"/>
      <c r="C13472"/>
      <c r="D13472"/>
      <c r="E13472"/>
      <c r="F13472"/>
      <c r="G13472"/>
      <c r="H13472"/>
      <c r="I13472"/>
      <c r="J13472"/>
      <c r="K13472" s="1"/>
      <c r="L13472" s="2"/>
    </row>
    <row r="13473" spans="1:12" x14ac:dyDescent="0.2">
      <c r="A13473"/>
      <c r="B13473"/>
      <c r="C13473"/>
      <c r="D13473"/>
      <c r="E13473"/>
      <c r="F13473"/>
      <c r="G13473"/>
      <c r="H13473"/>
      <c r="I13473"/>
      <c r="J13473"/>
      <c r="K13473" s="1"/>
      <c r="L13473" s="2"/>
    </row>
    <row r="13474" spans="1:12" x14ac:dyDescent="0.2">
      <c r="A13474"/>
      <c r="B13474"/>
      <c r="C13474"/>
      <c r="D13474"/>
      <c r="E13474"/>
      <c r="F13474"/>
      <c r="G13474"/>
      <c r="H13474"/>
      <c r="I13474"/>
      <c r="J13474"/>
      <c r="K13474" s="1"/>
      <c r="L13474" s="2"/>
    </row>
    <row r="13475" spans="1:12" x14ac:dyDescent="0.2">
      <c r="A13475"/>
      <c r="B13475"/>
      <c r="C13475"/>
      <c r="D13475"/>
      <c r="E13475"/>
      <c r="F13475"/>
      <c r="G13475"/>
      <c r="H13475"/>
      <c r="I13475"/>
      <c r="J13475"/>
      <c r="K13475" s="1"/>
      <c r="L13475" s="2"/>
    </row>
    <row r="13476" spans="1:12" x14ac:dyDescent="0.2">
      <c r="A13476"/>
      <c r="B13476"/>
      <c r="C13476"/>
      <c r="D13476"/>
      <c r="E13476"/>
      <c r="F13476"/>
      <c r="G13476"/>
      <c r="H13476"/>
      <c r="I13476"/>
      <c r="J13476"/>
      <c r="K13476" s="1"/>
      <c r="L13476" s="2"/>
    </row>
    <row r="13477" spans="1:12" x14ac:dyDescent="0.2">
      <c r="A13477"/>
      <c r="B13477"/>
      <c r="C13477"/>
      <c r="D13477"/>
      <c r="E13477"/>
      <c r="F13477"/>
      <c r="G13477"/>
      <c r="H13477"/>
      <c r="I13477"/>
      <c r="J13477"/>
      <c r="K13477" s="1"/>
      <c r="L13477" s="2"/>
    </row>
    <row r="13478" spans="1:12" x14ac:dyDescent="0.2">
      <c r="A13478"/>
      <c r="B13478"/>
      <c r="C13478"/>
      <c r="D13478"/>
      <c r="E13478"/>
      <c r="F13478"/>
      <c r="G13478"/>
      <c r="H13478"/>
      <c r="I13478"/>
      <c r="J13478"/>
      <c r="K13478" s="1"/>
      <c r="L13478" s="2"/>
    </row>
    <row r="13479" spans="1:12" x14ac:dyDescent="0.2">
      <c r="A13479"/>
      <c r="B13479"/>
      <c r="C13479"/>
      <c r="D13479"/>
      <c r="E13479"/>
      <c r="F13479"/>
      <c r="G13479"/>
      <c r="H13479"/>
      <c r="I13479"/>
      <c r="J13479"/>
      <c r="K13479" s="1"/>
      <c r="L13479" s="2"/>
    </row>
    <row r="13480" spans="1:12" x14ac:dyDescent="0.2">
      <c r="A13480"/>
      <c r="B13480"/>
      <c r="C13480"/>
      <c r="D13480"/>
      <c r="E13480"/>
      <c r="F13480"/>
      <c r="G13480"/>
      <c r="H13480"/>
      <c r="I13480"/>
      <c r="J13480"/>
      <c r="K13480" s="1"/>
      <c r="L13480" s="2"/>
    </row>
    <row r="13481" spans="1:12" x14ac:dyDescent="0.2">
      <c r="A13481"/>
      <c r="B13481"/>
      <c r="C13481"/>
      <c r="D13481"/>
      <c r="E13481"/>
      <c r="F13481"/>
      <c r="G13481"/>
      <c r="H13481"/>
      <c r="I13481"/>
      <c r="J13481"/>
      <c r="K13481" s="1"/>
      <c r="L13481" s="2"/>
    </row>
    <row r="13482" spans="1:12" x14ac:dyDescent="0.2">
      <c r="A13482"/>
      <c r="B13482"/>
      <c r="C13482"/>
      <c r="D13482"/>
      <c r="E13482"/>
      <c r="F13482"/>
      <c r="G13482"/>
      <c r="H13482"/>
      <c r="I13482"/>
      <c r="J13482"/>
      <c r="K13482" s="1"/>
      <c r="L13482" s="2"/>
    </row>
    <row r="13483" spans="1:12" x14ac:dyDescent="0.2">
      <c r="A13483"/>
      <c r="B13483"/>
      <c r="C13483"/>
      <c r="D13483"/>
      <c r="E13483"/>
      <c r="F13483"/>
      <c r="G13483"/>
      <c r="H13483"/>
      <c r="I13483"/>
      <c r="J13483"/>
      <c r="K13483" s="1"/>
      <c r="L13483" s="2"/>
    </row>
    <row r="13484" spans="1:12" x14ac:dyDescent="0.2">
      <c r="A13484"/>
      <c r="B13484"/>
      <c r="C13484"/>
      <c r="D13484"/>
      <c r="E13484"/>
      <c r="F13484"/>
      <c r="G13484"/>
      <c r="H13484"/>
      <c r="I13484"/>
      <c r="J13484"/>
      <c r="K13484" s="1"/>
      <c r="L13484" s="2"/>
    </row>
    <row r="13485" spans="1:12" x14ac:dyDescent="0.2">
      <c r="A13485"/>
      <c r="B13485"/>
      <c r="C13485"/>
      <c r="D13485"/>
      <c r="E13485"/>
      <c r="F13485"/>
      <c r="G13485"/>
      <c r="H13485"/>
      <c r="I13485"/>
      <c r="J13485"/>
      <c r="K13485" s="1"/>
      <c r="L13485" s="2"/>
    </row>
    <row r="13486" spans="1:12" x14ac:dyDescent="0.2">
      <c r="A13486"/>
      <c r="B13486"/>
      <c r="C13486"/>
      <c r="D13486"/>
      <c r="E13486"/>
      <c r="F13486"/>
      <c r="G13486"/>
      <c r="H13486"/>
      <c r="I13486"/>
      <c r="J13486"/>
      <c r="K13486" s="1"/>
      <c r="L13486" s="2"/>
    </row>
    <row r="13487" spans="1:12" x14ac:dyDescent="0.2">
      <c r="A13487"/>
      <c r="B13487"/>
      <c r="C13487"/>
      <c r="D13487"/>
      <c r="E13487"/>
      <c r="F13487"/>
      <c r="G13487"/>
      <c r="H13487"/>
      <c r="I13487"/>
      <c r="J13487"/>
      <c r="K13487" s="1"/>
      <c r="L13487" s="2"/>
    </row>
    <row r="13488" spans="1:12" x14ac:dyDescent="0.2">
      <c r="A13488"/>
      <c r="B13488"/>
      <c r="C13488"/>
      <c r="D13488"/>
      <c r="E13488"/>
      <c r="F13488"/>
      <c r="G13488"/>
      <c r="H13488"/>
      <c r="I13488"/>
      <c r="J13488"/>
      <c r="K13488" s="1"/>
      <c r="L13488" s="2"/>
    </row>
    <row r="13489" spans="1:12" x14ac:dyDescent="0.2">
      <c r="A13489"/>
      <c r="B13489"/>
      <c r="C13489"/>
      <c r="D13489"/>
      <c r="E13489"/>
      <c r="F13489"/>
      <c r="G13489"/>
      <c r="H13489"/>
      <c r="I13489"/>
      <c r="J13489"/>
      <c r="K13489" s="1"/>
      <c r="L13489" s="2"/>
    </row>
    <row r="13490" spans="1:12" x14ac:dyDescent="0.2">
      <c r="A13490"/>
      <c r="B13490"/>
      <c r="C13490"/>
      <c r="D13490"/>
      <c r="E13490"/>
      <c r="F13490"/>
      <c r="G13490"/>
      <c r="H13490"/>
      <c r="I13490"/>
      <c r="J13490"/>
      <c r="K13490" s="1"/>
      <c r="L13490" s="2"/>
    </row>
    <row r="13491" spans="1:12" x14ac:dyDescent="0.2">
      <c r="A13491"/>
      <c r="B13491"/>
      <c r="C13491"/>
      <c r="D13491"/>
      <c r="E13491"/>
      <c r="F13491"/>
      <c r="G13491"/>
      <c r="H13491"/>
      <c r="I13491"/>
      <c r="J13491"/>
      <c r="K13491" s="1"/>
      <c r="L13491" s="2"/>
    </row>
    <row r="13492" spans="1:12" x14ac:dyDescent="0.2">
      <c r="A13492"/>
      <c r="B13492"/>
      <c r="C13492"/>
      <c r="D13492"/>
      <c r="E13492"/>
      <c r="F13492"/>
      <c r="G13492"/>
      <c r="H13492"/>
      <c r="I13492"/>
      <c r="J13492"/>
      <c r="K13492" s="1"/>
      <c r="L13492" s="2"/>
    </row>
    <row r="13493" spans="1:12" x14ac:dyDescent="0.2">
      <c r="A13493"/>
      <c r="B13493"/>
      <c r="C13493"/>
      <c r="D13493"/>
      <c r="E13493"/>
      <c r="F13493"/>
      <c r="G13493"/>
      <c r="H13493"/>
      <c r="I13493"/>
      <c r="J13493"/>
      <c r="K13493" s="1"/>
      <c r="L13493" s="2"/>
    </row>
    <row r="13494" spans="1:12" x14ac:dyDescent="0.2">
      <c r="A13494"/>
      <c r="B13494"/>
      <c r="C13494"/>
      <c r="D13494"/>
      <c r="E13494"/>
      <c r="F13494"/>
      <c r="G13494"/>
      <c r="H13494"/>
      <c r="I13494"/>
      <c r="J13494"/>
      <c r="K13494" s="1"/>
      <c r="L13494" s="2"/>
    </row>
    <row r="13495" spans="1:12" x14ac:dyDescent="0.2">
      <c r="A13495"/>
      <c r="B13495"/>
      <c r="C13495"/>
      <c r="D13495"/>
      <c r="E13495"/>
      <c r="F13495"/>
      <c r="G13495"/>
      <c r="H13495"/>
      <c r="I13495"/>
      <c r="J13495"/>
      <c r="K13495" s="1"/>
      <c r="L13495" s="2"/>
    </row>
    <row r="13496" spans="1:12" x14ac:dyDescent="0.2">
      <c r="A13496"/>
      <c r="B13496"/>
      <c r="C13496"/>
      <c r="D13496"/>
      <c r="E13496"/>
      <c r="F13496"/>
      <c r="G13496"/>
      <c r="H13496"/>
      <c r="I13496"/>
      <c r="J13496"/>
      <c r="K13496" s="1"/>
      <c r="L13496" s="2"/>
    </row>
    <row r="13497" spans="1:12" x14ac:dyDescent="0.2">
      <c r="A13497"/>
      <c r="B13497"/>
      <c r="C13497"/>
      <c r="D13497"/>
      <c r="E13497"/>
      <c r="F13497"/>
      <c r="G13497"/>
      <c r="H13497"/>
      <c r="I13497"/>
      <c r="J13497"/>
      <c r="K13497" s="1"/>
      <c r="L13497" s="2"/>
    </row>
    <row r="13498" spans="1:12" x14ac:dyDescent="0.2">
      <c r="A13498"/>
      <c r="B13498"/>
      <c r="C13498"/>
      <c r="D13498"/>
      <c r="E13498"/>
      <c r="F13498"/>
      <c r="G13498"/>
      <c r="H13498"/>
      <c r="I13498"/>
      <c r="J13498"/>
      <c r="K13498" s="1"/>
      <c r="L13498" s="2"/>
    </row>
    <row r="13499" spans="1:12" x14ac:dyDescent="0.2">
      <c r="A13499"/>
      <c r="B13499"/>
      <c r="C13499"/>
      <c r="D13499"/>
      <c r="E13499"/>
      <c r="F13499"/>
      <c r="G13499"/>
      <c r="H13499"/>
      <c r="I13499"/>
      <c r="J13499"/>
      <c r="K13499" s="1"/>
      <c r="L13499" s="2"/>
    </row>
    <row r="13500" spans="1:12" x14ac:dyDescent="0.2">
      <c r="A13500"/>
      <c r="B13500"/>
      <c r="C13500"/>
      <c r="D13500"/>
      <c r="E13500"/>
      <c r="F13500"/>
      <c r="G13500"/>
      <c r="H13500"/>
      <c r="I13500"/>
      <c r="J13500"/>
      <c r="K13500" s="1"/>
      <c r="L13500" s="2"/>
    </row>
    <row r="13501" spans="1:12" x14ac:dyDescent="0.2">
      <c r="A13501"/>
      <c r="B13501"/>
      <c r="C13501"/>
      <c r="D13501"/>
      <c r="E13501"/>
      <c r="F13501"/>
      <c r="G13501"/>
      <c r="H13501"/>
      <c r="I13501"/>
      <c r="J13501"/>
      <c r="K13501" s="1"/>
      <c r="L13501" s="2"/>
    </row>
    <row r="13502" spans="1:12" x14ac:dyDescent="0.2">
      <c r="A13502"/>
      <c r="B13502"/>
      <c r="C13502"/>
      <c r="D13502"/>
      <c r="E13502"/>
      <c r="F13502"/>
      <c r="G13502"/>
      <c r="H13502"/>
      <c r="I13502"/>
      <c r="J13502"/>
      <c r="K13502" s="1"/>
      <c r="L13502" s="2"/>
    </row>
    <row r="13503" spans="1:12" x14ac:dyDescent="0.2">
      <c r="A13503"/>
      <c r="B13503"/>
      <c r="C13503"/>
      <c r="D13503"/>
      <c r="E13503"/>
      <c r="F13503"/>
      <c r="G13503"/>
      <c r="H13503"/>
      <c r="I13503"/>
      <c r="J13503"/>
      <c r="K13503" s="1"/>
      <c r="L13503" s="2"/>
    </row>
    <row r="13504" spans="1:12" x14ac:dyDescent="0.2">
      <c r="A13504"/>
      <c r="B13504"/>
      <c r="C13504"/>
      <c r="D13504"/>
      <c r="E13504"/>
      <c r="F13504"/>
      <c r="G13504"/>
      <c r="H13504"/>
      <c r="I13504"/>
      <c r="J13504"/>
      <c r="K13504" s="1"/>
      <c r="L13504" s="2"/>
    </row>
    <row r="13505" spans="1:12" x14ac:dyDescent="0.2">
      <c r="A13505"/>
      <c r="B13505"/>
      <c r="C13505"/>
      <c r="D13505"/>
      <c r="E13505"/>
      <c r="F13505"/>
      <c r="G13505"/>
      <c r="H13505"/>
      <c r="I13505"/>
      <c r="J13505"/>
      <c r="K13505" s="1"/>
      <c r="L13505" s="2"/>
    </row>
    <row r="13506" spans="1:12" x14ac:dyDescent="0.2">
      <c r="A13506"/>
      <c r="B13506"/>
      <c r="C13506"/>
      <c r="D13506"/>
      <c r="E13506"/>
      <c r="F13506"/>
      <c r="G13506"/>
      <c r="H13506"/>
      <c r="I13506"/>
      <c r="J13506"/>
      <c r="K13506" s="1"/>
      <c r="L13506" s="2"/>
    </row>
    <row r="13507" spans="1:12" x14ac:dyDescent="0.2">
      <c r="A13507"/>
      <c r="B13507"/>
      <c r="C13507"/>
      <c r="D13507"/>
      <c r="E13507"/>
      <c r="F13507"/>
      <c r="G13507"/>
      <c r="H13507"/>
      <c r="I13507"/>
      <c r="J13507"/>
      <c r="K13507" s="1"/>
      <c r="L13507" s="2"/>
    </row>
    <row r="13508" spans="1:12" x14ac:dyDescent="0.2">
      <c r="A13508"/>
      <c r="B13508"/>
      <c r="C13508"/>
      <c r="D13508"/>
      <c r="E13508"/>
      <c r="F13508"/>
      <c r="G13508"/>
      <c r="H13508"/>
      <c r="I13508"/>
      <c r="J13508"/>
      <c r="K13508" s="1"/>
      <c r="L13508" s="2"/>
    </row>
    <row r="13509" spans="1:12" x14ac:dyDescent="0.2">
      <c r="A13509"/>
      <c r="B13509"/>
      <c r="C13509"/>
      <c r="D13509"/>
      <c r="E13509"/>
      <c r="F13509"/>
      <c r="G13509"/>
      <c r="H13509"/>
      <c r="I13509"/>
      <c r="J13509"/>
      <c r="K13509" s="1"/>
      <c r="L13509" s="2"/>
    </row>
    <row r="13510" spans="1:12" x14ac:dyDescent="0.2">
      <c r="A13510"/>
      <c r="B13510"/>
      <c r="C13510"/>
      <c r="D13510"/>
      <c r="E13510"/>
      <c r="F13510"/>
      <c r="G13510"/>
      <c r="H13510"/>
      <c r="I13510"/>
      <c r="J13510"/>
      <c r="K13510" s="1"/>
      <c r="L13510" s="2"/>
    </row>
    <row r="13511" spans="1:12" x14ac:dyDescent="0.2">
      <c r="A13511"/>
      <c r="B13511"/>
      <c r="C13511"/>
      <c r="D13511"/>
      <c r="E13511"/>
      <c r="F13511"/>
      <c r="G13511"/>
      <c r="H13511"/>
      <c r="I13511"/>
      <c r="J13511"/>
      <c r="K13511" s="1"/>
      <c r="L13511" s="2"/>
    </row>
    <row r="13512" spans="1:12" x14ac:dyDescent="0.2">
      <c r="A13512"/>
      <c r="B13512"/>
      <c r="C13512"/>
      <c r="D13512"/>
      <c r="E13512"/>
      <c r="F13512"/>
      <c r="G13512"/>
      <c r="H13512"/>
      <c r="I13512"/>
      <c r="J13512"/>
      <c r="K13512" s="1"/>
      <c r="L13512" s="2"/>
    </row>
    <row r="13513" spans="1:12" x14ac:dyDescent="0.2">
      <c r="A13513"/>
      <c r="B13513"/>
      <c r="C13513"/>
      <c r="D13513"/>
      <c r="E13513"/>
      <c r="F13513"/>
      <c r="G13513"/>
      <c r="H13513"/>
      <c r="I13513"/>
      <c r="J13513"/>
      <c r="K13513" s="1"/>
      <c r="L13513" s="2"/>
    </row>
    <row r="13514" spans="1:12" x14ac:dyDescent="0.2">
      <c r="A13514"/>
      <c r="B13514"/>
      <c r="C13514"/>
      <c r="D13514"/>
      <c r="E13514"/>
      <c r="F13514"/>
      <c r="G13514"/>
      <c r="H13514"/>
      <c r="I13514"/>
      <c r="J13514"/>
      <c r="K13514" s="1"/>
      <c r="L13514" s="2"/>
    </row>
    <row r="13515" spans="1:12" x14ac:dyDescent="0.2">
      <c r="A13515"/>
      <c r="B13515"/>
      <c r="C13515"/>
      <c r="D13515"/>
      <c r="E13515"/>
      <c r="F13515"/>
      <c r="G13515"/>
      <c r="H13515"/>
      <c r="I13515"/>
      <c r="J13515"/>
      <c r="K13515" s="1"/>
      <c r="L13515" s="2"/>
    </row>
    <row r="13516" spans="1:12" x14ac:dyDescent="0.2">
      <c r="A13516"/>
      <c r="B13516"/>
      <c r="C13516"/>
      <c r="D13516"/>
      <c r="E13516"/>
      <c r="F13516"/>
      <c r="G13516"/>
      <c r="H13516"/>
      <c r="I13516"/>
      <c r="J13516"/>
      <c r="K13516" s="1"/>
      <c r="L13516" s="2"/>
    </row>
    <row r="13517" spans="1:12" x14ac:dyDescent="0.2">
      <c r="A13517"/>
      <c r="B13517"/>
      <c r="C13517"/>
      <c r="D13517"/>
      <c r="E13517"/>
      <c r="F13517"/>
      <c r="G13517"/>
      <c r="H13517"/>
      <c r="I13517"/>
      <c r="J13517"/>
      <c r="K13517" s="1"/>
      <c r="L13517" s="2"/>
    </row>
    <row r="13518" spans="1:12" x14ac:dyDescent="0.2">
      <c r="A13518"/>
      <c r="B13518"/>
      <c r="C13518"/>
      <c r="D13518"/>
      <c r="E13518"/>
      <c r="F13518"/>
      <c r="G13518"/>
      <c r="H13518"/>
      <c r="I13518"/>
      <c r="J13518"/>
      <c r="K13518" s="1"/>
      <c r="L13518" s="2"/>
    </row>
    <row r="13519" spans="1:12" x14ac:dyDescent="0.2">
      <c r="A13519"/>
      <c r="B13519"/>
      <c r="C13519"/>
      <c r="D13519"/>
      <c r="E13519"/>
      <c r="F13519"/>
      <c r="G13519"/>
      <c r="H13519"/>
      <c r="I13519"/>
      <c r="J13519"/>
      <c r="K13519" s="1"/>
      <c r="L13519" s="2"/>
    </row>
    <row r="13520" spans="1:12" x14ac:dyDescent="0.2">
      <c r="A13520"/>
      <c r="B13520"/>
      <c r="C13520"/>
      <c r="D13520"/>
      <c r="E13520"/>
      <c r="F13520"/>
      <c r="G13520"/>
      <c r="H13520"/>
      <c r="I13520"/>
      <c r="J13520"/>
      <c r="K13520" s="1"/>
      <c r="L13520" s="2"/>
    </row>
    <row r="13521" spans="1:12" x14ac:dyDescent="0.2">
      <c r="A13521"/>
      <c r="B13521"/>
      <c r="C13521"/>
      <c r="D13521"/>
      <c r="E13521"/>
      <c r="F13521"/>
      <c r="G13521"/>
      <c r="H13521"/>
      <c r="I13521"/>
      <c r="J13521"/>
      <c r="K13521" s="1"/>
      <c r="L13521" s="2"/>
    </row>
    <row r="13522" spans="1:12" x14ac:dyDescent="0.2">
      <c r="A13522"/>
      <c r="B13522"/>
      <c r="C13522"/>
      <c r="D13522"/>
      <c r="E13522"/>
      <c r="F13522"/>
      <c r="G13522"/>
      <c r="H13522"/>
      <c r="I13522"/>
      <c r="J13522"/>
      <c r="K13522" s="1"/>
      <c r="L13522" s="2"/>
    </row>
    <row r="13523" spans="1:12" x14ac:dyDescent="0.2">
      <c r="A13523"/>
      <c r="B13523"/>
      <c r="C13523"/>
      <c r="D13523"/>
      <c r="E13523"/>
      <c r="F13523"/>
      <c r="G13523"/>
      <c r="H13523"/>
      <c r="I13523"/>
      <c r="J13523"/>
      <c r="K13523" s="1"/>
      <c r="L13523" s="2"/>
    </row>
    <row r="13524" spans="1:12" x14ac:dyDescent="0.2">
      <c r="A13524"/>
      <c r="B13524"/>
      <c r="C13524"/>
      <c r="D13524"/>
      <c r="E13524"/>
      <c r="F13524"/>
      <c r="G13524"/>
      <c r="H13524"/>
      <c r="I13524"/>
      <c r="J13524"/>
      <c r="K13524" s="1"/>
      <c r="L13524" s="2"/>
    </row>
    <row r="13525" spans="1:12" x14ac:dyDescent="0.2">
      <c r="A13525"/>
      <c r="B13525"/>
      <c r="C13525"/>
      <c r="D13525"/>
      <c r="E13525"/>
      <c r="F13525"/>
      <c r="G13525"/>
      <c r="H13525"/>
      <c r="I13525"/>
      <c r="J13525"/>
      <c r="K13525" s="1"/>
      <c r="L13525" s="2"/>
    </row>
    <row r="13526" spans="1:12" x14ac:dyDescent="0.2">
      <c r="A13526"/>
      <c r="B13526"/>
      <c r="C13526"/>
      <c r="D13526"/>
      <c r="E13526"/>
      <c r="F13526"/>
      <c r="G13526"/>
      <c r="H13526"/>
      <c r="I13526"/>
      <c r="J13526"/>
      <c r="K13526" s="1"/>
      <c r="L13526" s="2"/>
    </row>
    <row r="13527" spans="1:12" x14ac:dyDescent="0.2">
      <c r="A13527"/>
      <c r="B13527"/>
      <c r="C13527"/>
      <c r="D13527"/>
      <c r="E13527"/>
      <c r="F13527"/>
      <c r="G13527"/>
      <c r="H13527"/>
      <c r="I13527"/>
      <c r="J13527"/>
      <c r="K13527" s="1"/>
      <c r="L13527" s="2"/>
    </row>
    <row r="13528" spans="1:12" x14ac:dyDescent="0.2">
      <c r="A13528"/>
      <c r="B13528"/>
      <c r="C13528"/>
      <c r="D13528"/>
      <c r="E13528"/>
      <c r="F13528"/>
      <c r="G13528"/>
      <c r="H13528"/>
      <c r="I13528"/>
      <c r="J13528"/>
      <c r="K13528" s="1"/>
      <c r="L13528" s="2"/>
    </row>
    <row r="13529" spans="1:12" x14ac:dyDescent="0.2">
      <c r="A13529"/>
      <c r="B13529"/>
      <c r="C13529"/>
      <c r="D13529"/>
      <c r="E13529"/>
      <c r="F13529"/>
      <c r="G13529"/>
      <c r="H13529"/>
      <c r="I13529"/>
      <c r="J13529"/>
      <c r="K13529" s="1"/>
      <c r="L13529" s="2"/>
    </row>
    <row r="13530" spans="1:12" x14ac:dyDescent="0.2">
      <c r="A13530"/>
      <c r="B13530"/>
      <c r="C13530"/>
      <c r="D13530"/>
      <c r="E13530"/>
      <c r="F13530"/>
      <c r="G13530"/>
      <c r="H13530"/>
      <c r="I13530"/>
      <c r="J13530"/>
      <c r="K13530" s="1"/>
      <c r="L13530" s="2"/>
    </row>
    <row r="13531" spans="1:12" x14ac:dyDescent="0.2">
      <c r="A13531"/>
      <c r="B13531"/>
      <c r="C13531"/>
      <c r="D13531"/>
      <c r="E13531"/>
      <c r="F13531"/>
      <c r="G13531"/>
      <c r="H13531"/>
      <c r="I13531"/>
      <c r="J13531"/>
      <c r="K13531" s="1"/>
      <c r="L13531" s="2"/>
    </row>
    <row r="13532" spans="1:12" x14ac:dyDescent="0.2">
      <c r="A13532"/>
      <c r="B13532"/>
      <c r="C13532"/>
      <c r="D13532"/>
      <c r="E13532"/>
      <c r="F13532"/>
      <c r="G13532"/>
      <c r="H13532"/>
      <c r="I13532"/>
      <c r="J13532"/>
      <c r="K13532" s="1"/>
      <c r="L13532" s="2"/>
    </row>
    <row r="13533" spans="1:12" x14ac:dyDescent="0.2">
      <c r="A13533"/>
      <c r="B13533"/>
      <c r="C13533"/>
      <c r="D13533"/>
      <c r="E13533"/>
      <c r="F13533"/>
      <c r="G13533"/>
      <c r="H13533"/>
      <c r="I13533"/>
      <c r="J13533"/>
      <c r="K13533" s="1"/>
      <c r="L13533" s="2"/>
    </row>
    <row r="13534" spans="1:12" x14ac:dyDescent="0.2">
      <c r="A13534"/>
      <c r="B13534"/>
      <c r="C13534"/>
      <c r="D13534"/>
      <c r="E13534"/>
      <c r="F13534"/>
      <c r="G13534"/>
      <c r="H13534"/>
      <c r="I13534"/>
      <c r="J13534"/>
      <c r="K13534" s="1"/>
      <c r="L13534" s="2"/>
    </row>
    <row r="13535" spans="1:12" x14ac:dyDescent="0.2">
      <c r="A13535"/>
      <c r="B13535"/>
      <c r="C13535"/>
      <c r="D13535"/>
      <c r="E13535"/>
      <c r="F13535"/>
      <c r="G13535"/>
      <c r="H13535"/>
      <c r="I13535"/>
      <c r="J13535"/>
      <c r="K13535" s="1"/>
      <c r="L13535" s="2"/>
    </row>
    <row r="13536" spans="1:12" x14ac:dyDescent="0.2">
      <c r="A13536"/>
      <c r="B13536"/>
      <c r="C13536"/>
      <c r="D13536"/>
      <c r="E13536"/>
      <c r="F13536"/>
      <c r="G13536"/>
      <c r="H13536"/>
      <c r="I13536"/>
      <c r="J13536"/>
      <c r="K13536" s="1"/>
      <c r="L13536" s="2"/>
    </row>
    <row r="13537" spans="1:12" x14ac:dyDescent="0.2">
      <c r="A13537"/>
      <c r="B13537"/>
      <c r="C13537"/>
      <c r="D13537"/>
      <c r="E13537"/>
      <c r="F13537"/>
      <c r="G13537"/>
      <c r="H13537"/>
      <c r="I13537"/>
      <c r="J13537"/>
      <c r="K13537" s="1"/>
      <c r="L13537" s="2"/>
    </row>
    <row r="13538" spans="1:12" x14ac:dyDescent="0.2">
      <c r="A13538"/>
      <c r="B13538"/>
      <c r="C13538"/>
      <c r="D13538"/>
      <c r="E13538"/>
      <c r="F13538"/>
      <c r="G13538"/>
      <c r="H13538"/>
      <c r="I13538"/>
      <c r="J13538"/>
      <c r="K13538" s="1"/>
      <c r="L13538" s="2"/>
    </row>
    <row r="13539" spans="1:12" x14ac:dyDescent="0.2">
      <c r="A13539"/>
      <c r="B13539"/>
      <c r="C13539"/>
      <c r="D13539"/>
      <c r="E13539"/>
      <c r="F13539"/>
      <c r="G13539"/>
      <c r="H13539"/>
      <c r="I13539"/>
      <c r="J13539"/>
      <c r="K13539" s="1"/>
      <c r="L13539" s="2"/>
    </row>
    <row r="13540" spans="1:12" x14ac:dyDescent="0.2">
      <c r="A13540"/>
      <c r="B13540"/>
      <c r="C13540"/>
      <c r="D13540"/>
      <c r="E13540"/>
      <c r="F13540"/>
      <c r="G13540"/>
      <c r="H13540"/>
      <c r="I13540"/>
      <c r="J13540"/>
      <c r="K13540" s="1"/>
      <c r="L13540" s="2"/>
    </row>
    <row r="13541" spans="1:12" x14ac:dyDescent="0.2">
      <c r="A13541"/>
      <c r="B13541"/>
      <c r="C13541"/>
      <c r="D13541"/>
      <c r="E13541"/>
      <c r="F13541"/>
      <c r="G13541"/>
      <c r="H13541"/>
      <c r="I13541"/>
      <c r="J13541"/>
      <c r="K13541" s="1"/>
      <c r="L13541" s="2"/>
    </row>
    <row r="13542" spans="1:12" x14ac:dyDescent="0.2">
      <c r="A13542"/>
      <c r="B13542"/>
      <c r="C13542"/>
      <c r="D13542"/>
      <c r="E13542"/>
      <c r="F13542"/>
      <c r="G13542"/>
      <c r="H13542"/>
      <c r="I13542"/>
      <c r="J13542"/>
      <c r="K13542" s="1"/>
      <c r="L13542" s="2"/>
    </row>
    <row r="13543" spans="1:12" x14ac:dyDescent="0.2">
      <c r="A13543"/>
      <c r="B13543"/>
      <c r="C13543"/>
      <c r="D13543"/>
      <c r="E13543"/>
      <c r="F13543"/>
      <c r="G13543"/>
      <c r="H13543"/>
      <c r="I13543"/>
      <c r="J13543"/>
      <c r="K13543" s="1"/>
      <c r="L13543" s="2"/>
    </row>
    <row r="13544" spans="1:12" x14ac:dyDescent="0.2">
      <c r="A13544"/>
      <c r="B13544"/>
      <c r="C13544"/>
      <c r="D13544"/>
      <c r="E13544"/>
      <c r="F13544"/>
      <c r="G13544"/>
      <c r="H13544"/>
      <c r="I13544"/>
      <c r="J13544"/>
      <c r="K13544" s="1"/>
      <c r="L13544" s="2"/>
    </row>
    <row r="13545" spans="1:12" x14ac:dyDescent="0.2">
      <c r="A13545"/>
      <c r="B13545"/>
      <c r="C13545"/>
      <c r="D13545"/>
      <c r="E13545"/>
      <c r="F13545"/>
      <c r="G13545"/>
      <c r="H13545"/>
      <c r="I13545"/>
      <c r="J13545"/>
      <c r="K13545" s="1"/>
      <c r="L13545" s="2"/>
    </row>
    <row r="13546" spans="1:12" x14ac:dyDescent="0.2">
      <c r="A13546"/>
      <c r="B13546"/>
      <c r="C13546"/>
      <c r="D13546"/>
      <c r="E13546"/>
      <c r="F13546"/>
      <c r="G13546"/>
      <c r="H13546"/>
      <c r="I13546"/>
      <c r="J13546"/>
      <c r="K13546" s="1"/>
      <c r="L13546" s="2"/>
    </row>
    <row r="13547" spans="1:12" x14ac:dyDescent="0.2">
      <c r="A13547"/>
      <c r="B13547"/>
      <c r="C13547"/>
      <c r="D13547"/>
      <c r="E13547"/>
      <c r="F13547"/>
      <c r="G13547"/>
      <c r="H13547"/>
      <c r="I13547"/>
      <c r="J13547"/>
      <c r="K13547" s="1"/>
      <c r="L13547" s="2"/>
    </row>
    <row r="13548" spans="1:12" x14ac:dyDescent="0.2">
      <c r="A13548"/>
      <c r="B13548"/>
      <c r="C13548"/>
      <c r="D13548"/>
      <c r="E13548"/>
      <c r="F13548"/>
      <c r="G13548"/>
      <c r="H13548"/>
      <c r="I13548"/>
      <c r="J13548"/>
      <c r="K13548" s="1"/>
      <c r="L13548" s="2"/>
    </row>
    <row r="13549" spans="1:12" x14ac:dyDescent="0.2">
      <c r="A13549"/>
      <c r="B13549"/>
      <c r="C13549"/>
      <c r="D13549"/>
      <c r="E13549"/>
      <c r="F13549"/>
      <c r="G13549"/>
      <c r="H13549"/>
      <c r="I13549"/>
      <c r="J13549"/>
      <c r="K13549" s="1"/>
      <c r="L13549" s="2"/>
    </row>
    <row r="13550" spans="1:12" x14ac:dyDescent="0.2">
      <c r="A13550"/>
      <c r="B13550"/>
      <c r="C13550"/>
      <c r="D13550"/>
      <c r="E13550"/>
      <c r="F13550"/>
      <c r="G13550"/>
      <c r="H13550"/>
      <c r="I13550"/>
      <c r="J13550"/>
      <c r="K13550" s="1"/>
      <c r="L13550" s="2"/>
    </row>
    <row r="13551" spans="1:12" x14ac:dyDescent="0.2">
      <c r="A13551"/>
      <c r="B13551"/>
      <c r="C13551"/>
      <c r="D13551"/>
      <c r="E13551"/>
      <c r="F13551"/>
      <c r="G13551"/>
      <c r="H13551"/>
      <c r="I13551"/>
      <c r="J13551"/>
      <c r="K13551" s="1"/>
      <c r="L13551" s="2"/>
    </row>
    <row r="13552" spans="1:12" x14ac:dyDescent="0.2">
      <c r="A13552"/>
      <c r="B13552"/>
      <c r="C13552"/>
      <c r="D13552"/>
      <c r="E13552"/>
      <c r="F13552"/>
      <c r="G13552"/>
      <c r="H13552"/>
      <c r="I13552"/>
      <c r="J13552"/>
      <c r="K13552" s="1"/>
      <c r="L13552" s="2"/>
    </row>
    <row r="13553" spans="1:12" x14ac:dyDescent="0.2">
      <c r="A13553"/>
      <c r="B13553"/>
      <c r="C13553"/>
      <c r="D13553"/>
      <c r="E13553"/>
      <c r="F13553"/>
      <c r="G13553"/>
      <c r="H13553"/>
      <c r="I13553"/>
      <c r="J13553"/>
      <c r="K13553" s="1"/>
      <c r="L13553" s="2"/>
    </row>
    <row r="13554" spans="1:12" x14ac:dyDescent="0.2">
      <c r="A13554"/>
      <c r="B13554"/>
      <c r="C13554"/>
      <c r="D13554"/>
      <c r="E13554"/>
      <c r="F13554"/>
      <c r="G13554"/>
      <c r="H13554"/>
      <c r="I13554"/>
      <c r="J13554"/>
      <c r="K13554" s="1"/>
      <c r="L13554" s="2"/>
    </row>
    <row r="13555" spans="1:12" x14ac:dyDescent="0.2">
      <c r="A13555"/>
      <c r="B13555"/>
      <c r="C13555"/>
      <c r="D13555"/>
      <c r="E13555"/>
      <c r="F13555"/>
      <c r="G13555"/>
      <c r="H13555"/>
      <c r="I13555"/>
      <c r="J13555"/>
      <c r="K13555" s="1"/>
      <c r="L13555" s="2"/>
    </row>
    <row r="13556" spans="1:12" x14ac:dyDescent="0.2">
      <c r="A13556"/>
      <c r="B13556"/>
      <c r="C13556"/>
      <c r="D13556"/>
      <c r="E13556"/>
      <c r="F13556"/>
      <c r="G13556"/>
      <c r="H13556"/>
      <c r="I13556"/>
      <c r="J13556"/>
      <c r="K13556" s="1"/>
      <c r="L13556" s="2"/>
    </row>
    <row r="13557" spans="1:12" x14ac:dyDescent="0.2">
      <c r="A13557"/>
      <c r="B13557"/>
      <c r="C13557"/>
      <c r="D13557"/>
      <c r="E13557"/>
      <c r="F13557"/>
      <c r="G13557"/>
      <c r="H13557"/>
      <c r="I13557"/>
      <c r="J13557"/>
      <c r="K13557" s="1"/>
      <c r="L13557" s="2"/>
    </row>
    <row r="13558" spans="1:12" x14ac:dyDescent="0.2">
      <c r="A13558"/>
      <c r="B13558"/>
      <c r="C13558"/>
      <c r="D13558"/>
      <c r="E13558"/>
      <c r="F13558"/>
      <c r="G13558"/>
      <c r="H13558"/>
      <c r="I13558"/>
      <c r="J13558"/>
      <c r="K13558" s="1"/>
      <c r="L13558" s="2"/>
    </row>
    <row r="13559" spans="1:12" x14ac:dyDescent="0.2">
      <c r="A13559"/>
      <c r="B13559"/>
      <c r="C13559"/>
      <c r="D13559"/>
      <c r="E13559"/>
      <c r="F13559"/>
      <c r="G13559"/>
      <c r="H13559"/>
      <c r="I13559"/>
      <c r="J13559"/>
      <c r="K13559" s="1"/>
      <c r="L13559" s="2"/>
    </row>
    <row r="13560" spans="1:12" x14ac:dyDescent="0.2">
      <c r="A13560"/>
      <c r="B13560"/>
      <c r="C13560"/>
      <c r="D13560"/>
      <c r="E13560"/>
      <c r="F13560"/>
      <c r="G13560"/>
      <c r="H13560"/>
      <c r="I13560"/>
      <c r="J13560"/>
      <c r="K13560" s="1"/>
      <c r="L13560" s="2"/>
    </row>
    <row r="13561" spans="1:12" x14ac:dyDescent="0.2">
      <c r="A13561"/>
      <c r="B13561"/>
      <c r="C13561"/>
      <c r="D13561"/>
      <c r="E13561"/>
      <c r="F13561"/>
      <c r="G13561"/>
      <c r="H13561"/>
      <c r="I13561"/>
      <c r="J13561"/>
      <c r="K13561" s="1"/>
      <c r="L13561" s="2"/>
    </row>
    <row r="13562" spans="1:12" x14ac:dyDescent="0.2">
      <c r="A13562"/>
      <c r="B13562"/>
      <c r="C13562"/>
      <c r="D13562"/>
      <c r="E13562"/>
      <c r="F13562"/>
      <c r="G13562"/>
      <c r="H13562"/>
      <c r="I13562"/>
      <c r="J13562"/>
      <c r="K13562" s="1"/>
      <c r="L13562" s="2"/>
    </row>
    <row r="13563" spans="1:12" x14ac:dyDescent="0.2">
      <c r="A13563"/>
      <c r="B13563"/>
      <c r="C13563"/>
      <c r="D13563"/>
      <c r="E13563"/>
      <c r="F13563"/>
      <c r="G13563"/>
      <c r="H13563"/>
      <c r="I13563"/>
      <c r="J13563"/>
      <c r="K13563" s="1"/>
      <c r="L13563" s="2"/>
    </row>
    <row r="13564" spans="1:12" x14ac:dyDescent="0.2">
      <c r="A13564"/>
      <c r="B13564"/>
      <c r="C13564"/>
      <c r="D13564"/>
      <c r="E13564"/>
      <c r="F13564"/>
      <c r="G13564"/>
      <c r="H13564"/>
      <c r="I13564"/>
      <c r="J13564"/>
      <c r="K13564" s="1"/>
      <c r="L13564" s="2"/>
    </row>
    <row r="13565" spans="1:12" x14ac:dyDescent="0.2">
      <c r="A13565"/>
      <c r="B13565"/>
      <c r="C13565"/>
      <c r="D13565"/>
      <c r="E13565"/>
      <c r="F13565"/>
      <c r="G13565"/>
      <c r="H13565"/>
      <c r="I13565"/>
      <c r="J13565"/>
      <c r="K13565" s="1"/>
      <c r="L13565" s="2"/>
    </row>
    <row r="13566" spans="1:12" x14ac:dyDescent="0.2">
      <c r="A13566"/>
      <c r="B13566"/>
      <c r="C13566"/>
      <c r="D13566"/>
      <c r="E13566"/>
      <c r="F13566"/>
      <c r="G13566"/>
      <c r="H13566"/>
      <c r="I13566"/>
      <c r="J13566"/>
      <c r="K13566" s="1"/>
      <c r="L13566" s="2"/>
    </row>
    <row r="13567" spans="1:12" x14ac:dyDescent="0.2">
      <c r="A13567"/>
      <c r="B13567"/>
      <c r="C13567"/>
      <c r="D13567"/>
      <c r="E13567"/>
      <c r="F13567"/>
      <c r="G13567"/>
      <c r="H13567"/>
      <c r="I13567"/>
      <c r="J13567"/>
      <c r="K13567" s="1"/>
      <c r="L13567" s="2"/>
    </row>
    <row r="13568" spans="1:12" x14ac:dyDescent="0.2">
      <c r="A13568"/>
      <c r="B13568"/>
      <c r="C13568"/>
      <c r="D13568"/>
      <c r="E13568"/>
      <c r="F13568"/>
      <c r="G13568"/>
      <c r="H13568"/>
      <c r="I13568"/>
      <c r="J13568"/>
      <c r="K13568" s="1"/>
      <c r="L13568" s="2"/>
    </row>
    <row r="13569" spans="1:12" x14ac:dyDescent="0.2">
      <c r="A13569"/>
      <c r="B13569"/>
      <c r="C13569"/>
      <c r="D13569"/>
      <c r="E13569"/>
      <c r="F13569"/>
      <c r="G13569"/>
      <c r="H13569"/>
      <c r="I13569"/>
      <c r="J13569"/>
      <c r="K13569" s="1"/>
      <c r="L13569" s="2"/>
    </row>
    <row r="13570" spans="1:12" x14ac:dyDescent="0.2">
      <c r="A13570"/>
      <c r="B13570"/>
      <c r="C13570"/>
      <c r="D13570"/>
      <c r="E13570"/>
      <c r="F13570"/>
      <c r="G13570"/>
      <c r="H13570"/>
      <c r="I13570"/>
      <c r="J13570"/>
      <c r="K13570" s="1"/>
      <c r="L13570" s="2"/>
    </row>
    <row r="13571" spans="1:12" x14ac:dyDescent="0.2">
      <c r="A13571"/>
      <c r="B13571"/>
      <c r="C13571"/>
      <c r="D13571"/>
      <c r="E13571"/>
      <c r="F13571"/>
      <c r="G13571"/>
      <c r="H13571"/>
      <c r="I13571"/>
      <c r="J13571"/>
      <c r="K13571" s="1"/>
      <c r="L13571" s="2"/>
    </row>
    <row r="13572" spans="1:12" x14ac:dyDescent="0.2">
      <c r="A13572"/>
      <c r="B13572"/>
      <c r="C13572"/>
      <c r="D13572"/>
      <c r="E13572"/>
      <c r="F13572"/>
      <c r="G13572"/>
      <c r="H13572"/>
      <c r="I13572"/>
      <c r="J13572"/>
      <c r="K13572" s="1"/>
      <c r="L13572" s="2"/>
    </row>
    <row r="13573" spans="1:12" x14ac:dyDescent="0.2">
      <c r="A13573"/>
      <c r="B13573"/>
      <c r="C13573"/>
      <c r="D13573"/>
      <c r="E13573"/>
      <c r="F13573"/>
      <c r="G13573"/>
      <c r="H13573"/>
      <c r="I13573"/>
      <c r="J13573"/>
      <c r="K13573" s="1"/>
      <c r="L13573" s="2"/>
    </row>
    <row r="13574" spans="1:12" x14ac:dyDescent="0.2">
      <c r="A13574"/>
      <c r="B13574"/>
      <c r="C13574"/>
      <c r="D13574"/>
      <c r="E13574"/>
      <c r="F13574"/>
      <c r="G13574"/>
      <c r="H13574"/>
      <c r="I13574"/>
      <c r="J13574"/>
      <c r="K13574" s="1"/>
      <c r="L13574" s="2"/>
    </row>
    <row r="13575" spans="1:12" x14ac:dyDescent="0.2">
      <c r="A13575"/>
      <c r="B13575"/>
      <c r="C13575"/>
      <c r="D13575"/>
      <c r="E13575"/>
      <c r="F13575"/>
      <c r="G13575"/>
      <c r="H13575"/>
      <c r="I13575"/>
      <c r="J13575"/>
      <c r="K13575" s="1"/>
      <c r="L13575" s="2"/>
    </row>
    <row r="13576" spans="1:12" x14ac:dyDescent="0.2">
      <c r="A13576"/>
      <c r="B13576"/>
      <c r="C13576"/>
      <c r="D13576"/>
      <c r="E13576"/>
      <c r="F13576"/>
      <c r="G13576"/>
      <c r="H13576"/>
      <c r="I13576"/>
      <c r="J13576"/>
      <c r="K13576" s="1"/>
      <c r="L13576" s="2"/>
    </row>
    <row r="13577" spans="1:12" x14ac:dyDescent="0.2">
      <c r="A13577"/>
      <c r="B13577"/>
      <c r="C13577"/>
      <c r="D13577"/>
      <c r="E13577"/>
      <c r="F13577"/>
      <c r="G13577"/>
      <c r="H13577"/>
      <c r="I13577"/>
      <c r="J13577"/>
      <c r="K13577" s="1"/>
      <c r="L13577" s="2"/>
    </row>
    <row r="13578" spans="1:12" x14ac:dyDescent="0.2">
      <c r="A13578"/>
      <c r="B13578"/>
      <c r="C13578"/>
      <c r="D13578"/>
      <c r="E13578"/>
      <c r="F13578"/>
      <c r="G13578"/>
      <c r="H13578"/>
      <c r="I13578"/>
      <c r="J13578"/>
      <c r="K13578" s="1"/>
      <c r="L13578" s="2"/>
    </row>
    <row r="13579" spans="1:12" x14ac:dyDescent="0.2">
      <c r="A13579"/>
      <c r="B13579"/>
      <c r="C13579"/>
      <c r="D13579"/>
      <c r="E13579"/>
      <c r="F13579"/>
      <c r="G13579"/>
      <c r="H13579"/>
      <c r="I13579"/>
      <c r="J13579"/>
      <c r="K13579" s="1"/>
      <c r="L13579" s="2"/>
    </row>
    <row r="13580" spans="1:12" x14ac:dyDescent="0.2">
      <c r="A13580"/>
      <c r="B13580"/>
      <c r="C13580"/>
      <c r="D13580"/>
      <c r="E13580"/>
      <c r="F13580"/>
      <c r="G13580"/>
      <c r="H13580"/>
      <c r="I13580"/>
      <c r="J13580"/>
      <c r="K13580" s="1"/>
      <c r="L13580" s="2"/>
    </row>
    <row r="13581" spans="1:12" x14ac:dyDescent="0.2">
      <c r="A13581"/>
      <c r="B13581"/>
      <c r="C13581"/>
      <c r="D13581"/>
      <c r="E13581"/>
      <c r="F13581"/>
      <c r="G13581"/>
      <c r="H13581"/>
      <c r="I13581"/>
      <c r="J13581"/>
      <c r="K13581" s="1"/>
      <c r="L13581" s="2"/>
    </row>
    <row r="13582" spans="1:12" x14ac:dyDescent="0.2">
      <c r="A13582"/>
      <c r="B13582"/>
      <c r="C13582"/>
      <c r="D13582"/>
      <c r="E13582"/>
      <c r="F13582"/>
      <c r="G13582"/>
      <c r="H13582"/>
      <c r="I13582"/>
      <c r="J13582"/>
      <c r="K13582" s="1"/>
      <c r="L13582" s="2"/>
    </row>
    <row r="13583" spans="1:12" x14ac:dyDescent="0.2">
      <c r="A13583"/>
      <c r="B13583"/>
      <c r="C13583"/>
      <c r="D13583"/>
      <c r="E13583"/>
      <c r="F13583"/>
      <c r="G13583"/>
      <c r="H13583"/>
      <c r="I13583"/>
      <c r="J13583"/>
      <c r="K13583" s="1"/>
      <c r="L13583" s="2"/>
    </row>
    <row r="13584" spans="1:12" x14ac:dyDescent="0.2">
      <c r="A13584"/>
      <c r="B13584"/>
      <c r="C13584"/>
      <c r="D13584"/>
      <c r="E13584"/>
      <c r="F13584"/>
      <c r="G13584"/>
      <c r="H13584"/>
      <c r="I13584"/>
      <c r="J13584"/>
      <c r="K13584" s="1"/>
      <c r="L13584" s="2"/>
    </row>
    <row r="13585" spans="1:12" x14ac:dyDescent="0.2">
      <c r="A13585"/>
      <c r="B13585"/>
      <c r="C13585"/>
      <c r="D13585"/>
      <c r="E13585"/>
      <c r="F13585"/>
      <c r="G13585"/>
      <c r="H13585"/>
      <c r="I13585"/>
      <c r="J13585"/>
      <c r="K13585" s="1"/>
      <c r="L13585" s="2"/>
    </row>
    <row r="13586" spans="1:12" x14ac:dyDescent="0.2">
      <c r="A13586"/>
      <c r="B13586"/>
      <c r="C13586"/>
      <c r="D13586"/>
      <c r="E13586"/>
      <c r="F13586"/>
      <c r="G13586"/>
      <c r="H13586"/>
      <c r="I13586"/>
      <c r="J13586"/>
      <c r="K13586" s="1"/>
      <c r="L13586" s="2"/>
    </row>
    <row r="13587" spans="1:12" x14ac:dyDescent="0.2">
      <c r="A13587"/>
      <c r="B13587"/>
      <c r="C13587"/>
      <c r="D13587"/>
      <c r="E13587"/>
      <c r="F13587"/>
      <c r="G13587"/>
      <c r="H13587"/>
      <c r="I13587"/>
      <c r="J13587"/>
      <c r="K13587" s="1"/>
      <c r="L13587" s="2"/>
    </row>
    <row r="13588" spans="1:12" x14ac:dyDescent="0.2">
      <c r="A13588"/>
      <c r="B13588"/>
      <c r="C13588"/>
      <c r="D13588"/>
      <c r="E13588"/>
      <c r="F13588"/>
      <c r="G13588"/>
      <c r="H13588"/>
      <c r="I13588"/>
      <c r="J13588"/>
      <c r="K13588" s="1"/>
      <c r="L13588" s="2"/>
    </row>
    <row r="13589" spans="1:12" x14ac:dyDescent="0.2">
      <c r="A13589"/>
      <c r="B13589"/>
      <c r="C13589"/>
      <c r="D13589"/>
      <c r="E13589"/>
      <c r="F13589"/>
      <c r="G13589"/>
      <c r="H13589"/>
      <c r="I13589"/>
      <c r="J13589"/>
      <c r="K13589" s="1"/>
      <c r="L13589" s="2"/>
    </row>
    <row r="13590" spans="1:12" x14ac:dyDescent="0.2">
      <c r="A13590"/>
      <c r="B13590"/>
      <c r="C13590"/>
      <c r="D13590"/>
      <c r="E13590"/>
      <c r="F13590"/>
      <c r="G13590"/>
      <c r="H13590"/>
      <c r="I13590"/>
      <c r="J13590"/>
      <c r="K13590" s="1"/>
      <c r="L13590" s="2"/>
    </row>
    <row r="13591" spans="1:12" x14ac:dyDescent="0.2">
      <c r="A13591"/>
      <c r="B13591"/>
      <c r="C13591"/>
      <c r="D13591"/>
      <c r="E13591"/>
      <c r="F13591"/>
      <c r="G13591"/>
      <c r="H13591"/>
      <c r="I13591"/>
      <c r="J13591"/>
      <c r="K13591" s="1"/>
      <c r="L13591" s="2"/>
    </row>
    <row r="13592" spans="1:12" x14ac:dyDescent="0.2">
      <c r="A13592"/>
      <c r="B13592"/>
      <c r="C13592"/>
      <c r="D13592"/>
      <c r="E13592"/>
      <c r="F13592"/>
      <c r="G13592"/>
      <c r="H13592"/>
      <c r="I13592"/>
      <c r="J13592"/>
      <c r="K13592" s="1"/>
      <c r="L13592" s="2"/>
    </row>
    <row r="13593" spans="1:12" x14ac:dyDescent="0.2">
      <c r="A13593"/>
      <c r="B13593"/>
      <c r="C13593"/>
      <c r="D13593"/>
      <c r="E13593"/>
      <c r="F13593"/>
      <c r="G13593"/>
      <c r="H13593"/>
      <c r="I13593"/>
      <c r="J13593"/>
      <c r="K13593" s="1"/>
      <c r="L13593" s="2"/>
    </row>
    <row r="13594" spans="1:12" x14ac:dyDescent="0.2">
      <c r="A13594"/>
      <c r="B13594"/>
      <c r="C13594"/>
      <c r="D13594"/>
      <c r="E13594"/>
      <c r="F13594"/>
      <c r="G13594"/>
      <c r="H13594"/>
      <c r="I13594"/>
      <c r="J13594"/>
      <c r="K13594" s="1"/>
      <c r="L13594" s="2"/>
    </row>
    <row r="13595" spans="1:12" x14ac:dyDescent="0.2">
      <c r="A13595"/>
      <c r="B13595"/>
      <c r="C13595"/>
      <c r="D13595"/>
      <c r="E13595"/>
      <c r="F13595"/>
      <c r="G13595"/>
      <c r="H13595"/>
      <c r="I13595"/>
      <c r="J13595"/>
      <c r="K13595" s="1"/>
      <c r="L13595" s="2"/>
    </row>
    <row r="13596" spans="1:12" x14ac:dyDescent="0.2">
      <c r="A13596"/>
      <c r="B13596"/>
      <c r="C13596"/>
      <c r="D13596"/>
      <c r="E13596"/>
      <c r="F13596"/>
      <c r="G13596"/>
      <c r="H13596"/>
      <c r="I13596"/>
      <c r="J13596"/>
      <c r="K13596" s="1"/>
      <c r="L13596" s="2"/>
    </row>
    <row r="13597" spans="1:12" x14ac:dyDescent="0.2">
      <c r="A13597"/>
      <c r="B13597"/>
      <c r="C13597"/>
      <c r="D13597"/>
      <c r="E13597"/>
      <c r="F13597"/>
      <c r="G13597"/>
      <c r="H13597"/>
      <c r="I13597"/>
      <c r="J13597"/>
      <c r="K13597" s="1"/>
      <c r="L13597" s="2"/>
    </row>
    <row r="13598" spans="1:12" x14ac:dyDescent="0.2">
      <c r="A13598"/>
      <c r="B13598"/>
      <c r="C13598"/>
      <c r="D13598"/>
      <c r="E13598"/>
      <c r="F13598"/>
      <c r="G13598"/>
      <c r="H13598"/>
      <c r="I13598"/>
      <c r="J13598"/>
      <c r="K13598" s="1"/>
      <c r="L13598" s="2"/>
    </row>
    <row r="13599" spans="1:12" x14ac:dyDescent="0.2">
      <c r="A13599"/>
      <c r="B13599"/>
      <c r="C13599"/>
      <c r="D13599"/>
      <c r="E13599"/>
      <c r="F13599"/>
      <c r="G13599"/>
      <c r="H13599"/>
      <c r="I13599"/>
      <c r="J13599"/>
      <c r="K13599" s="1"/>
      <c r="L13599" s="2"/>
    </row>
    <row r="13600" spans="1:12" x14ac:dyDescent="0.2">
      <c r="A13600"/>
      <c r="B13600"/>
      <c r="C13600"/>
      <c r="D13600"/>
      <c r="E13600"/>
      <c r="F13600"/>
      <c r="G13600"/>
      <c r="H13600"/>
      <c r="I13600"/>
      <c r="J13600"/>
      <c r="K13600" s="1"/>
      <c r="L13600" s="2"/>
    </row>
    <row r="13601" spans="1:12" x14ac:dyDescent="0.2">
      <c r="A13601"/>
      <c r="B13601"/>
      <c r="C13601"/>
      <c r="D13601"/>
      <c r="E13601"/>
      <c r="F13601"/>
      <c r="G13601"/>
      <c r="H13601"/>
      <c r="I13601"/>
      <c r="J13601"/>
      <c r="K13601" s="1"/>
      <c r="L13601" s="2"/>
    </row>
    <row r="13602" spans="1:12" x14ac:dyDescent="0.2">
      <c r="A13602"/>
      <c r="B13602"/>
      <c r="C13602"/>
      <c r="D13602"/>
      <c r="E13602"/>
      <c r="F13602"/>
      <c r="G13602"/>
      <c r="H13602"/>
      <c r="I13602"/>
      <c r="J13602"/>
      <c r="K13602" s="1"/>
      <c r="L13602" s="2"/>
    </row>
    <row r="13603" spans="1:12" x14ac:dyDescent="0.2">
      <c r="A13603"/>
      <c r="B13603"/>
      <c r="C13603"/>
      <c r="D13603"/>
      <c r="E13603"/>
      <c r="F13603"/>
      <c r="G13603"/>
      <c r="H13603"/>
      <c r="I13603"/>
      <c r="J13603"/>
      <c r="K13603" s="1"/>
      <c r="L13603" s="2"/>
    </row>
    <row r="13604" spans="1:12" x14ac:dyDescent="0.2">
      <c r="A13604"/>
      <c r="B13604"/>
      <c r="C13604"/>
      <c r="D13604"/>
      <c r="E13604"/>
      <c r="F13604"/>
      <c r="G13604"/>
      <c r="H13604"/>
      <c r="I13604"/>
      <c r="J13604"/>
      <c r="K13604" s="1"/>
      <c r="L13604" s="2"/>
    </row>
    <row r="13605" spans="1:12" x14ac:dyDescent="0.2">
      <c r="A13605"/>
      <c r="B13605"/>
      <c r="C13605"/>
      <c r="D13605"/>
      <c r="E13605"/>
      <c r="F13605"/>
      <c r="G13605"/>
      <c r="H13605"/>
      <c r="I13605"/>
      <c r="J13605"/>
      <c r="K13605" s="1"/>
      <c r="L13605" s="2"/>
    </row>
    <row r="13606" spans="1:12" x14ac:dyDescent="0.2">
      <c r="A13606"/>
      <c r="B13606"/>
      <c r="C13606"/>
      <c r="D13606"/>
      <c r="E13606"/>
      <c r="F13606"/>
      <c r="G13606"/>
      <c r="H13606"/>
      <c r="I13606"/>
      <c r="J13606"/>
      <c r="K13606" s="1"/>
      <c r="L13606" s="2"/>
    </row>
    <row r="13607" spans="1:12" x14ac:dyDescent="0.2">
      <c r="A13607"/>
      <c r="B13607"/>
      <c r="C13607"/>
      <c r="D13607"/>
      <c r="E13607"/>
      <c r="F13607"/>
      <c r="G13607"/>
      <c r="H13607"/>
      <c r="I13607"/>
      <c r="J13607"/>
      <c r="K13607" s="1"/>
      <c r="L13607" s="2"/>
    </row>
    <row r="13608" spans="1:12" x14ac:dyDescent="0.2">
      <c r="A13608"/>
      <c r="B13608"/>
      <c r="C13608"/>
      <c r="D13608"/>
      <c r="E13608"/>
      <c r="F13608"/>
      <c r="G13608"/>
      <c r="H13608"/>
      <c r="I13608"/>
      <c r="J13608"/>
      <c r="K13608" s="1"/>
      <c r="L13608" s="2"/>
    </row>
    <row r="13609" spans="1:12" x14ac:dyDescent="0.2">
      <c r="A13609"/>
      <c r="B13609"/>
      <c r="C13609"/>
      <c r="D13609"/>
      <c r="E13609"/>
      <c r="F13609"/>
      <c r="G13609"/>
      <c r="H13609"/>
      <c r="I13609"/>
      <c r="J13609"/>
      <c r="K13609" s="1"/>
      <c r="L13609" s="2"/>
    </row>
    <row r="13610" spans="1:12" x14ac:dyDescent="0.2">
      <c r="A13610"/>
      <c r="B13610"/>
      <c r="C13610"/>
      <c r="D13610"/>
      <c r="E13610"/>
      <c r="F13610"/>
      <c r="G13610"/>
      <c r="H13610"/>
      <c r="I13610"/>
      <c r="J13610"/>
      <c r="K13610" s="1"/>
      <c r="L13610" s="2"/>
    </row>
    <row r="13611" spans="1:12" x14ac:dyDescent="0.2">
      <c r="A13611"/>
      <c r="B13611"/>
      <c r="C13611"/>
      <c r="D13611"/>
      <c r="E13611"/>
      <c r="F13611"/>
      <c r="G13611"/>
      <c r="H13611"/>
      <c r="I13611"/>
      <c r="J13611"/>
      <c r="K13611" s="1"/>
      <c r="L13611" s="2"/>
    </row>
    <row r="13612" spans="1:12" x14ac:dyDescent="0.2">
      <c r="A13612"/>
      <c r="B13612"/>
      <c r="C13612"/>
      <c r="D13612"/>
      <c r="E13612"/>
      <c r="F13612"/>
      <c r="G13612"/>
      <c r="H13612"/>
      <c r="I13612"/>
      <c r="J13612"/>
      <c r="K13612" s="1"/>
      <c r="L13612" s="2"/>
    </row>
    <row r="13613" spans="1:12" x14ac:dyDescent="0.2">
      <c r="A13613"/>
      <c r="B13613"/>
      <c r="C13613"/>
      <c r="D13613"/>
      <c r="E13613"/>
      <c r="F13613"/>
      <c r="G13613"/>
      <c r="H13613"/>
      <c r="I13613"/>
      <c r="J13613"/>
      <c r="K13613" s="1"/>
      <c r="L13613" s="2"/>
    </row>
    <row r="13614" spans="1:12" x14ac:dyDescent="0.2">
      <c r="A13614"/>
      <c r="B13614"/>
      <c r="C13614"/>
      <c r="D13614"/>
      <c r="E13614"/>
      <c r="F13614"/>
      <c r="G13614"/>
      <c r="H13614"/>
      <c r="I13614"/>
      <c r="J13614"/>
      <c r="K13614" s="1"/>
      <c r="L13614" s="2"/>
    </row>
    <row r="13615" spans="1:12" x14ac:dyDescent="0.2">
      <c r="A13615"/>
      <c r="B13615"/>
      <c r="C13615"/>
      <c r="D13615"/>
      <c r="E13615"/>
      <c r="F13615"/>
      <c r="G13615"/>
      <c r="H13615"/>
      <c r="I13615"/>
      <c r="J13615"/>
      <c r="K13615" s="1"/>
      <c r="L13615" s="2"/>
    </row>
    <row r="13616" spans="1:12" x14ac:dyDescent="0.2">
      <c r="A13616"/>
      <c r="B13616"/>
      <c r="C13616"/>
      <c r="D13616"/>
      <c r="E13616"/>
      <c r="F13616"/>
      <c r="G13616"/>
      <c r="H13616"/>
      <c r="I13616"/>
      <c r="J13616"/>
      <c r="K13616" s="1"/>
      <c r="L13616" s="2"/>
    </row>
    <row r="13617" spans="1:12" x14ac:dyDescent="0.2">
      <c r="A13617"/>
      <c r="B13617"/>
      <c r="C13617"/>
      <c r="D13617"/>
      <c r="E13617"/>
      <c r="F13617"/>
      <c r="G13617"/>
      <c r="H13617"/>
      <c r="I13617"/>
      <c r="J13617"/>
      <c r="K13617" s="1"/>
      <c r="L13617" s="2"/>
    </row>
    <row r="13618" spans="1:12" x14ac:dyDescent="0.2">
      <c r="A13618"/>
      <c r="B13618"/>
      <c r="C13618"/>
      <c r="D13618"/>
      <c r="E13618"/>
      <c r="F13618"/>
      <c r="G13618"/>
      <c r="H13618"/>
      <c r="I13618"/>
      <c r="J13618"/>
      <c r="K13618" s="1"/>
      <c r="L13618" s="2"/>
    </row>
    <row r="13619" spans="1:12" x14ac:dyDescent="0.2">
      <c r="A13619"/>
      <c r="B13619"/>
      <c r="C13619"/>
      <c r="D13619"/>
      <c r="E13619"/>
      <c r="F13619"/>
      <c r="G13619"/>
      <c r="H13619"/>
      <c r="I13619"/>
      <c r="J13619"/>
      <c r="K13619" s="1"/>
      <c r="L13619" s="2"/>
    </row>
    <row r="13620" spans="1:12" x14ac:dyDescent="0.2">
      <c r="A13620"/>
      <c r="B13620"/>
      <c r="C13620"/>
      <c r="D13620"/>
      <c r="E13620"/>
      <c r="F13620"/>
      <c r="G13620"/>
      <c r="H13620"/>
      <c r="I13620"/>
      <c r="J13620"/>
      <c r="K13620" s="1"/>
      <c r="L13620" s="2"/>
    </row>
    <row r="13621" spans="1:12" x14ac:dyDescent="0.2">
      <c r="A13621"/>
      <c r="B13621"/>
      <c r="C13621"/>
      <c r="D13621"/>
      <c r="E13621"/>
      <c r="F13621"/>
      <c r="G13621"/>
      <c r="H13621"/>
      <c r="I13621"/>
      <c r="J13621"/>
      <c r="K13621" s="1"/>
      <c r="L13621" s="2"/>
    </row>
    <row r="13622" spans="1:12" x14ac:dyDescent="0.2">
      <c r="A13622"/>
      <c r="B13622"/>
      <c r="C13622"/>
      <c r="D13622"/>
      <c r="E13622"/>
      <c r="F13622"/>
      <c r="G13622"/>
      <c r="H13622"/>
      <c r="I13622"/>
      <c r="J13622"/>
      <c r="K13622" s="1"/>
      <c r="L13622" s="2"/>
    </row>
    <row r="13623" spans="1:12" x14ac:dyDescent="0.2">
      <c r="A13623"/>
      <c r="B13623"/>
      <c r="C13623"/>
      <c r="D13623"/>
      <c r="E13623"/>
      <c r="F13623"/>
      <c r="G13623"/>
      <c r="H13623"/>
      <c r="I13623"/>
      <c r="J13623"/>
      <c r="K13623" s="1"/>
      <c r="L13623" s="2"/>
    </row>
    <row r="13624" spans="1:12" x14ac:dyDescent="0.2">
      <c r="A13624"/>
      <c r="B13624"/>
      <c r="C13624"/>
      <c r="D13624"/>
      <c r="E13624"/>
      <c r="F13624"/>
      <c r="G13624"/>
      <c r="H13624"/>
      <c r="I13624"/>
      <c r="J13624"/>
      <c r="K13624" s="1"/>
      <c r="L13624" s="2"/>
    </row>
    <row r="13625" spans="1:12" x14ac:dyDescent="0.2">
      <c r="A13625"/>
      <c r="B13625"/>
      <c r="C13625"/>
      <c r="D13625"/>
      <c r="E13625"/>
      <c r="F13625"/>
      <c r="G13625"/>
      <c r="H13625"/>
      <c r="I13625"/>
      <c r="J13625"/>
      <c r="K13625" s="1"/>
      <c r="L13625" s="2"/>
    </row>
    <row r="13626" spans="1:12" x14ac:dyDescent="0.2">
      <c r="A13626"/>
      <c r="B13626"/>
      <c r="C13626"/>
      <c r="D13626"/>
      <c r="E13626"/>
      <c r="F13626"/>
      <c r="G13626"/>
      <c r="H13626"/>
      <c r="I13626"/>
      <c r="J13626"/>
      <c r="K13626" s="1"/>
      <c r="L13626" s="2"/>
    </row>
    <row r="13627" spans="1:12" x14ac:dyDescent="0.2">
      <c r="A13627"/>
      <c r="B13627"/>
      <c r="C13627"/>
      <c r="D13627"/>
      <c r="E13627"/>
      <c r="F13627"/>
      <c r="G13627"/>
      <c r="H13627"/>
      <c r="I13627"/>
      <c r="J13627"/>
      <c r="K13627" s="1"/>
      <c r="L13627" s="2"/>
    </row>
    <row r="13628" spans="1:12" x14ac:dyDescent="0.2">
      <c r="A13628"/>
      <c r="B13628"/>
      <c r="C13628"/>
      <c r="D13628"/>
      <c r="E13628"/>
      <c r="F13628"/>
      <c r="G13628"/>
      <c r="H13628"/>
      <c r="I13628"/>
      <c r="J13628"/>
      <c r="K13628" s="1"/>
      <c r="L13628" s="2"/>
    </row>
    <row r="13629" spans="1:12" x14ac:dyDescent="0.2">
      <c r="A13629"/>
      <c r="B13629"/>
      <c r="C13629"/>
      <c r="D13629"/>
      <c r="E13629"/>
      <c r="F13629"/>
      <c r="G13629"/>
      <c r="H13629"/>
      <c r="I13629"/>
      <c r="J13629"/>
      <c r="K13629" s="1"/>
      <c r="L13629" s="2"/>
    </row>
    <row r="13630" spans="1:12" x14ac:dyDescent="0.2">
      <c r="A13630"/>
      <c r="B13630"/>
      <c r="C13630"/>
      <c r="D13630"/>
      <c r="E13630"/>
      <c r="F13630"/>
      <c r="G13630"/>
      <c r="H13630"/>
      <c r="I13630"/>
      <c r="J13630"/>
      <c r="K13630" s="1"/>
      <c r="L13630" s="2"/>
    </row>
    <row r="13631" spans="1:12" x14ac:dyDescent="0.2">
      <c r="A13631"/>
      <c r="B13631"/>
      <c r="C13631"/>
      <c r="D13631"/>
      <c r="E13631"/>
      <c r="F13631"/>
      <c r="G13631"/>
      <c r="H13631"/>
      <c r="I13631"/>
      <c r="J13631"/>
      <c r="K13631" s="1"/>
      <c r="L13631" s="2"/>
    </row>
    <row r="13632" spans="1:12" x14ac:dyDescent="0.2">
      <c r="A13632"/>
      <c r="B13632"/>
      <c r="C13632"/>
      <c r="D13632"/>
      <c r="E13632"/>
      <c r="F13632"/>
      <c r="G13632"/>
      <c r="H13632"/>
      <c r="I13632"/>
      <c r="J13632"/>
      <c r="K13632" s="1"/>
      <c r="L13632" s="2"/>
    </row>
    <row r="13633" spans="1:12" x14ac:dyDescent="0.2">
      <c r="A13633"/>
      <c r="B13633"/>
      <c r="C13633"/>
      <c r="D13633"/>
      <c r="E13633"/>
      <c r="F13633"/>
      <c r="G13633"/>
      <c r="H13633"/>
      <c r="I13633"/>
      <c r="J13633"/>
      <c r="K13633" s="1"/>
      <c r="L13633" s="2"/>
    </row>
    <row r="13634" spans="1:12" x14ac:dyDescent="0.2">
      <c r="A13634"/>
      <c r="B13634"/>
      <c r="C13634"/>
      <c r="D13634"/>
      <c r="E13634"/>
      <c r="F13634"/>
      <c r="G13634"/>
      <c r="H13634"/>
      <c r="I13634"/>
      <c r="J13634"/>
      <c r="K13634" s="1"/>
      <c r="L13634" s="2"/>
    </row>
    <row r="13635" spans="1:12" x14ac:dyDescent="0.2">
      <c r="A13635"/>
      <c r="B13635"/>
      <c r="C13635"/>
      <c r="D13635"/>
      <c r="E13635"/>
      <c r="F13635"/>
      <c r="G13635"/>
      <c r="H13635"/>
      <c r="I13635"/>
      <c r="J13635"/>
      <c r="K13635" s="1"/>
      <c r="L13635" s="2"/>
    </row>
    <row r="13636" spans="1:12" x14ac:dyDescent="0.2">
      <c r="A13636"/>
      <c r="B13636"/>
      <c r="C13636"/>
      <c r="D13636"/>
      <c r="E13636"/>
      <c r="F13636"/>
      <c r="G13636"/>
      <c r="H13636"/>
      <c r="I13636"/>
      <c r="J13636"/>
      <c r="K13636" s="1"/>
      <c r="L13636" s="2"/>
    </row>
    <row r="13637" spans="1:12" x14ac:dyDescent="0.2">
      <c r="A13637"/>
      <c r="B13637"/>
      <c r="C13637"/>
      <c r="D13637"/>
      <c r="E13637"/>
      <c r="F13637"/>
      <c r="G13637"/>
      <c r="H13637"/>
      <c r="I13637"/>
      <c r="J13637"/>
      <c r="K13637" s="1"/>
      <c r="L13637" s="2"/>
    </row>
    <row r="13638" spans="1:12" x14ac:dyDescent="0.2">
      <c r="A13638"/>
      <c r="B13638"/>
      <c r="C13638"/>
      <c r="D13638"/>
      <c r="E13638"/>
      <c r="F13638"/>
      <c r="G13638"/>
      <c r="H13638"/>
      <c r="I13638"/>
      <c r="J13638"/>
      <c r="K13638" s="1"/>
      <c r="L13638" s="2"/>
    </row>
    <row r="13639" spans="1:12" x14ac:dyDescent="0.2">
      <c r="A13639"/>
      <c r="B13639"/>
      <c r="C13639"/>
      <c r="D13639"/>
      <c r="E13639"/>
      <c r="F13639"/>
      <c r="G13639"/>
      <c r="H13639"/>
      <c r="I13639"/>
      <c r="J13639"/>
      <c r="K13639" s="1"/>
      <c r="L13639" s="2"/>
    </row>
    <row r="13640" spans="1:12" x14ac:dyDescent="0.2">
      <c r="A13640"/>
      <c r="B13640"/>
      <c r="C13640"/>
      <c r="D13640"/>
      <c r="E13640"/>
      <c r="F13640"/>
      <c r="G13640"/>
      <c r="H13640"/>
      <c r="I13640"/>
      <c r="J13640"/>
      <c r="K13640" s="1"/>
      <c r="L13640" s="2"/>
    </row>
    <row r="13641" spans="1:12" x14ac:dyDescent="0.2">
      <c r="A13641"/>
      <c r="B13641"/>
      <c r="C13641"/>
      <c r="D13641"/>
      <c r="E13641"/>
      <c r="F13641"/>
      <c r="G13641"/>
      <c r="H13641"/>
      <c r="I13641"/>
      <c r="J13641"/>
      <c r="K13641" s="1"/>
      <c r="L13641" s="2"/>
    </row>
    <row r="13642" spans="1:12" x14ac:dyDescent="0.2">
      <c r="A13642"/>
      <c r="B13642"/>
      <c r="C13642"/>
      <c r="D13642"/>
      <c r="E13642"/>
      <c r="F13642"/>
      <c r="G13642"/>
      <c r="H13642"/>
      <c r="I13642"/>
      <c r="J13642"/>
      <c r="K13642" s="1"/>
      <c r="L13642" s="2"/>
    </row>
    <row r="13643" spans="1:12" x14ac:dyDescent="0.2">
      <c r="A13643"/>
      <c r="B13643"/>
      <c r="C13643"/>
      <c r="D13643"/>
      <c r="E13643"/>
      <c r="F13643"/>
      <c r="G13643"/>
      <c r="H13643"/>
      <c r="I13643"/>
      <c r="J13643"/>
      <c r="K13643" s="1"/>
      <c r="L13643" s="2"/>
    </row>
    <row r="13644" spans="1:12" x14ac:dyDescent="0.2">
      <c r="A13644"/>
      <c r="B13644"/>
      <c r="C13644"/>
      <c r="D13644"/>
      <c r="E13644"/>
      <c r="F13644"/>
      <c r="G13644"/>
      <c r="H13644"/>
      <c r="I13644"/>
      <c r="J13644"/>
      <c r="K13644" s="1"/>
      <c r="L13644" s="2"/>
    </row>
    <row r="13645" spans="1:12" x14ac:dyDescent="0.2">
      <c r="A13645"/>
      <c r="B13645"/>
      <c r="C13645"/>
      <c r="D13645"/>
      <c r="E13645"/>
      <c r="F13645"/>
      <c r="G13645"/>
      <c r="H13645"/>
      <c r="I13645"/>
      <c r="J13645"/>
      <c r="K13645" s="1"/>
      <c r="L13645" s="2"/>
    </row>
    <row r="13646" spans="1:12" x14ac:dyDescent="0.2">
      <c r="A13646"/>
      <c r="B13646"/>
      <c r="C13646"/>
      <c r="D13646"/>
      <c r="E13646"/>
      <c r="F13646"/>
      <c r="G13646"/>
      <c r="H13646"/>
      <c r="I13646"/>
      <c r="J13646"/>
      <c r="K13646" s="1"/>
      <c r="L13646" s="2"/>
    </row>
    <row r="13647" spans="1:12" x14ac:dyDescent="0.2">
      <c r="A13647"/>
      <c r="B13647"/>
      <c r="C13647"/>
      <c r="D13647"/>
      <c r="E13647"/>
      <c r="F13647"/>
      <c r="G13647"/>
      <c r="H13647"/>
      <c r="I13647"/>
      <c r="J13647"/>
      <c r="K13647" s="1"/>
      <c r="L13647" s="2"/>
    </row>
    <row r="13648" spans="1:12" x14ac:dyDescent="0.2">
      <c r="A13648"/>
      <c r="B13648"/>
      <c r="C13648"/>
      <c r="D13648"/>
      <c r="E13648"/>
      <c r="F13648"/>
      <c r="G13648"/>
      <c r="H13648"/>
      <c r="I13648"/>
      <c r="J13648"/>
      <c r="K13648" s="1"/>
      <c r="L13648" s="2"/>
    </row>
    <row r="13649" spans="1:12" x14ac:dyDescent="0.2">
      <c r="A13649"/>
      <c r="B13649"/>
      <c r="C13649"/>
      <c r="D13649"/>
      <c r="E13649"/>
      <c r="F13649"/>
      <c r="G13649"/>
      <c r="H13649"/>
      <c r="I13649"/>
      <c r="J13649"/>
      <c r="K13649" s="1"/>
      <c r="L13649" s="2"/>
    </row>
    <row r="13650" spans="1:12" x14ac:dyDescent="0.2">
      <c r="A13650"/>
      <c r="B13650"/>
      <c r="C13650"/>
      <c r="D13650"/>
      <c r="E13650"/>
      <c r="F13650"/>
      <c r="G13650"/>
      <c r="H13650"/>
      <c r="I13650"/>
      <c r="J13650"/>
      <c r="K13650" s="1"/>
      <c r="L13650" s="2"/>
    </row>
    <row r="13651" spans="1:12" x14ac:dyDescent="0.2">
      <c r="A13651"/>
      <c r="B13651"/>
      <c r="C13651"/>
      <c r="D13651"/>
      <c r="E13651"/>
      <c r="F13651"/>
      <c r="G13651"/>
      <c r="H13651"/>
      <c r="I13651"/>
      <c r="J13651"/>
      <c r="K13651" s="1"/>
      <c r="L13651" s="2"/>
    </row>
    <row r="13652" spans="1:12" x14ac:dyDescent="0.2">
      <c r="A13652"/>
      <c r="B13652"/>
      <c r="C13652"/>
      <c r="D13652"/>
      <c r="E13652"/>
      <c r="F13652"/>
      <c r="G13652"/>
      <c r="H13652"/>
      <c r="I13652"/>
      <c r="J13652"/>
      <c r="K13652" s="1"/>
      <c r="L13652" s="2"/>
    </row>
    <row r="13653" spans="1:12" x14ac:dyDescent="0.2">
      <c r="A13653"/>
      <c r="B13653"/>
      <c r="C13653"/>
      <c r="D13653"/>
      <c r="E13653"/>
      <c r="F13653"/>
      <c r="G13653"/>
      <c r="H13653"/>
      <c r="I13653"/>
      <c r="J13653"/>
      <c r="K13653" s="1"/>
      <c r="L13653" s="2"/>
    </row>
    <row r="13654" spans="1:12" x14ac:dyDescent="0.2">
      <c r="A13654"/>
      <c r="B13654"/>
      <c r="C13654"/>
      <c r="D13654"/>
      <c r="E13654"/>
      <c r="F13654"/>
      <c r="G13654"/>
      <c r="H13654"/>
      <c r="I13654"/>
      <c r="J13654"/>
      <c r="K13654" s="1"/>
      <c r="L13654" s="2"/>
    </row>
    <row r="13655" spans="1:12" x14ac:dyDescent="0.2">
      <c r="A13655"/>
      <c r="B13655"/>
      <c r="C13655"/>
      <c r="D13655"/>
      <c r="E13655"/>
      <c r="F13655"/>
      <c r="G13655"/>
      <c r="H13655"/>
      <c r="I13655"/>
      <c r="J13655"/>
      <c r="K13655" s="1"/>
      <c r="L13655" s="2"/>
    </row>
    <row r="13656" spans="1:12" x14ac:dyDescent="0.2">
      <c r="A13656"/>
      <c r="B13656"/>
      <c r="C13656"/>
      <c r="D13656"/>
      <c r="E13656"/>
      <c r="F13656"/>
      <c r="G13656"/>
      <c r="H13656"/>
      <c r="I13656"/>
      <c r="J13656"/>
      <c r="K13656" s="1"/>
      <c r="L13656" s="2"/>
    </row>
    <row r="13657" spans="1:12" x14ac:dyDescent="0.2">
      <c r="A13657"/>
      <c r="B13657"/>
      <c r="C13657"/>
      <c r="D13657"/>
      <c r="E13657"/>
      <c r="F13657"/>
      <c r="G13657"/>
      <c r="H13657"/>
      <c r="I13657"/>
      <c r="J13657"/>
      <c r="K13657" s="1"/>
      <c r="L13657" s="2"/>
    </row>
    <row r="13658" spans="1:12" x14ac:dyDescent="0.2">
      <c r="A13658"/>
      <c r="B13658"/>
      <c r="C13658"/>
      <c r="D13658"/>
      <c r="E13658"/>
      <c r="F13658"/>
      <c r="G13658"/>
      <c r="H13658"/>
      <c r="I13658"/>
      <c r="J13658"/>
      <c r="K13658" s="1"/>
      <c r="L13658" s="2"/>
    </row>
    <row r="13659" spans="1:12" x14ac:dyDescent="0.2">
      <c r="A13659"/>
      <c r="B13659"/>
      <c r="C13659"/>
      <c r="D13659"/>
      <c r="E13659"/>
      <c r="F13659"/>
      <c r="G13659"/>
      <c r="H13659"/>
      <c r="I13659"/>
      <c r="J13659"/>
      <c r="K13659" s="1"/>
      <c r="L13659" s="2"/>
    </row>
    <row r="13660" spans="1:12" x14ac:dyDescent="0.2">
      <c r="A13660"/>
      <c r="B13660"/>
      <c r="C13660"/>
      <c r="D13660"/>
      <c r="E13660"/>
      <c r="F13660"/>
      <c r="G13660"/>
      <c r="H13660"/>
      <c r="I13660"/>
      <c r="J13660"/>
      <c r="K13660" s="1"/>
      <c r="L13660" s="2"/>
    </row>
    <row r="13661" spans="1:12" x14ac:dyDescent="0.2">
      <c r="A13661"/>
      <c r="B13661"/>
      <c r="C13661"/>
      <c r="D13661"/>
      <c r="E13661"/>
      <c r="F13661"/>
      <c r="G13661"/>
      <c r="H13661"/>
      <c r="I13661"/>
      <c r="J13661"/>
      <c r="K13661" s="1"/>
      <c r="L13661" s="2"/>
    </row>
    <row r="13662" spans="1:12" x14ac:dyDescent="0.2">
      <c r="A13662"/>
      <c r="B13662"/>
      <c r="C13662"/>
      <c r="D13662"/>
      <c r="E13662"/>
      <c r="F13662"/>
      <c r="G13662"/>
      <c r="H13662"/>
      <c r="I13662"/>
      <c r="J13662"/>
      <c r="K13662" s="1"/>
      <c r="L13662" s="2"/>
    </row>
    <row r="13663" spans="1:12" x14ac:dyDescent="0.2">
      <c r="A13663"/>
      <c r="B13663"/>
      <c r="C13663"/>
      <c r="D13663"/>
      <c r="E13663"/>
      <c r="F13663"/>
      <c r="G13663"/>
      <c r="H13663"/>
      <c r="I13663"/>
      <c r="J13663"/>
      <c r="K13663" s="1"/>
      <c r="L13663" s="2"/>
    </row>
    <row r="13664" spans="1:12" x14ac:dyDescent="0.2">
      <c r="A13664"/>
      <c r="B13664"/>
      <c r="C13664"/>
      <c r="D13664"/>
      <c r="E13664"/>
      <c r="F13664"/>
      <c r="G13664"/>
      <c r="H13664"/>
      <c r="I13664"/>
      <c r="J13664"/>
      <c r="K13664" s="1"/>
      <c r="L13664" s="2"/>
    </row>
    <row r="13665" spans="1:12" x14ac:dyDescent="0.2">
      <c r="A13665"/>
      <c r="B13665"/>
      <c r="C13665"/>
      <c r="D13665"/>
      <c r="E13665"/>
      <c r="F13665"/>
      <c r="G13665"/>
      <c r="H13665"/>
      <c r="I13665"/>
      <c r="J13665"/>
      <c r="K13665" s="1"/>
      <c r="L13665" s="2"/>
    </row>
    <row r="13666" spans="1:12" x14ac:dyDescent="0.2">
      <c r="A13666"/>
      <c r="B13666"/>
      <c r="C13666"/>
      <c r="D13666"/>
      <c r="E13666"/>
      <c r="F13666"/>
      <c r="G13666"/>
      <c r="H13666"/>
      <c r="I13666"/>
      <c r="J13666"/>
      <c r="K13666" s="1"/>
      <c r="L13666" s="2"/>
    </row>
    <row r="13667" spans="1:12" x14ac:dyDescent="0.2">
      <c r="A13667"/>
      <c r="B13667"/>
      <c r="C13667"/>
      <c r="D13667"/>
      <c r="E13667"/>
      <c r="F13667"/>
      <c r="G13667"/>
      <c r="H13667"/>
      <c r="I13667"/>
      <c r="J13667"/>
      <c r="K13667" s="1"/>
      <c r="L13667" s="2"/>
    </row>
    <row r="13668" spans="1:12" x14ac:dyDescent="0.2">
      <c r="A13668"/>
      <c r="B13668"/>
      <c r="C13668"/>
      <c r="D13668"/>
      <c r="E13668"/>
      <c r="F13668"/>
      <c r="G13668"/>
      <c r="H13668"/>
      <c r="I13668"/>
      <c r="J13668"/>
      <c r="K13668" s="1"/>
      <c r="L13668" s="2"/>
    </row>
    <row r="13669" spans="1:12" x14ac:dyDescent="0.2">
      <c r="A13669"/>
      <c r="B13669"/>
      <c r="C13669"/>
      <c r="D13669"/>
      <c r="E13669"/>
      <c r="F13669"/>
      <c r="G13669"/>
      <c r="H13669"/>
      <c r="I13669"/>
      <c r="J13669"/>
      <c r="K13669" s="1"/>
      <c r="L13669" s="2"/>
    </row>
    <row r="13670" spans="1:12" x14ac:dyDescent="0.2">
      <c r="A13670"/>
      <c r="B13670"/>
      <c r="C13670"/>
      <c r="D13670"/>
      <c r="E13670"/>
      <c r="F13670"/>
      <c r="G13670"/>
      <c r="H13670"/>
      <c r="I13670"/>
      <c r="J13670"/>
      <c r="K13670" s="1"/>
      <c r="L13670" s="2"/>
    </row>
    <row r="13671" spans="1:12" x14ac:dyDescent="0.2">
      <c r="A13671"/>
      <c r="B13671"/>
      <c r="C13671"/>
      <c r="D13671"/>
      <c r="E13671"/>
      <c r="F13671"/>
      <c r="G13671"/>
      <c r="H13671"/>
      <c r="I13671"/>
      <c r="J13671"/>
      <c r="K13671" s="1"/>
      <c r="L13671" s="2"/>
    </row>
    <row r="13672" spans="1:12" x14ac:dyDescent="0.2">
      <c r="A13672"/>
      <c r="B13672"/>
      <c r="C13672"/>
      <c r="D13672"/>
      <c r="E13672"/>
      <c r="F13672"/>
      <c r="G13672"/>
      <c r="H13672"/>
      <c r="I13672"/>
      <c r="J13672"/>
      <c r="K13672" s="1"/>
      <c r="L13672" s="2"/>
    </row>
    <row r="13673" spans="1:12" x14ac:dyDescent="0.2">
      <c r="A13673"/>
      <c r="B13673"/>
      <c r="C13673"/>
      <c r="D13673"/>
      <c r="E13673"/>
      <c r="F13673"/>
      <c r="G13673"/>
      <c r="H13673"/>
      <c r="I13673"/>
      <c r="J13673"/>
      <c r="K13673" s="1"/>
      <c r="L13673" s="2"/>
    </row>
    <row r="13674" spans="1:12" x14ac:dyDescent="0.2">
      <c r="A13674"/>
      <c r="B13674"/>
      <c r="C13674"/>
      <c r="D13674"/>
      <c r="E13674"/>
      <c r="F13674"/>
      <c r="G13674"/>
      <c r="H13674"/>
      <c r="I13674"/>
      <c r="J13674"/>
      <c r="K13674" s="1"/>
      <c r="L13674" s="2"/>
    </row>
    <row r="13675" spans="1:12" x14ac:dyDescent="0.2">
      <c r="A13675"/>
      <c r="B13675"/>
      <c r="C13675"/>
      <c r="D13675"/>
      <c r="E13675"/>
      <c r="F13675"/>
      <c r="G13675"/>
      <c r="H13675"/>
      <c r="I13675"/>
      <c r="J13675"/>
      <c r="K13675" s="1"/>
      <c r="L13675" s="2"/>
    </row>
    <row r="13676" spans="1:12" x14ac:dyDescent="0.2">
      <c r="A13676"/>
      <c r="B13676"/>
      <c r="C13676"/>
      <c r="D13676"/>
      <c r="E13676"/>
      <c r="F13676"/>
      <c r="G13676"/>
      <c r="H13676"/>
      <c r="I13676"/>
      <c r="J13676"/>
      <c r="K13676" s="1"/>
      <c r="L13676" s="2"/>
    </row>
    <row r="13677" spans="1:12" x14ac:dyDescent="0.2">
      <c r="A13677"/>
      <c r="B13677"/>
      <c r="C13677"/>
      <c r="D13677"/>
      <c r="E13677"/>
      <c r="F13677"/>
      <c r="G13677"/>
      <c r="H13677"/>
      <c r="I13677"/>
      <c r="J13677"/>
      <c r="K13677" s="1"/>
      <c r="L13677" s="2"/>
    </row>
    <row r="13678" spans="1:12" x14ac:dyDescent="0.2">
      <c r="A13678"/>
      <c r="B13678"/>
      <c r="C13678"/>
      <c r="D13678"/>
      <c r="E13678"/>
      <c r="F13678"/>
      <c r="G13678"/>
      <c r="H13678"/>
      <c r="I13678"/>
      <c r="J13678"/>
      <c r="K13678" s="1"/>
      <c r="L13678" s="2"/>
    </row>
    <row r="13679" spans="1:12" x14ac:dyDescent="0.2">
      <c r="A13679"/>
      <c r="B13679"/>
      <c r="C13679"/>
      <c r="D13679"/>
      <c r="E13679"/>
      <c r="F13679"/>
      <c r="G13679"/>
      <c r="H13679"/>
      <c r="I13679"/>
      <c r="J13679"/>
      <c r="K13679" s="1"/>
      <c r="L13679" s="2"/>
    </row>
    <row r="13680" spans="1:12" x14ac:dyDescent="0.2">
      <c r="A13680"/>
      <c r="B13680"/>
      <c r="C13680"/>
      <c r="D13680"/>
      <c r="E13680"/>
      <c r="F13680"/>
      <c r="G13680"/>
      <c r="H13680"/>
      <c r="I13680"/>
      <c r="J13680"/>
      <c r="K13680" s="1"/>
      <c r="L13680" s="2"/>
    </row>
    <row r="13681" spans="1:12" x14ac:dyDescent="0.2">
      <c r="A13681"/>
      <c r="B13681"/>
      <c r="C13681"/>
      <c r="D13681"/>
      <c r="E13681"/>
      <c r="F13681"/>
      <c r="G13681"/>
      <c r="H13681"/>
      <c r="I13681"/>
      <c r="J13681"/>
      <c r="K13681" s="1"/>
      <c r="L13681" s="2"/>
    </row>
    <row r="13682" spans="1:12" x14ac:dyDescent="0.2">
      <c r="A13682"/>
      <c r="B13682"/>
      <c r="C13682"/>
      <c r="D13682"/>
      <c r="E13682"/>
      <c r="F13682"/>
      <c r="G13682"/>
      <c r="H13682"/>
      <c r="I13682"/>
      <c r="J13682"/>
      <c r="K13682" s="1"/>
      <c r="L13682" s="2"/>
    </row>
    <row r="13683" spans="1:12" x14ac:dyDescent="0.2">
      <c r="A13683"/>
      <c r="B13683"/>
      <c r="C13683"/>
      <c r="D13683"/>
      <c r="E13683"/>
      <c r="F13683"/>
      <c r="G13683"/>
      <c r="H13683"/>
      <c r="I13683"/>
      <c r="J13683"/>
      <c r="K13683" s="1"/>
      <c r="L13683" s="2"/>
    </row>
    <row r="13684" spans="1:12" x14ac:dyDescent="0.2">
      <c r="A13684"/>
      <c r="B13684"/>
      <c r="C13684"/>
      <c r="D13684"/>
      <c r="E13684"/>
      <c r="F13684"/>
      <c r="G13684"/>
      <c r="H13684"/>
      <c r="I13684"/>
      <c r="J13684"/>
      <c r="K13684" s="1"/>
      <c r="L13684" s="2"/>
    </row>
    <row r="13685" spans="1:12" x14ac:dyDescent="0.2">
      <c r="A13685"/>
      <c r="B13685"/>
      <c r="C13685"/>
      <c r="D13685"/>
      <c r="E13685"/>
      <c r="F13685"/>
      <c r="G13685"/>
      <c r="H13685"/>
      <c r="I13685"/>
      <c r="J13685"/>
      <c r="K13685" s="1"/>
      <c r="L13685" s="2"/>
    </row>
    <row r="13686" spans="1:12" x14ac:dyDescent="0.2">
      <c r="A13686"/>
      <c r="B13686"/>
      <c r="C13686"/>
      <c r="D13686"/>
      <c r="E13686"/>
      <c r="F13686"/>
      <c r="G13686"/>
      <c r="H13686"/>
      <c r="I13686"/>
      <c r="J13686"/>
      <c r="K13686" s="1"/>
      <c r="L13686" s="2"/>
    </row>
    <row r="13687" spans="1:12" x14ac:dyDescent="0.2">
      <c r="A13687"/>
      <c r="B13687"/>
      <c r="C13687"/>
      <c r="D13687"/>
      <c r="E13687"/>
      <c r="F13687"/>
      <c r="G13687"/>
      <c r="H13687"/>
      <c r="I13687"/>
      <c r="J13687"/>
      <c r="K13687" s="1"/>
      <c r="L13687" s="2"/>
    </row>
    <row r="13688" spans="1:12" x14ac:dyDescent="0.2">
      <c r="A13688"/>
      <c r="B13688"/>
      <c r="C13688"/>
      <c r="D13688"/>
      <c r="E13688"/>
      <c r="F13688"/>
      <c r="G13688"/>
      <c r="H13688"/>
      <c r="I13688"/>
      <c r="J13688"/>
      <c r="K13688" s="1"/>
      <c r="L13688" s="2"/>
    </row>
    <row r="13689" spans="1:12" x14ac:dyDescent="0.2">
      <c r="A13689"/>
      <c r="B13689"/>
      <c r="C13689"/>
      <c r="D13689"/>
      <c r="E13689"/>
      <c r="F13689"/>
      <c r="G13689"/>
      <c r="H13689"/>
      <c r="I13689"/>
      <c r="J13689"/>
      <c r="K13689" s="1"/>
      <c r="L13689" s="2"/>
    </row>
    <row r="13690" spans="1:12" x14ac:dyDescent="0.2">
      <c r="A13690"/>
      <c r="B13690"/>
      <c r="C13690"/>
      <c r="D13690"/>
      <c r="E13690"/>
      <c r="F13690"/>
      <c r="G13690"/>
      <c r="H13690"/>
      <c r="I13690"/>
      <c r="J13690"/>
      <c r="K13690" s="1"/>
      <c r="L13690" s="2"/>
    </row>
    <row r="13691" spans="1:12" x14ac:dyDescent="0.2">
      <c r="A13691"/>
      <c r="B13691"/>
      <c r="C13691"/>
      <c r="D13691"/>
      <c r="E13691"/>
      <c r="F13691"/>
      <c r="G13691"/>
      <c r="H13691"/>
      <c r="I13691"/>
      <c r="J13691"/>
      <c r="K13691" s="1"/>
      <c r="L13691" s="2"/>
    </row>
    <row r="13692" spans="1:12" x14ac:dyDescent="0.2">
      <c r="A13692"/>
      <c r="B13692"/>
      <c r="C13692"/>
      <c r="D13692"/>
      <c r="E13692"/>
      <c r="F13692"/>
      <c r="G13692"/>
      <c r="H13692"/>
      <c r="I13692"/>
      <c r="J13692"/>
      <c r="K13692" s="1"/>
      <c r="L13692" s="2"/>
    </row>
    <row r="13693" spans="1:12" x14ac:dyDescent="0.2">
      <c r="A13693"/>
      <c r="B13693"/>
      <c r="C13693"/>
      <c r="D13693"/>
      <c r="E13693"/>
      <c r="F13693"/>
      <c r="G13693"/>
      <c r="H13693"/>
      <c r="I13693"/>
      <c r="J13693"/>
      <c r="K13693" s="1"/>
      <c r="L13693" s="2"/>
    </row>
    <row r="13694" spans="1:12" x14ac:dyDescent="0.2">
      <c r="A13694"/>
      <c r="B13694"/>
      <c r="C13694"/>
      <c r="D13694"/>
      <c r="E13694"/>
      <c r="F13694"/>
      <c r="G13694"/>
      <c r="H13694"/>
      <c r="I13694"/>
      <c r="J13694"/>
      <c r="K13694" s="1"/>
      <c r="L13694" s="2"/>
    </row>
    <row r="13695" spans="1:12" x14ac:dyDescent="0.2">
      <c r="A13695"/>
      <c r="B13695"/>
      <c r="C13695"/>
      <c r="D13695"/>
      <c r="E13695"/>
      <c r="F13695"/>
      <c r="G13695"/>
      <c r="H13695"/>
      <c r="I13695"/>
      <c r="J13695"/>
      <c r="K13695" s="1"/>
      <c r="L13695" s="2"/>
    </row>
    <row r="13696" spans="1:12" x14ac:dyDescent="0.2">
      <c r="A13696"/>
      <c r="B13696"/>
      <c r="C13696"/>
      <c r="D13696"/>
      <c r="E13696"/>
      <c r="F13696"/>
      <c r="G13696"/>
      <c r="H13696"/>
      <c r="I13696"/>
      <c r="J13696"/>
      <c r="K13696" s="1"/>
      <c r="L13696" s="2"/>
    </row>
    <row r="13697" spans="1:12" x14ac:dyDescent="0.2">
      <c r="A13697"/>
      <c r="B13697"/>
      <c r="C13697"/>
      <c r="D13697"/>
      <c r="E13697"/>
      <c r="F13697"/>
      <c r="G13697"/>
      <c r="H13697"/>
      <c r="I13697"/>
      <c r="J13697"/>
      <c r="K13697" s="1"/>
      <c r="L13697" s="2"/>
    </row>
    <row r="13698" spans="1:12" x14ac:dyDescent="0.2">
      <c r="A13698"/>
      <c r="B13698"/>
      <c r="C13698"/>
      <c r="D13698"/>
      <c r="E13698"/>
      <c r="F13698"/>
      <c r="G13698"/>
      <c r="H13698"/>
      <c r="I13698"/>
      <c r="J13698"/>
      <c r="K13698" s="1"/>
      <c r="L13698" s="2"/>
    </row>
    <row r="13699" spans="1:12" x14ac:dyDescent="0.2">
      <c r="A13699"/>
      <c r="B13699"/>
      <c r="C13699"/>
      <c r="D13699"/>
      <c r="E13699"/>
      <c r="F13699"/>
      <c r="G13699"/>
      <c r="H13699"/>
      <c r="I13699"/>
      <c r="J13699"/>
      <c r="K13699" s="1"/>
      <c r="L13699" s="2"/>
    </row>
    <row r="13700" spans="1:12" x14ac:dyDescent="0.2">
      <c r="A13700"/>
      <c r="B13700"/>
      <c r="C13700"/>
      <c r="D13700"/>
      <c r="E13700"/>
      <c r="F13700"/>
      <c r="G13700"/>
      <c r="H13700"/>
      <c r="I13700"/>
      <c r="J13700"/>
      <c r="K13700" s="1"/>
      <c r="L13700" s="2"/>
    </row>
    <row r="13701" spans="1:12" x14ac:dyDescent="0.2">
      <c r="A13701"/>
      <c r="B13701"/>
      <c r="C13701"/>
      <c r="D13701"/>
      <c r="E13701"/>
      <c r="F13701"/>
      <c r="G13701"/>
      <c r="H13701"/>
      <c r="I13701"/>
      <c r="J13701"/>
      <c r="K13701" s="1"/>
      <c r="L13701" s="2"/>
    </row>
    <row r="13702" spans="1:12" x14ac:dyDescent="0.2">
      <c r="A13702"/>
      <c r="B13702"/>
      <c r="C13702"/>
      <c r="D13702"/>
      <c r="E13702"/>
      <c r="F13702"/>
      <c r="G13702"/>
      <c r="H13702"/>
      <c r="I13702"/>
      <c r="J13702"/>
      <c r="K13702" s="1"/>
      <c r="L13702" s="2"/>
    </row>
    <row r="13703" spans="1:12" x14ac:dyDescent="0.2">
      <c r="A13703"/>
      <c r="B13703"/>
      <c r="C13703"/>
      <c r="D13703"/>
      <c r="E13703"/>
      <c r="F13703"/>
      <c r="G13703"/>
      <c r="H13703"/>
      <c r="I13703"/>
      <c r="J13703"/>
      <c r="K13703" s="1"/>
      <c r="L13703" s="2"/>
    </row>
    <row r="13704" spans="1:12" x14ac:dyDescent="0.2">
      <c r="A13704"/>
      <c r="B13704"/>
      <c r="C13704"/>
      <c r="D13704"/>
      <c r="E13704"/>
      <c r="F13704"/>
      <c r="G13704"/>
      <c r="H13704"/>
      <c r="I13704"/>
      <c r="J13704"/>
      <c r="K13704" s="1"/>
      <c r="L13704" s="2"/>
    </row>
    <row r="13705" spans="1:12" x14ac:dyDescent="0.2">
      <c r="A13705"/>
      <c r="B13705"/>
      <c r="C13705"/>
      <c r="D13705"/>
      <c r="E13705"/>
      <c r="F13705"/>
      <c r="G13705"/>
      <c r="H13705"/>
      <c r="I13705"/>
      <c r="J13705"/>
      <c r="K13705" s="1"/>
      <c r="L13705" s="2"/>
    </row>
    <row r="13706" spans="1:12" x14ac:dyDescent="0.2">
      <c r="A13706"/>
      <c r="B13706"/>
      <c r="C13706"/>
      <c r="D13706"/>
      <c r="E13706"/>
      <c r="F13706"/>
      <c r="G13706"/>
      <c r="H13706"/>
      <c r="I13706"/>
      <c r="J13706"/>
      <c r="K13706" s="1"/>
      <c r="L13706" s="2"/>
    </row>
    <row r="13707" spans="1:12" x14ac:dyDescent="0.2">
      <c r="A13707"/>
      <c r="B13707"/>
      <c r="C13707"/>
      <c r="D13707"/>
      <c r="E13707"/>
      <c r="F13707"/>
      <c r="G13707"/>
      <c r="H13707"/>
      <c r="I13707"/>
      <c r="J13707"/>
      <c r="K13707" s="1"/>
      <c r="L13707" s="2"/>
    </row>
    <row r="13708" spans="1:12" x14ac:dyDescent="0.2">
      <c r="A13708"/>
      <c r="B13708"/>
      <c r="C13708"/>
      <c r="D13708"/>
      <c r="E13708"/>
      <c r="F13708"/>
      <c r="G13708"/>
      <c r="H13708"/>
      <c r="I13708"/>
      <c r="J13708"/>
      <c r="K13708" s="1"/>
      <c r="L13708" s="2"/>
    </row>
    <row r="13709" spans="1:12" x14ac:dyDescent="0.2">
      <c r="A13709"/>
      <c r="B13709"/>
      <c r="C13709"/>
      <c r="D13709"/>
      <c r="E13709"/>
      <c r="F13709"/>
      <c r="G13709"/>
      <c r="H13709"/>
      <c r="I13709"/>
      <c r="J13709"/>
      <c r="K13709" s="1"/>
      <c r="L13709" s="2"/>
    </row>
    <row r="13710" spans="1:12" x14ac:dyDescent="0.2">
      <c r="A13710"/>
      <c r="B13710"/>
      <c r="C13710"/>
      <c r="D13710"/>
      <c r="E13710"/>
      <c r="F13710"/>
      <c r="G13710"/>
      <c r="H13710"/>
      <c r="I13710"/>
      <c r="J13710"/>
      <c r="K13710" s="1"/>
      <c r="L13710" s="2"/>
    </row>
    <row r="13711" spans="1:12" x14ac:dyDescent="0.2">
      <c r="A13711"/>
      <c r="B13711"/>
      <c r="C13711"/>
      <c r="D13711"/>
      <c r="E13711"/>
      <c r="F13711"/>
      <c r="G13711"/>
      <c r="H13711"/>
      <c r="I13711"/>
      <c r="J13711"/>
      <c r="K13711" s="1"/>
      <c r="L13711" s="2"/>
    </row>
    <row r="13712" spans="1:12" x14ac:dyDescent="0.2">
      <c r="A13712"/>
      <c r="B13712"/>
      <c r="C13712"/>
      <c r="D13712"/>
      <c r="E13712"/>
      <c r="F13712"/>
      <c r="G13712"/>
      <c r="H13712"/>
      <c r="I13712"/>
      <c r="J13712"/>
      <c r="K13712" s="1"/>
      <c r="L13712" s="2"/>
    </row>
    <row r="13713" spans="1:12" x14ac:dyDescent="0.2">
      <c r="A13713"/>
      <c r="B13713"/>
      <c r="C13713"/>
      <c r="D13713"/>
      <c r="E13713"/>
      <c r="F13713"/>
      <c r="G13713"/>
      <c r="H13713"/>
      <c r="I13713"/>
      <c r="J13713"/>
      <c r="K13713" s="1"/>
      <c r="L13713" s="2"/>
    </row>
    <row r="13714" spans="1:12" x14ac:dyDescent="0.2">
      <c r="A13714"/>
      <c r="B13714"/>
      <c r="C13714"/>
      <c r="D13714"/>
      <c r="E13714"/>
      <c r="F13714"/>
      <c r="G13714"/>
      <c r="H13714"/>
      <c r="I13714"/>
      <c r="J13714"/>
      <c r="K13714" s="1"/>
      <c r="L13714" s="2"/>
    </row>
    <row r="13715" spans="1:12" x14ac:dyDescent="0.2">
      <c r="A13715"/>
      <c r="B13715"/>
      <c r="C13715"/>
      <c r="D13715"/>
      <c r="E13715"/>
      <c r="F13715"/>
      <c r="G13715"/>
      <c r="H13715"/>
      <c r="I13715"/>
      <c r="J13715"/>
      <c r="K13715" s="1"/>
      <c r="L13715" s="2"/>
    </row>
    <row r="13716" spans="1:12" x14ac:dyDescent="0.2">
      <c r="A13716"/>
      <c r="B13716"/>
      <c r="C13716"/>
      <c r="D13716"/>
      <c r="E13716"/>
      <c r="F13716"/>
      <c r="G13716"/>
      <c r="H13716"/>
      <c r="I13716"/>
      <c r="J13716"/>
      <c r="K13716" s="1"/>
      <c r="L13716" s="2"/>
    </row>
    <row r="13717" spans="1:12" x14ac:dyDescent="0.2">
      <c r="A13717"/>
      <c r="B13717"/>
      <c r="C13717"/>
      <c r="D13717"/>
      <c r="E13717"/>
      <c r="F13717"/>
      <c r="G13717"/>
      <c r="H13717"/>
      <c r="I13717"/>
      <c r="J13717"/>
      <c r="K13717" s="1"/>
      <c r="L13717" s="2"/>
    </row>
    <row r="13718" spans="1:12" x14ac:dyDescent="0.2">
      <c r="A13718"/>
      <c r="B13718"/>
      <c r="C13718"/>
      <c r="D13718"/>
      <c r="E13718"/>
      <c r="F13718"/>
      <c r="G13718"/>
      <c r="H13718"/>
      <c r="I13718"/>
      <c r="J13718"/>
      <c r="K13718" s="1"/>
      <c r="L13718" s="2"/>
    </row>
    <row r="13719" spans="1:12" x14ac:dyDescent="0.2">
      <c r="A13719"/>
      <c r="B13719"/>
      <c r="C13719"/>
      <c r="D13719"/>
      <c r="E13719"/>
      <c r="F13719"/>
      <c r="G13719"/>
      <c r="H13719"/>
      <c r="I13719"/>
      <c r="J13719"/>
      <c r="K13719" s="1"/>
      <c r="L13719" s="2"/>
    </row>
    <row r="13720" spans="1:12" x14ac:dyDescent="0.2">
      <c r="A13720"/>
      <c r="B13720"/>
      <c r="C13720"/>
      <c r="D13720"/>
      <c r="E13720"/>
      <c r="F13720"/>
      <c r="G13720"/>
      <c r="H13720"/>
      <c r="I13720"/>
      <c r="J13720"/>
      <c r="K13720" s="1"/>
      <c r="L13720" s="2"/>
    </row>
    <row r="13721" spans="1:12" x14ac:dyDescent="0.2">
      <c r="A13721"/>
      <c r="B13721"/>
      <c r="C13721"/>
      <c r="D13721"/>
      <c r="E13721"/>
      <c r="F13721"/>
      <c r="G13721"/>
      <c r="H13721"/>
      <c r="I13721"/>
      <c r="J13721"/>
      <c r="K13721" s="1"/>
      <c r="L13721" s="2"/>
    </row>
    <row r="13722" spans="1:12" x14ac:dyDescent="0.2">
      <c r="A13722"/>
      <c r="B13722"/>
      <c r="C13722"/>
      <c r="D13722"/>
      <c r="E13722"/>
      <c r="F13722"/>
      <c r="G13722"/>
      <c r="H13722"/>
      <c r="I13722"/>
      <c r="J13722"/>
      <c r="K13722" s="1"/>
      <c r="L13722" s="2"/>
    </row>
    <row r="13723" spans="1:12" x14ac:dyDescent="0.2">
      <c r="A13723"/>
      <c r="B13723"/>
      <c r="C13723"/>
      <c r="D13723"/>
      <c r="E13723"/>
      <c r="F13723"/>
      <c r="G13723"/>
      <c r="H13723"/>
      <c r="I13723"/>
      <c r="J13723"/>
      <c r="K13723" s="1"/>
      <c r="L13723" s="2"/>
    </row>
    <row r="13724" spans="1:12" x14ac:dyDescent="0.2">
      <c r="A13724"/>
      <c r="B13724"/>
      <c r="C13724"/>
      <c r="D13724"/>
      <c r="E13724"/>
      <c r="F13724"/>
      <c r="G13724"/>
      <c r="H13724"/>
      <c r="I13724"/>
      <c r="J13724"/>
      <c r="K13724" s="1"/>
      <c r="L13724" s="2"/>
    </row>
    <row r="13725" spans="1:12" x14ac:dyDescent="0.2">
      <c r="A13725"/>
      <c r="B13725"/>
      <c r="C13725"/>
      <c r="D13725"/>
      <c r="E13725"/>
      <c r="F13725"/>
      <c r="G13725"/>
      <c r="H13725"/>
      <c r="I13725"/>
      <c r="J13725"/>
      <c r="K13725" s="1"/>
      <c r="L13725" s="2"/>
    </row>
    <row r="13726" spans="1:12" x14ac:dyDescent="0.2">
      <c r="A13726"/>
      <c r="B13726"/>
      <c r="C13726"/>
      <c r="D13726"/>
      <c r="E13726"/>
      <c r="F13726"/>
      <c r="G13726"/>
      <c r="H13726"/>
      <c r="I13726"/>
      <c r="J13726"/>
      <c r="K13726" s="1"/>
      <c r="L13726" s="2"/>
    </row>
    <row r="13727" spans="1:12" x14ac:dyDescent="0.2">
      <c r="A13727"/>
      <c r="B13727"/>
      <c r="C13727"/>
      <c r="D13727"/>
      <c r="E13727"/>
      <c r="F13727"/>
      <c r="G13727"/>
      <c r="H13727"/>
      <c r="I13727"/>
      <c r="J13727"/>
      <c r="K13727" s="1"/>
      <c r="L13727" s="2"/>
    </row>
    <row r="13728" spans="1:12" x14ac:dyDescent="0.2">
      <c r="A13728"/>
      <c r="B13728"/>
      <c r="C13728"/>
      <c r="D13728"/>
      <c r="E13728"/>
      <c r="F13728"/>
      <c r="G13728"/>
      <c r="H13728"/>
      <c r="I13728"/>
      <c r="J13728"/>
      <c r="K13728" s="1"/>
      <c r="L13728" s="2"/>
    </row>
    <row r="13729" spans="1:12" x14ac:dyDescent="0.2">
      <c r="A13729"/>
      <c r="B13729"/>
      <c r="C13729"/>
      <c r="D13729"/>
      <c r="E13729"/>
      <c r="F13729"/>
      <c r="G13729"/>
      <c r="H13729"/>
      <c r="I13729"/>
      <c r="J13729"/>
      <c r="K13729" s="1"/>
      <c r="L13729" s="2"/>
    </row>
    <row r="13730" spans="1:12" x14ac:dyDescent="0.2">
      <c r="A13730"/>
      <c r="B13730"/>
      <c r="C13730"/>
      <c r="D13730"/>
      <c r="E13730"/>
      <c r="F13730"/>
      <c r="G13730"/>
      <c r="H13730"/>
      <c r="I13730"/>
      <c r="J13730"/>
      <c r="K13730" s="1"/>
      <c r="L13730" s="2"/>
    </row>
    <row r="13731" spans="1:12" x14ac:dyDescent="0.2">
      <c r="A13731"/>
      <c r="B13731"/>
      <c r="C13731"/>
      <c r="D13731"/>
      <c r="E13731"/>
      <c r="F13731"/>
      <c r="G13731"/>
      <c r="H13731"/>
      <c r="I13731"/>
      <c r="J13731"/>
      <c r="K13731" s="1"/>
      <c r="L13731" s="2"/>
    </row>
    <row r="13732" spans="1:12" x14ac:dyDescent="0.2">
      <c r="A13732"/>
      <c r="B13732"/>
      <c r="C13732"/>
      <c r="D13732"/>
      <c r="E13732"/>
      <c r="F13732"/>
      <c r="G13732"/>
      <c r="H13732"/>
      <c r="I13732"/>
      <c r="J13732"/>
      <c r="K13732" s="1"/>
      <c r="L13732" s="2"/>
    </row>
    <row r="13733" spans="1:12" x14ac:dyDescent="0.2">
      <c r="A13733"/>
      <c r="B13733"/>
      <c r="C13733"/>
      <c r="D13733"/>
      <c r="E13733"/>
      <c r="F13733"/>
      <c r="G13733"/>
      <c r="H13733"/>
      <c r="I13733"/>
      <c r="J13733"/>
      <c r="K13733" s="1"/>
      <c r="L13733" s="2"/>
    </row>
    <row r="13734" spans="1:12" x14ac:dyDescent="0.2">
      <c r="A13734"/>
      <c r="B13734"/>
      <c r="C13734"/>
      <c r="D13734"/>
      <c r="E13734"/>
      <c r="F13734"/>
      <c r="G13734"/>
      <c r="H13734"/>
      <c r="I13734"/>
      <c r="J13734"/>
      <c r="K13734" s="1"/>
      <c r="L13734" s="2"/>
    </row>
    <row r="13735" spans="1:12" x14ac:dyDescent="0.2">
      <c r="A13735"/>
      <c r="B13735"/>
      <c r="C13735"/>
      <c r="D13735"/>
      <c r="E13735"/>
      <c r="F13735"/>
      <c r="G13735"/>
      <c r="H13735"/>
      <c r="I13735"/>
      <c r="J13735"/>
      <c r="K13735" s="1"/>
      <c r="L13735" s="2"/>
    </row>
    <row r="13736" spans="1:12" x14ac:dyDescent="0.2">
      <c r="A13736"/>
      <c r="B13736"/>
      <c r="C13736"/>
      <c r="D13736"/>
      <c r="E13736"/>
      <c r="F13736"/>
      <c r="G13736"/>
      <c r="H13736"/>
      <c r="I13736"/>
      <c r="J13736"/>
      <c r="K13736" s="1"/>
      <c r="L13736" s="2"/>
    </row>
    <row r="13737" spans="1:12" x14ac:dyDescent="0.2">
      <c r="A13737"/>
      <c r="B13737"/>
      <c r="C13737"/>
      <c r="D13737"/>
      <c r="E13737"/>
      <c r="F13737"/>
      <c r="G13737"/>
      <c r="H13737"/>
      <c r="I13737"/>
      <c r="J13737"/>
      <c r="K13737" s="1"/>
      <c r="L13737" s="2"/>
    </row>
    <row r="13738" spans="1:12" x14ac:dyDescent="0.2">
      <c r="A13738"/>
      <c r="B13738"/>
      <c r="C13738"/>
      <c r="D13738"/>
      <c r="E13738"/>
      <c r="F13738"/>
      <c r="G13738"/>
      <c r="H13738"/>
      <c r="I13738"/>
      <c r="J13738"/>
      <c r="K13738" s="1"/>
      <c r="L13738" s="2"/>
    </row>
    <row r="13739" spans="1:12" x14ac:dyDescent="0.2">
      <c r="A13739"/>
      <c r="B13739"/>
      <c r="C13739"/>
      <c r="D13739"/>
      <c r="E13739"/>
      <c r="F13739"/>
      <c r="G13739"/>
      <c r="H13739"/>
      <c r="I13739"/>
      <c r="J13739"/>
      <c r="K13739" s="1"/>
      <c r="L13739" s="2"/>
    </row>
    <row r="13740" spans="1:12" x14ac:dyDescent="0.2">
      <c r="A13740"/>
      <c r="B13740"/>
      <c r="C13740"/>
      <c r="D13740"/>
      <c r="E13740"/>
      <c r="F13740"/>
      <c r="G13740"/>
      <c r="H13740"/>
      <c r="I13740"/>
      <c r="J13740"/>
      <c r="K13740" s="1"/>
      <c r="L13740" s="2"/>
    </row>
    <row r="13741" spans="1:12" x14ac:dyDescent="0.2">
      <c r="A13741"/>
      <c r="B13741"/>
      <c r="C13741"/>
      <c r="D13741"/>
      <c r="E13741"/>
      <c r="F13741"/>
      <c r="G13741"/>
      <c r="H13741"/>
      <c r="I13741"/>
      <c r="J13741"/>
      <c r="K13741" s="1"/>
      <c r="L13741" s="2"/>
    </row>
    <row r="13742" spans="1:12" x14ac:dyDescent="0.2">
      <c r="A13742"/>
      <c r="B13742"/>
      <c r="C13742"/>
      <c r="D13742"/>
      <c r="E13742"/>
      <c r="F13742"/>
      <c r="G13742"/>
      <c r="H13742"/>
      <c r="I13742"/>
      <c r="J13742"/>
      <c r="K13742" s="1"/>
      <c r="L13742" s="2"/>
    </row>
    <row r="13743" spans="1:12" x14ac:dyDescent="0.2">
      <c r="A13743"/>
      <c r="B13743"/>
      <c r="C13743"/>
      <c r="D13743"/>
      <c r="E13743"/>
      <c r="F13743"/>
      <c r="G13743"/>
      <c r="H13743"/>
      <c r="I13743"/>
      <c r="J13743"/>
      <c r="K13743" s="1"/>
      <c r="L13743" s="2"/>
    </row>
    <row r="13744" spans="1:12" x14ac:dyDescent="0.2">
      <c r="A13744"/>
      <c r="B13744"/>
      <c r="C13744"/>
      <c r="D13744"/>
      <c r="E13744"/>
      <c r="F13744"/>
      <c r="G13744"/>
      <c r="H13744"/>
      <c r="I13744"/>
      <c r="J13744"/>
      <c r="K13744" s="1"/>
      <c r="L13744" s="2"/>
    </row>
    <row r="13745" spans="1:12" x14ac:dyDescent="0.2">
      <c r="A13745"/>
      <c r="B13745"/>
      <c r="C13745"/>
      <c r="D13745"/>
      <c r="E13745"/>
      <c r="F13745"/>
      <c r="G13745"/>
      <c r="H13745"/>
      <c r="I13745"/>
      <c r="J13745"/>
      <c r="K13745" s="1"/>
      <c r="L13745" s="2"/>
    </row>
    <row r="13746" spans="1:12" x14ac:dyDescent="0.2">
      <c r="A13746"/>
      <c r="B13746"/>
      <c r="C13746"/>
      <c r="D13746"/>
      <c r="E13746"/>
      <c r="F13746"/>
      <c r="G13746"/>
      <c r="H13746"/>
      <c r="I13746"/>
      <c r="J13746"/>
      <c r="K13746" s="1"/>
      <c r="L13746" s="2"/>
    </row>
    <row r="13747" spans="1:12" x14ac:dyDescent="0.2">
      <c r="A13747"/>
      <c r="B13747"/>
      <c r="C13747"/>
      <c r="D13747"/>
      <c r="E13747"/>
      <c r="F13747"/>
      <c r="G13747"/>
      <c r="H13747"/>
      <c r="I13747"/>
      <c r="J13747"/>
      <c r="K13747" s="1"/>
      <c r="L13747" s="2"/>
    </row>
    <row r="13748" spans="1:12" x14ac:dyDescent="0.2">
      <c r="A13748"/>
      <c r="B13748"/>
      <c r="C13748"/>
      <c r="D13748"/>
      <c r="E13748"/>
      <c r="F13748"/>
      <c r="G13748"/>
      <c r="H13748"/>
      <c r="I13748"/>
      <c r="J13748"/>
      <c r="K13748" s="1"/>
      <c r="L13748" s="2"/>
    </row>
    <row r="13749" spans="1:12" x14ac:dyDescent="0.2">
      <c r="A13749"/>
      <c r="B13749"/>
      <c r="C13749"/>
      <c r="D13749"/>
      <c r="E13749"/>
      <c r="F13749"/>
      <c r="G13749"/>
      <c r="H13749"/>
      <c r="I13749"/>
      <c r="J13749"/>
      <c r="K13749" s="1"/>
      <c r="L13749" s="2"/>
    </row>
    <row r="13750" spans="1:12" x14ac:dyDescent="0.2">
      <c r="A13750"/>
      <c r="B13750"/>
      <c r="C13750"/>
      <c r="D13750"/>
      <c r="E13750"/>
      <c r="F13750"/>
      <c r="G13750"/>
      <c r="H13750"/>
      <c r="I13750"/>
      <c r="J13750"/>
      <c r="K13750" s="1"/>
      <c r="L13750" s="2"/>
    </row>
    <row r="13751" spans="1:12" x14ac:dyDescent="0.2">
      <c r="A13751"/>
      <c r="B13751"/>
      <c r="C13751"/>
      <c r="D13751"/>
      <c r="E13751"/>
      <c r="F13751"/>
      <c r="G13751"/>
      <c r="H13751"/>
      <c r="I13751"/>
      <c r="J13751"/>
      <c r="K13751" s="1"/>
      <c r="L13751" s="2"/>
    </row>
    <row r="13752" spans="1:12" x14ac:dyDescent="0.2">
      <c r="A13752"/>
      <c r="B13752"/>
      <c r="C13752"/>
      <c r="D13752"/>
      <c r="E13752"/>
      <c r="F13752"/>
      <c r="G13752"/>
      <c r="H13752"/>
      <c r="I13752"/>
      <c r="J13752"/>
      <c r="K13752" s="1"/>
      <c r="L13752" s="2"/>
    </row>
    <row r="13753" spans="1:12" x14ac:dyDescent="0.2">
      <c r="A13753"/>
      <c r="B13753"/>
      <c r="C13753"/>
      <c r="D13753"/>
      <c r="E13753"/>
      <c r="F13753"/>
      <c r="G13753"/>
      <c r="H13753"/>
      <c r="I13753"/>
      <c r="J13753"/>
      <c r="K13753" s="1"/>
      <c r="L13753" s="2"/>
    </row>
    <row r="13754" spans="1:12" x14ac:dyDescent="0.2">
      <c r="A13754"/>
      <c r="B13754"/>
      <c r="C13754"/>
      <c r="D13754"/>
      <c r="E13754"/>
      <c r="F13754"/>
      <c r="G13754"/>
      <c r="H13754"/>
      <c r="I13754"/>
      <c r="J13754"/>
      <c r="K13754" s="1"/>
      <c r="L13754" s="2"/>
    </row>
    <row r="13755" spans="1:12" x14ac:dyDescent="0.2">
      <c r="A13755"/>
      <c r="B13755"/>
      <c r="C13755"/>
      <c r="D13755"/>
      <c r="E13755"/>
      <c r="F13755"/>
      <c r="G13755"/>
      <c r="H13755"/>
      <c r="I13755"/>
      <c r="J13755"/>
      <c r="K13755" s="1"/>
      <c r="L13755" s="2"/>
    </row>
    <row r="13756" spans="1:12" x14ac:dyDescent="0.2">
      <c r="A13756"/>
      <c r="B13756"/>
      <c r="C13756"/>
      <c r="D13756"/>
      <c r="E13756"/>
      <c r="F13756"/>
      <c r="G13756"/>
      <c r="H13756"/>
      <c r="I13756"/>
      <c r="J13756"/>
      <c r="K13756" s="1"/>
      <c r="L13756" s="2"/>
    </row>
    <row r="13757" spans="1:12" x14ac:dyDescent="0.2">
      <c r="A13757"/>
      <c r="B13757"/>
      <c r="C13757"/>
      <c r="D13757"/>
      <c r="E13757"/>
      <c r="F13757"/>
      <c r="G13757"/>
      <c r="H13757"/>
      <c r="I13757"/>
      <c r="J13757"/>
      <c r="K13757" s="1"/>
      <c r="L13757" s="2"/>
    </row>
    <row r="13758" spans="1:12" x14ac:dyDescent="0.2">
      <c r="A13758"/>
      <c r="B13758"/>
      <c r="C13758"/>
      <c r="D13758"/>
      <c r="E13758"/>
      <c r="F13758"/>
      <c r="G13758"/>
      <c r="H13758"/>
      <c r="I13758"/>
      <c r="J13758"/>
      <c r="K13758" s="1"/>
      <c r="L13758" s="2"/>
    </row>
    <row r="13759" spans="1:12" x14ac:dyDescent="0.2">
      <c r="A13759"/>
      <c r="B13759"/>
      <c r="C13759"/>
      <c r="D13759"/>
      <c r="E13759"/>
      <c r="F13759"/>
      <c r="G13759"/>
      <c r="H13759"/>
      <c r="I13759"/>
      <c r="J13759"/>
      <c r="K13759" s="1"/>
      <c r="L13759" s="2"/>
    </row>
    <row r="13760" spans="1:12" x14ac:dyDescent="0.2">
      <c r="A13760"/>
      <c r="B13760"/>
      <c r="C13760"/>
      <c r="D13760"/>
      <c r="E13760"/>
      <c r="F13760"/>
      <c r="G13760"/>
      <c r="H13760"/>
      <c r="I13760"/>
      <c r="J13760"/>
      <c r="K13760" s="1"/>
      <c r="L13760" s="2"/>
    </row>
    <row r="13761" spans="1:12" x14ac:dyDescent="0.2">
      <c r="A13761"/>
      <c r="B13761"/>
      <c r="C13761"/>
      <c r="D13761"/>
      <c r="E13761"/>
      <c r="F13761"/>
      <c r="G13761"/>
      <c r="H13761"/>
      <c r="I13761"/>
      <c r="J13761"/>
      <c r="K13761" s="1"/>
      <c r="L13761" s="2"/>
    </row>
    <row r="13762" spans="1:12" x14ac:dyDescent="0.2">
      <c r="A13762"/>
      <c r="B13762"/>
      <c r="C13762"/>
      <c r="D13762"/>
      <c r="E13762"/>
      <c r="F13762"/>
      <c r="G13762"/>
      <c r="H13762"/>
      <c r="I13762"/>
      <c r="J13762"/>
      <c r="K13762" s="1"/>
      <c r="L13762" s="2"/>
    </row>
    <row r="13763" spans="1:12" x14ac:dyDescent="0.2">
      <c r="A13763"/>
      <c r="B13763"/>
      <c r="C13763"/>
      <c r="D13763"/>
      <c r="E13763"/>
      <c r="F13763"/>
      <c r="G13763"/>
      <c r="H13763"/>
      <c r="I13763"/>
      <c r="J13763"/>
      <c r="K13763" s="1"/>
      <c r="L13763" s="2"/>
    </row>
    <row r="13764" spans="1:12" x14ac:dyDescent="0.2">
      <c r="A13764"/>
      <c r="B13764"/>
      <c r="C13764"/>
      <c r="D13764"/>
      <c r="E13764"/>
      <c r="F13764"/>
      <c r="G13764"/>
      <c r="H13764"/>
      <c r="I13764"/>
      <c r="J13764"/>
      <c r="K13764" s="1"/>
      <c r="L13764" s="2"/>
    </row>
    <row r="13765" spans="1:12" x14ac:dyDescent="0.2">
      <c r="A13765"/>
      <c r="B13765"/>
      <c r="C13765"/>
      <c r="D13765"/>
      <c r="E13765"/>
      <c r="F13765"/>
      <c r="G13765"/>
      <c r="H13765"/>
      <c r="I13765"/>
      <c r="J13765"/>
      <c r="K13765" s="1"/>
      <c r="L13765" s="2"/>
    </row>
    <row r="13766" spans="1:12" x14ac:dyDescent="0.2">
      <c r="A13766"/>
      <c r="B13766"/>
      <c r="C13766"/>
      <c r="D13766"/>
      <c r="E13766"/>
      <c r="F13766"/>
      <c r="G13766"/>
      <c r="H13766"/>
      <c r="I13766"/>
      <c r="J13766"/>
      <c r="K13766" s="1"/>
      <c r="L13766" s="2"/>
    </row>
    <row r="13767" spans="1:12" x14ac:dyDescent="0.2">
      <c r="A13767"/>
      <c r="B13767"/>
      <c r="C13767"/>
      <c r="D13767"/>
      <c r="E13767"/>
      <c r="F13767"/>
      <c r="G13767"/>
      <c r="H13767"/>
      <c r="I13767"/>
      <c r="J13767"/>
      <c r="K13767" s="1"/>
      <c r="L13767" s="2"/>
    </row>
    <row r="13768" spans="1:12" x14ac:dyDescent="0.2">
      <c r="A13768"/>
      <c r="B13768"/>
      <c r="C13768"/>
      <c r="D13768"/>
      <c r="E13768"/>
      <c r="F13768"/>
      <c r="G13768"/>
      <c r="H13768"/>
      <c r="I13768"/>
      <c r="J13768"/>
      <c r="K13768" s="1"/>
      <c r="L13768" s="2"/>
    </row>
    <row r="13769" spans="1:12" x14ac:dyDescent="0.2">
      <c r="A13769"/>
      <c r="B13769"/>
      <c r="C13769"/>
      <c r="D13769"/>
      <c r="E13769"/>
      <c r="F13769"/>
      <c r="G13769"/>
      <c r="H13769"/>
      <c r="I13769"/>
      <c r="J13769"/>
      <c r="K13769" s="1"/>
      <c r="L13769" s="2"/>
    </row>
    <row r="13770" spans="1:12" x14ac:dyDescent="0.2">
      <c r="A13770"/>
      <c r="B13770"/>
      <c r="C13770"/>
      <c r="D13770"/>
      <c r="E13770"/>
      <c r="F13770"/>
      <c r="G13770"/>
      <c r="H13770"/>
      <c r="I13770"/>
      <c r="J13770"/>
      <c r="K13770" s="1"/>
      <c r="L13770" s="2"/>
    </row>
    <row r="13771" spans="1:12" x14ac:dyDescent="0.2">
      <c r="A13771"/>
      <c r="B13771"/>
      <c r="C13771"/>
      <c r="D13771"/>
      <c r="E13771"/>
      <c r="F13771"/>
      <c r="G13771"/>
      <c r="H13771"/>
      <c r="I13771"/>
      <c r="J13771"/>
      <c r="K13771" s="1"/>
      <c r="L13771" s="2"/>
    </row>
    <row r="13772" spans="1:12" x14ac:dyDescent="0.2">
      <c r="A13772"/>
      <c r="B13772"/>
      <c r="C13772"/>
      <c r="D13772"/>
      <c r="E13772"/>
      <c r="F13772"/>
      <c r="G13772"/>
      <c r="H13772"/>
      <c r="I13772"/>
      <c r="J13772"/>
      <c r="K13772" s="1"/>
      <c r="L13772" s="2"/>
    </row>
    <row r="13773" spans="1:12" x14ac:dyDescent="0.2">
      <c r="A13773"/>
      <c r="B13773"/>
      <c r="C13773"/>
      <c r="D13773"/>
      <c r="E13773"/>
      <c r="F13773"/>
      <c r="G13773"/>
      <c r="H13773"/>
      <c r="I13773"/>
      <c r="J13773"/>
      <c r="K13773" s="1"/>
      <c r="L13773" s="2"/>
    </row>
    <row r="13774" spans="1:12" x14ac:dyDescent="0.2">
      <c r="A13774"/>
      <c r="B13774"/>
      <c r="C13774"/>
      <c r="D13774"/>
      <c r="E13774"/>
      <c r="F13774"/>
      <c r="G13774"/>
      <c r="H13774"/>
      <c r="I13774"/>
      <c r="J13774"/>
      <c r="K13774" s="1"/>
      <c r="L13774" s="2"/>
    </row>
    <row r="13775" spans="1:12" x14ac:dyDescent="0.2">
      <c r="A13775"/>
      <c r="B13775"/>
      <c r="C13775"/>
      <c r="D13775"/>
      <c r="E13775"/>
      <c r="F13775"/>
      <c r="G13775"/>
      <c r="H13775"/>
      <c r="I13775"/>
      <c r="J13775"/>
      <c r="K13775" s="1"/>
      <c r="L13775" s="2"/>
    </row>
    <row r="13776" spans="1:12" x14ac:dyDescent="0.2">
      <c r="A13776"/>
      <c r="B13776"/>
      <c r="C13776"/>
      <c r="D13776"/>
      <c r="E13776"/>
      <c r="F13776"/>
      <c r="G13776"/>
      <c r="H13776"/>
      <c r="I13776"/>
      <c r="J13776"/>
      <c r="K13776" s="1"/>
      <c r="L13776" s="2"/>
    </row>
    <row r="13777" spans="1:12" x14ac:dyDescent="0.2">
      <c r="A13777"/>
      <c r="B13777"/>
      <c r="C13777"/>
      <c r="D13777"/>
      <c r="E13777"/>
      <c r="F13777"/>
      <c r="G13777"/>
      <c r="H13777"/>
      <c r="I13777"/>
      <c r="J13777"/>
      <c r="K13777" s="1"/>
      <c r="L13777" s="2"/>
    </row>
    <row r="13778" spans="1:12" x14ac:dyDescent="0.2">
      <c r="A13778"/>
      <c r="B13778"/>
      <c r="C13778"/>
      <c r="D13778"/>
      <c r="E13778"/>
      <c r="F13778"/>
      <c r="G13778"/>
      <c r="H13778"/>
      <c r="I13778"/>
      <c r="J13778"/>
      <c r="K13778" s="1"/>
      <c r="L13778" s="2"/>
    </row>
    <row r="13779" spans="1:12" x14ac:dyDescent="0.2">
      <c r="A13779"/>
      <c r="B13779"/>
      <c r="C13779"/>
      <c r="D13779"/>
      <c r="E13779"/>
      <c r="F13779"/>
      <c r="G13779"/>
      <c r="H13779"/>
      <c r="I13779"/>
      <c r="J13779"/>
      <c r="K13779" s="1"/>
      <c r="L13779" s="2"/>
    </row>
    <row r="13780" spans="1:12" x14ac:dyDescent="0.2">
      <c r="A13780"/>
      <c r="B13780"/>
      <c r="C13780"/>
      <c r="D13780"/>
      <c r="E13780"/>
      <c r="F13780"/>
      <c r="G13780"/>
      <c r="H13780"/>
      <c r="I13780"/>
      <c r="J13780"/>
      <c r="K13780" s="1"/>
      <c r="L13780" s="2"/>
    </row>
    <row r="13781" spans="1:12" x14ac:dyDescent="0.2">
      <c r="A13781"/>
      <c r="B13781"/>
      <c r="C13781"/>
      <c r="D13781"/>
      <c r="E13781"/>
      <c r="F13781"/>
      <c r="G13781"/>
      <c r="H13781"/>
      <c r="I13781"/>
      <c r="J13781"/>
      <c r="K13781" s="1"/>
      <c r="L13781" s="2"/>
    </row>
    <row r="13782" spans="1:12" x14ac:dyDescent="0.2">
      <c r="A13782"/>
      <c r="B13782"/>
      <c r="C13782"/>
      <c r="D13782"/>
      <c r="E13782"/>
      <c r="F13782"/>
      <c r="G13782"/>
      <c r="H13782"/>
      <c r="I13782"/>
      <c r="J13782"/>
      <c r="K13782" s="1"/>
      <c r="L13782" s="2"/>
    </row>
    <row r="13783" spans="1:12" x14ac:dyDescent="0.2">
      <c r="A13783"/>
      <c r="B13783"/>
      <c r="C13783"/>
      <c r="D13783"/>
      <c r="E13783"/>
      <c r="F13783"/>
      <c r="G13783"/>
      <c r="H13783"/>
      <c r="I13783"/>
      <c r="J13783"/>
      <c r="K13783" s="1"/>
      <c r="L13783" s="2"/>
    </row>
    <row r="13784" spans="1:12" x14ac:dyDescent="0.2">
      <c r="A13784"/>
      <c r="B13784"/>
      <c r="C13784"/>
      <c r="D13784"/>
      <c r="E13784"/>
      <c r="F13784"/>
      <c r="G13784"/>
      <c r="H13784"/>
      <c r="I13784"/>
      <c r="J13784"/>
      <c r="K13784" s="1"/>
      <c r="L13784" s="2"/>
    </row>
    <row r="13785" spans="1:12" x14ac:dyDescent="0.2">
      <c r="A13785"/>
      <c r="B13785"/>
      <c r="C13785"/>
      <c r="D13785"/>
      <c r="E13785"/>
      <c r="F13785"/>
      <c r="G13785"/>
      <c r="H13785"/>
      <c r="I13785"/>
      <c r="J13785"/>
      <c r="K13785" s="1"/>
      <c r="L13785" s="2"/>
    </row>
    <row r="13786" spans="1:12" x14ac:dyDescent="0.2">
      <c r="A13786"/>
      <c r="B13786"/>
      <c r="C13786"/>
      <c r="D13786"/>
      <c r="E13786"/>
      <c r="F13786"/>
      <c r="G13786"/>
      <c r="H13786"/>
      <c r="I13786"/>
      <c r="J13786"/>
      <c r="K13786" s="1"/>
      <c r="L13786" s="2"/>
    </row>
    <row r="13787" spans="1:12" x14ac:dyDescent="0.2">
      <c r="A13787"/>
      <c r="B13787"/>
      <c r="C13787"/>
      <c r="D13787"/>
      <c r="E13787"/>
      <c r="F13787"/>
      <c r="G13787"/>
      <c r="H13787"/>
      <c r="I13787"/>
      <c r="J13787"/>
      <c r="K13787" s="1"/>
      <c r="L13787" s="2"/>
    </row>
    <row r="13788" spans="1:12" x14ac:dyDescent="0.2">
      <c r="A13788"/>
      <c r="B13788"/>
      <c r="C13788"/>
      <c r="D13788"/>
      <c r="E13788"/>
      <c r="F13788"/>
      <c r="G13788"/>
      <c r="H13788"/>
      <c r="I13788"/>
      <c r="J13788"/>
      <c r="K13788" s="1"/>
      <c r="L13788" s="2"/>
    </row>
    <row r="13789" spans="1:12" x14ac:dyDescent="0.2">
      <c r="A13789"/>
      <c r="B13789"/>
      <c r="C13789"/>
      <c r="D13789"/>
      <c r="E13789"/>
      <c r="F13789"/>
      <c r="G13789"/>
      <c r="H13789"/>
      <c r="I13789"/>
      <c r="J13789"/>
      <c r="K13789" s="1"/>
      <c r="L13789" s="2"/>
    </row>
    <row r="13790" spans="1:12" x14ac:dyDescent="0.2">
      <c r="A13790"/>
      <c r="B13790"/>
      <c r="C13790"/>
      <c r="D13790"/>
      <c r="E13790"/>
      <c r="F13790"/>
      <c r="G13790"/>
      <c r="H13790"/>
      <c r="I13790"/>
      <c r="J13790"/>
      <c r="K13790" s="1"/>
      <c r="L13790" s="2"/>
    </row>
    <row r="13791" spans="1:12" x14ac:dyDescent="0.2">
      <c r="A13791"/>
      <c r="B13791"/>
      <c r="C13791"/>
      <c r="D13791"/>
      <c r="E13791"/>
      <c r="F13791"/>
      <c r="G13791"/>
      <c r="H13791"/>
      <c r="I13791"/>
      <c r="J13791"/>
      <c r="K13791" s="1"/>
      <c r="L13791" s="2"/>
    </row>
    <row r="13792" spans="1:12" x14ac:dyDescent="0.2">
      <c r="A13792"/>
      <c r="B13792"/>
      <c r="C13792"/>
      <c r="D13792"/>
      <c r="E13792"/>
      <c r="F13792"/>
      <c r="G13792"/>
      <c r="H13792"/>
      <c r="I13792"/>
      <c r="J13792"/>
      <c r="K13792" s="1"/>
      <c r="L13792" s="2"/>
    </row>
    <row r="13793" spans="1:12" x14ac:dyDescent="0.2">
      <c r="A13793"/>
      <c r="B13793"/>
      <c r="C13793"/>
      <c r="D13793"/>
      <c r="E13793"/>
      <c r="F13793"/>
      <c r="G13793"/>
      <c r="H13793"/>
      <c r="I13793"/>
      <c r="J13793"/>
      <c r="K13793" s="1"/>
      <c r="L13793" s="2"/>
    </row>
    <row r="13794" spans="1:12" x14ac:dyDescent="0.2">
      <c r="A13794"/>
      <c r="B13794"/>
      <c r="C13794"/>
      <c r="D13794"/>
      <c r="E13794"/>
      <c r="F13794"/>
      <c r="G13794"/>
      <c r="H13794"/>
      <c r="I13794"/>
      <c r="J13794"/>
      <c r="K13794" s="1"/>
      <c r="L13794" s="2"/>
    </row>
    <row r="13795" spans="1:12" x14ac:dyDescent="0.2">
      <c r="A13795"/>
      <c r="B13795"/>
      <c r="C13795"/>
      <c r="D13795"/>
      <c r="E13795"/>
      <c r="F13795"/>
      <c r="G13795"/>
      <c r="H13795"/>
      <c r="I13795"/>
      <c r="J13795"/>
      <c r="K13795" s="1"/>
      <c r="L13795" s="2"/>
    </row>
    <row r="13796" spans="1:12" x14ac:dyDescent="0.2">
      <c r="A13796"/>
      <c r="B13796"/>
      <c r="C13796"/>
      <c r="D13796"/>
      <c r="E13796"/>
      <c r="F13796"/>
      <c r="G13796"/>
      <c r="H13796"/>
      <c r="I13796"/>
      <c r="J13796"/>
      <c r="K13796" s="1"/>
      <c r="L13796" s="2"/>
    </row>
    <row r="13797" spans="1:12" x14ac:dyDescent="0.2">
      <c r="A13797"/>
      <c r="B13797"/>
      <c r="C13797"/>
      <c r="D13797"/>
      <c r="E13797"/>
      <c r="F13797"/>
      <c r="G13797"/>
      <c r="H13797"/>
      <c r="I13797"/>
      <c r="J13797"/>
      <c r="K13797" s="1"/>
      <c r="L13797" s="2"/>
    </row>
    <row r="13798" spans="1:12" x14ac:dyDescent="0.2">
      <c r="A13798"/>
      <c r="B13798"/>
      <c r="C13798"/>
      <c r="D13798"/>
      <c r="E13798"/>
      <c r="F13798"/>
      <c r="G13798"/>
      <c r="H13798"/>
      <c r="I13798"/>
      <c r="J13798"/>
      <c r="K13798" s="1"/>
      <c r="L13798" s="2"/>
    </row>
    <row r="13799" spans="1:12" x14ac:dyDescent="0.2">
      <c r="A13799"/>
      <c r="B13799"/>
      <c r="C13799"/>
      <c r="D13799"/>
      <c r="E13799"/>
      <c r="F13799"/>
      <c r="G13799"/>
      <c r="H13799"/>
      <c r="I13799"/>
      <c r="J13799"/>
      <c r="K13799" s="1"/>
      <c r="L13799" s="2"/>
    </row>
    <row r="13800" spans="1:12" x14ac:dyDescent="0.2">
      <c r="A13800"/>
      <c r="B13800"/>
      <c r="C13800"/>
      <c r="D13800"/>
      <c r="E13800"/>
      <c r="F13800"/>
      <c r="G13800"/>
      <c r="H13800"/>
      <c r="I13800"/>
      <c r="J13800"/>
      <c r="K13800" s="1"/>
      <c r="L13800" s="2"/>
    </row>
    <row r="13801" spans="1:12" x14ac:dyDescent="0.2">
      <c r="A13801"/>
      <c r="B13801"/>
      <c r="C13801"/>
      <c r="D13801"/>
      <c r="E13801"/>
      <c r="F13801"/>
      <c r="G13801"/>
      <c r="H13801"/>
      <c r="I13801"/>
      <c r="J13801"/>
      <c r="K13801" s="1"/>
      <c r="L13801" s="2"/>
    </row>
    <row r="13802" spans="1:12" x14ac:dyDescent="0.2">
      <c r="A13802"/>
      <c r="B13802"/>
      <c r="C13802"/>
      <c r="D13802"/>
      <c r="E13802"/>
      <c r="F13802"/>
      <c r="G13802"/>
      <c r="H13802"/>
      <c r="I13802"/>
      <c r="J13802"/>
      <c r="K13802" s="1"/>
      <c r="L13802" s="2"/>
    </row>
    <row r="13803" spans="1:12" x14ac:dyDescent="0.2">
      <c r="A13803"/>
      <c r="B13803"/>
      <c r="C13803"/>
      <c r="D13803"/>
      <c r="E13803"/>
      <c r="F13803"/>
      <c r="G13803"/>
      <c r="H13803"/>
      <c r="I13803"/>
      <c r="J13803"/>
      <c r="K13803" s="1"/>
      <c r="L13803" s="2"/>
    </row>
    <row r="13804" spans="1:12" x14ac:dyDescent="0.2">
      <c r="A13804"/>
      <c r="B13804"/>
      <c r="C13804"/>
      <c r="D13804"/>
      <c r="E13804"/>
      <c r="F13804"/>
      <c r="G13804"/>
      <c r="H13804"/>
      <c r="I13804"/>
      <c r="J13804"/>
      <c r="K13804" s="1"/>
      <c r="L13804" s="2"/>
    </row>
    <row r="13805" spans="1:12" x14ac:dyDescent="0.2">
      <c r="A13805"/>
      <c r="B13805"/>
      <c r="C13805"/>
      <c r="D13805"/>
      <c r="E13805"/>
      <c r="F13805"/>
      <c r="G13805"/>
      <c r="H13805"/>
      <c r="I13805"/>
      <c r="J13805"/>
      <c r="K13805" s="1"/>
      <c r="L13805" s="2"/>
    </row>
    <row r="13806" spans="1:12" x14ac:dyDescent="0.2">
      <c r="A13806"/>
      <c r="B13806"/>
      <c r="C13806"/>
      <c r="D13806"/>
      <c r="E13806"/>
      <c r="F13806"/>
      <c r="G13806"/>
      <c r="H13806"/>
      <c r="I13806"/>
      <c r="J13806"/>
      <c r="K13806" s="1"/>
      <c r="L13806" s="2"/>
    </row>
    <row r="13807" spans="1:12" x14ac:dyDescent="0.2">
      <c r="A13807"/>
      <c r="B13807"/>
      <c r="C13807"/>
      <c r="D13807"/>
      <c r="E13807"/>
      <c r="F13807"/>
      <c r="G13807"/>
      <c r="H13807"/>
      <c r="I13807"/>
      <c r="J13807"/>
      <c r="K13807" s="1"/>
      <c r="L13807" s="2"/>
    </row>
    <row r="13808" spans="1:12" x14ac:dyDescent="0.2">
      <c r="A13808"/>
      <c r="B13808"/>
      <c r="C13808"/>
      <c r="D13808"/>
      <c r="E13808"/>
      <c r="F13808"/>
      <c r="G13808"/>
      <c r="H13808"/>
      <c r="I13808"/>
      <c r="J13808"/>
      <c r="K13808" s="1"/>
      <c r="L13808" s="2"/>
    </row>
    <row r="13809" spans="1:12" x14ac:dyDescent="0.2">
      <c r="A13809"/>
      <c r="B13809"/>
      <c r="C13809"/>
      <c r="D13809"/>
      <c r="E13809"/>
      <c r="F13809"/>
      <c r="G13809"/>
      <c r="H13809"/>
      <c r="I13809"/>
      <c r="J13809"/>
      <c r="K13809" s="1"/>
      <c r="L13809" s="2"/>
    </row>
    <row r="13810" spans="1:12" x14ac:dyDescent="0.2">
      <c r="A13810"/>
      <c r="B13810"/>
      <c r="C13810"/>
      <c r="D13810"/>
      <c r="E13810"/>
      <c r="F13810"/>
      <c r="G13810"/>
      <c r="H13810"/>
      <c r="I13810"/>
      <c r="J13810"/>
      <c r="K13810" s="1"/>
      <c r="L13810" s="2"/>
    </row>
    <row r="13811" spans="1:12" x14ac:dyDescent="0.2">
      <c r="A13811"/>
      <c r="B13811"/>
      <c r="C13811"/>
      <c r="D13811"/>
      <c r="E13811"/>
      <c r="F13811"/>
      <c r="G13811"/>
      <c r="H13811"/>
      <c r="I13811"/>
      <c r="J13811"/>
      <c r="K13811" s="1"/>
      <c r="L13811" s="2"/>
    </row>
    <row r="13812" spans="1:12" x14ac:dyDescent="0.2">
      <c r="A13812"/>
      <c r="B13812"/>
      <c r="C13812"/>
      <c r="D13812"/>
      <c r="E13812"/>
      <c r="F13812"/>
      <c r="G13812"/>
      <c r="H13812"/>
      <c r="I13812"/>
      <c r="J13812"/>
      <c r="K13812" s="1"/>
      <c r="L13812" s="2"/>
    </row>
    <row r="13813" spans="1:12" x14ac:dyDescent="0.2">
      <c r="A13813"/>
      <c r="B13813"/>
      <c r="C13813"/>
      <c r="D13813"/>
      <c r="E13813"/>
      <c r="F13813"/>
      <c r="G13813"/>
      <c r="H13813"/>
      <c r="I13813"/>
      <c r="J13813"/>
      <c r="K13813" s="1"/>
      <c r="L13813" s="2"/>
    </row>
    <row r="13814" spans="1:12" x14ac:dyDescent="0.2">
      <c r="A13814"/>
      <c r="B13814"/>
      <c r="C13814"/>
      <c r="D13814"/>
      <c r="E13814"/>
      <c r="F13814"/>
      <c r="G13814"/>
      <c r="H13814"/>
      <c r="I13814"/>
      <c r="J13814"/>
      <c r="K13814" s="1"/>
      <c r="L13814" s="2"/>
    </row>
    <row r="13815" spans="1:12" x14ac:dyDescent="0.2">
      <c r="A13815"/>
      <c r="B13815"/>
      <c r="C13815"/>
      <c r="D13815"/>
      <c r="E13815"/>
      <c r="F13815"/>
      <c r="G13815"/>
      <c r="H13815"/>
      <c r="I13815"/>
      <c r="J13815"/>
      <c r="K13815" s="1"/>
      <c r="L13815" s="2"/>
    </row>
    <row r="13816" spans="1:12" x14ac:dyDescent="0.2">
      <c r="A13816"/>
      <c r="B13816"/>
      <c r="C13816"/>
      <c r="D13816"/>
      <c r="E13816"/>
      <c r="F13816"/>
      <c r="G13816"/>
      <c r="H13816"/>
      <c r="I13816"/>
      <c r="J13816"/>
      <c r="K13816" s="1"/>
      <c r="L13816" s="2"/>
    </row>
    <row r="13817" spans="1:12" x14ac:dyDescent="0.2">
      <c r="A13817"/>
      <c r="B13817"/>
      <c r="C13817"/>
      <c r="D13817"/>
      <c r="E13817"/>
      <c r="F13817"/>
      <c r="G13817"/>
      <c r="H13817"/>
      <c r="I13817"/>
      <c r="J13817"/>
      <c r="K13817" s="1"/>
      <c r="L13817" s="2"/>
    </row>
    <row r="13818" spans="1:12" x14ac:dyDescent="0.2">
      <c r="A13818"/>
      <c r="B13818"/>
      <c r="C13818"/>
      <c r="D13818"/>
      <c r="E13818"/>
      <c r="F13818"/>
      <c r="G13818"/>
      <c r="H13818"/>
      <c r="I13818"/>
      <c r="J13818"/>
      <c r="K13818" s="1"/>
      <c r="L13818" s="2"/>
    </row>
    <row r="13819" spans="1:12" x14ac:dyDescent="0.2">
      <c r="A13819"/>
      <c r="B13819"/>
      <c r="C13819"/>
      <c r="D13819"/>
      <c r="E13819"/>
      <c r="F13819"/>
      <c r="G13819"/>
      <c r="H13819"/>
      <c r="I13819"/>
      <c r="J13819"/>
      <c r="K13819" s="1"/>
      <c r="L13819" s="2"/>
    </row>
    <row r="13820" spans="1:12" x14ac:dyDescent="0.2">
      <c r="A13820"/>
      <c r="B13820"/>
      <c r="C13820"/>
      <c r="D13820"/>
      <c r="E13820"/>
      <c r="F13820"/>
      <c r="G13820"/>
      <c r="H13820"/>
      <c r="I13820"/>
      <c r="J13820"/>
      <c r="K13820" s="1"/>
      <c r="L13820" s="2"/>
    </row>
    <row r="13821" spans="1:12" x14ac:dyDescent="0.2">
      <c r="A13821"/>
      <c r="B13821"/>
      <c r="C13821"/>
      <c r="D13821"/>
      <c r="E13821"/>
      <c r="F13821"/>
      <c r="G13821"/>
      <c r="H13821"/>
      <c r="I13821"/>
      <c r="J13821"/>
      <c r="K13821" s="1"/>
      <c r="L13821" s="2"/>
    </row>
    <row r="13822" spans="1:12" x14ac:dyDescent="0.2">
      <c r="A13822"/>
      <c r="B13822"/>
      <c r="C13822"/>
      <c r="D13822"/>
      <c r="E13822"/>
      <c r="F13822"/>
      <c r="G13822"/>
      <c r="H13822"/>
      <c r="I13822"/>
      <c r="J13822"/>
      <c r="K13822" s="1"/>
      <c r="L13822" s="2"/>
    </row>
    <row r="13823" spans="1:12" x14ac:dyDescent="0.2">
      <c r="A13823"/>
      <c r="B13823"/>
      <c r="C13823"/>
      <c r="D13823"/>
      <c r="E13823"/>
      <c r="F13823"/>
      <c r="G13823"/>
      <c r="H13823"/>
      <c r="I13823"/>
      <c r="J13823"/>
      <c r="K13823" s="1"/>
      <c r="L13823" s="2"/>
    </row>
    <row r="13824" spans="1:12" x14ac:dyDescent="0.2">
      <c r="A13824"/>
      <c r="B13824"/>
      <c r="C13824"/>
      <c r="D13824"/>
      <c r="E13824"/>
      <c r="F13824"/>
      <c r="G13824"/>
      <c r="H13824"/>
      <c r="I13824"/>
      <c r="J13824"/>
      <c r="K13824" s="1"/>
      <c r="L13824" s="2"/>
    </row>
    <row r="13825" spans="1:12" x14ac:dyDescent="0.2">
      <c r="A13825"/>
      <c r="B13825"/>
      <c r="C13825"/>
      <c r="D13825"/>
      <c r="E13825"/>
      <c r="F13825"/>
      <c r="G13825"/>
      <c r="H13825"/>
      <c r="I13825"/>
      <c r="J13825"/>
      <c r="K13825" s="1"/>
      <c r="L13825" s="2"/>
    </row>
    <row r="13826" spans="1:12" x14ac:dyDescent="0.2">
      <c r="A13826"/>
      <c r="B13826"/>
      <c r="C13826"/>
      <c r="D13826"/>
      <c r="E13826"/>
      <c r="F13826"/>
      <c r="G13826"/>
      <c r="H13826"/>
      <c r="I13826"/>
      <c r="J13826"/>
      <c r="K13826" s="1"/>
      <c r="L13826" s="2"/>
    </row>
    <row r="13827" spans="1:12" x14ac:dyDescent="0.2">
      <c r="A13827"/>
      <c r="B13827"/>
      <c r="C13827"/>
      <c r="D13827"/>
      <c r="E13827"/>
      <c r="F13827"/>
      <c r="G13827"/>
      <c r="H13827"/>
      <c r="I13827"/>
      <c r="J13827"/>
      <c r="K13827" s="1"/>
      <c r="L13827" s="2"/>
    </row>
    <row r="13828" spans="1:12" x14ac:dyDescent="0.2">
      <c r="A13828"/>
      <c r="B13828"/>
      <c r="C13828"/>
      <c r="D13828"/>
      <c r="E13828"/>
      <c r="F13828"/>
      <c r="G13828"/>
      <c r="H13828"/>
      <c r="I13828"/>
      <c r="J13828"/>
      <c r="K13828" s="1"/>
      <c r="L13828" s="2"/>
    </row>
    <row r="13829" spans="1:12" x14ac:dyDescent="0.2">
      <c r="A13829"/>
      <c r="B13829"/>
      <c r="C13829"/>
      <c r="D13829"/>
      <c r="E13829"/>
      <c r="F13829"/>
      <c r="G13829"/>
      <c r="H13829"/>
      <c r="I13829"/>
      <c r="J13829"/>
      <c r="K13829" s="1"/>
      <c r="L13829" s="2"/>
    </row>
    <row r="13830" spans="1:12" x14ac:dyDescent="0.2">
      <c r="A13830"/>
      <c r="B13830"/>
      <c r="C13830"/>
      <c r="D13830"/>
      <c r="E13830"/>
      <c r="F13830"/>
      <c r="G13830"/>
      <c r="H13830"/>
      <c r="I13830"/>
      <c r="J13830"/>
      <c r="K13830" s="1"/>
      <c r="L13830" s="2"/>
    </row>
    <row r="13831" spans="1:12" x14ac:dyDescent="0.2">
      <c r="A13831"/>
      <c r="B13831"/>
      <c r="C13831"/>
      <c r="D13831"/>
      <c r="E13831"/>
      <c r="F13831"/>
      <c r="G13831"/>
      <c r="H13831"/>
      <c r="I13831"/>
      <c r="J13831"/>
      <c r="K13831" s="1"/>
      <c r="L13831" s="2"/>
    </row>
    <row r="13832" spans="1:12" x14ac:dyDescent="0.2">
      <c r="A13832"/>
      <c r="B13832"/>
      <c r="C13832"/>
      <c r="D13832"/>
      <c r="E13832"/>
      <c r="F13832"/>
      <c r="G13832"/>
      <c r="H13832"/>
      <c r="I13832"/>
      <c r="J13832"/>
      <c r="K13832" s="1"/>
      <c r="L13832" s="2"/>
    </row>
    <row r="13833" spans="1:12" x14ac:dyDescent="0.2">
      <c r="A13833"/>
      <c r="B13833"/>
      <c r="C13833"/>
      <c r="D13833"/>
      <c r="E13833"/>
      <c r="F13833"/>
      <c r="G13833"/>
      <c r="H13833"/>
      <c r="I13833"/>
      <c r="J13833"/>
      <c r="K13833" s="1"/>
      <c r="L13833" s="2"/>
    </row>
    <row r="13834" spans="1:12" x14ac:dyDescent="0.2">
      <c r="A13834"/>
      <c r="B13834"/>
      <c r="C13834"/>
      <c r="D13834"/>
      <c r="E13834"/>
      <c r="F13834"/>
      <c r="G13834"/>
      <c r="H13834"/>
      <c r="I13834"/>
      <c r="J13834"/>
      <c r="K13834" s="1"/>
      <c r="L13834" s="2"/>
    </row>
    <row r="13835" spans="1:12" x14ac:dyDescent="0.2">
      <c r="A13835"/>
      <c r="B13835"/>
      <c r="C13835"/>
      <c r="D13835"/>
      <c r="E13835"/>
      <c r="F13835"/>
      <c r="G13835"/>
      <c r="H13835"/>
      <c r="I13835"/>
      <c r="J13835"/>
      <c r="K13835" s="1"/>
      <c r="L13835" s="2"/>
    </row>
    <row r="13836" spans="1:12" x14ac:dyDescent="0.2">
      <c r="A13836"/>
      <c r="B13836"/>
      <c r="C13836"/>
      <c r="D13836"/>
      <c r="E13836"/>
      <c r="F13836"/>
      <c r="G13836"/>
      <c r="H13836"/>
      <c r="I13836"/>
      <c r="J13836"/>
      <c r="K13836" s="1"/>
      <c r="L13836" s="2"/>
    </row>
    <row r="13837" spans="1:12" x14ac:dyDescent="0.2">
      <c r="A13837"/>
      <c r="B13837"/>
      <c r="C13837"/>
      <c r="D13837"/>
      <c r="E13837"/>
      <c r="F13837"/>
      <c r="G13837"/>
      <c r="H13837"/>
      <c r="I13837"/>
      <c r="J13837"/>
      <c r="K13837" s="1"/>
      <c r="L13837" s="2"/>
    </row>
    <row r="13838" spans="1:12" x14ac:dyDescent="0.2">
      <c r="A13838"/>
      <c r="B13838"/>
      <c r="C13838"/>
      <c r="D13838"/>
      <c r="E13838"/>
      <c r="F13838"/>
      <c r="G13838"/>
      <c r="H13838"/>
      <c r="I13838"/>
      <c r="J13838"/>
      <c r="K13838" s="1"/>
      <c r="L13838" s="2"/>
    </row>
    <row r="13839" spans="1:12" x14ac:dyDescent="0.2">
      <c r="A13839"/>
      <c r="B13839"/>
      <c r="C13839"/>
      <c r="D13839"/>
      <c r="E13839"/>
      <c r="F13839"/>
      <c r="G13839"/>
      <c r="H13839"/>
      <c r="I13839"/>
      <c r="J13839"/>
      <c r="K13839" s="1"/>
      <c r="L13839" s="2"/>
    </row>
    <row r="13840" spans="1:12" x14ac:dyDescent="0.2">
      <c r="A13840"/>
      <c r="B13840"/>
      <c r="C13840"/>
      <c r="D13840"/>
      <c r="E13840"/>
      <c r="F13840"/>
      <c r="G13840"/>
      <c r="H13840"/>
      <c r="I13840"/>
      <c r="J13840"/>
      <c r="K13840" s="1"/>
      <c r="L13840" s="2"/>
    </row>
    <row r="13841" spans="1:12" x14ac:dyDescent="0.2">
      <c r="A13841"/>
      <c r="B13841"/>
      <c r="C13841"/>
      <c r="D13841"/>
      <c r="E13841"/>
      <c r="F13841"/>
      <c r="G13841"/>
      <c r="H13841"/>
      <c r="I13841"/>
      <c r="J13841"/>
      <c r="K13841" s="1"/>
      <c r="L13841" s="2"/>
    </row>
    <row r="13842" spans="1:12" x14ac:dyDescent="0.2">
      <c r="A13842"/>
      <c r="B13842"/>
      <c r="C13842"/>
      <c r="D13842"/>
      <c r="E13842"/>
      <c r="F13842"/>
      <c r="G13842"/>
      <c r="H13842"/>
      <c r="I13842"/>
      <c r="J13842"/>
      <c r="K13842" s="1"/>
      <c r="L13842" s="2"/>
    </row>
    <row r="13843" spans="1:12" x14ac:dyDescent="0.2">
      <c r="A13843"/>
      <c r="B13843"/>
      <c r="C13843"/>
      <c r="D13843"/>
      <c r="E13843"/>
      <c r="F13843"/>
      <c r="G13843"/>
      <c r="H13843"/>
      <c r="I13843"/>
      <c r="J13843"/>
      <c r="K13843" s="1"/>
      <c r="L13843" s="2"/>
    </row>
    <row r="13844" spans="1:12" x14ac:dyDescent="0.2">
      <c r="A13844"/>
      <c r="B13844"/>
      <c r="C13844"/>
      <c r="D13844"/>
      <c r="E13844"/>
      <c r="F13844"/>
      <c r="G13844"/>
      <c r="H13844"/>
      <c r="I13844"/>
      <c r="J13844"/>
      <c r="K13844" s="1"/>
      <c r="L13844" s="2"/>
    </row>
    <row r="13845" spans="1:12" x14ac:dyDescent="0.2">
      <c r="A13845"/>
      <c r="B13845"/>
      <c r="C13845"/>
      <c r="D13845"/>
      <c r="E13845"/>
      <c r="F13845"/>
      <c r="G13845"/>
      <c r="H13845"/>
      <c r="I13845"/>
      <c r="J13845"/>
      <c r="K13845" s="1"/>
      <c r="L13845" s="2"/>
    </row>
    <row r="13846" spans="1:12" x14ac:dyDescent="0.2">
      <c r="A13846"/>
      <c r="B13846"/>
      <c r="C13846"/>
      <c r="D13846"/>
      <c r="E13846"/>
      <c r="F13846"/>
      <c r="G13846"/>
      <c r="H13846"/>
      <c r="I13846"/>
      <c r="J13846"/>
      <c r="K13846" s="1"/>
      <c r="L13846" s="2"/>
    </row>
    <row r="13847" spans="1:12" x14ac:dyDescent="0.2">
      <c r="A13847"/>
      <c r="B13847"/>
      <c r="C13847"/>
      <c r="D13847"/>
      <c r="E13847"/>
      <c r="F13847"/>
      <c r="G13847"/>
      <c r="H13847"/>
      <c r="I13847"/>
      <c r="J13847"/>
      <c r="K13847" s="1"/>
      <c r="L13847" s="2"/>
    </row>
    <row r="13848" spans="1:12" x14ac:dyDescent="0.2">
      <c r="A13848"/>
      <c r="B13848"/>
      <c r="C13848"/>
      <c r="D13848"/>
      <c r="E13848"/>
      <c r="F13848"/>
      <c r="G13848"/>
      <c r="H13848"/>
      <c r="I13848"/>
      <c r="J13848"/>
      <c r="K13848" s="1"/>
      <c r="L13848" s="2"/>
    </row>
    <row r="13849" spans="1:12" x14ac:dyDescent="0.2">
      <c r="A13849"/>
      <c r="B13849"/>
      <c r="C13849"/>
      <c r="D13849"/>
      <c r="E13849"/>
      <c r="F13849"/>
      <c r="G13849"/>
      <c r="H13849"/>
      <c r="I13849"/>
      <c r="J13849"/>
      <c r="K13849" s="1"/>
      <c r="L13849" s="2"/>
    </row>
    <row r="13850" spans="1:12" x14ac:dyDescent="0.2">
      <c r="A13850"/>
      <c r="B13850"/>
      <c r="C13850"/>
      <c r="D13850"/>
      <c r="E13850"/>
      <c r="F13850"/>
      <c r="G13850"/>
      <c r="H13850"/>
      <c r="I13850"/>
      <c r="J13850"/>
      <c r="K13850" s="1"/>
      <c r="L13850" s="2"/>
    </row>
    <row r="13851" spans="1:12" x14ac:dyDescent="0.2">
      <c r="A13851"/>
      <c r="B13851"/>
      <c r="C13851"/>
      <c r="D13851"/>
      <c r="E13851"/>
      <c r="F13851"/>
      <c r="G13851"/>
      <c r="H13851"/>
      <c r="I13851"/>
      <c r="J13851"/>
      <c r="K13851" s="1"/>
      <c r="L13851" s="2"/>
    </row>
    <row r="13852" spans="1:12" x14ac:dyDescent="0.2">
      <c r="A13852"/>
      <c r="B13852"/>
      <c r="C13852"/>
      <c r="D13852"/>
      <c r="E13852"/>
      <c r="F13852"/>
      <c r="G13852"/>
      <c r="H13852"/>
      <c r="I13852"/>
      <c r="J13852"/>
      <c r="K13852" s="1"/>
      <c r="L13852" s="2"/>
    </row>
    <row r="13853" spans="1:12" x14ac:dyDescent="0.2">
      <c r="A13853"/>
      <c r="B13853"/>
      <c r="C13853"/>
      <c r="D13853"/>
      <c r="E13853"/>
      <c r="F13853"/>
      <c r="G13853"/>
      <c r="H13853"/>
      <c r="I13853"/>
      <c r="J13853"/>
      <c r="K13853" s="1"/>
      <c r="L13853" s="2"/>
    </row>
    <row r="13854" spans="1:12" x14ac:dyDescent="0.2">
      <c r="A13854"/>
      <c r="B13854"/>
      <c r="C13854"/>
      <c r="D13854"/>
      <c r="E13854"/>
      <c r="F13854"/>
      <c r="G13854"/>
      <c r="H13854"/>
      <c r="I13854"/>
      <c r="J13854"/>
      <c r="K13854" s="1"/>
      <c r="L13854" s="2"/>
    </row>
    <row r="13855" spans="1:12" x14ac:dyDescent="0.2">
      <c r="A13855"/>
      <c r="B13855"/>
      <c r="C13855"/>
      <c r="D13855"/>
      <c r="E13855"/>
      <c r="F13855"/>
      <c r="G13855"/>
      <c r="H13855"/>
      <c r="I13855"/>
      <c r="J13855"/>
      <c r="K13855" s="1"/>
      <c r="L13855" s="2"/>
    </row>
    <row r="13856" spans="1:12" x14ac:dyDescent="0.2">
      <c r="A13856"/>
      <c r="B13856"/>
      <c r="C13856"/>
      <c r="D13856"/>
      <c r="E13856"/>
      <c r="F13856"/>
      <c r="G13856"/>
      <c r="H13856"/>
      <c r="I13856"/>
      <c r="J13856"/>
      <c r="K13856" s="1"/>
      <c r="L13856" s="2"/>
    </row>
    <row r="13857" spans="1:12" x14ac:dyDescent="0.2">
      <c r="A13857"/>
      <c r="B13857"/>
      <c r="C13857"/>
      <c r="D13857"/>
      <c r="E13857"/>
      <c r="F13857"/>
      <c r="G13857"/>
      <c r="H13857"/>
      <c r="I13857"/>
      <c r="J13857"/>
      <c r="K13857" s="1"/>
      <c r="L13857" s="2"/>
    </row>
    <row r="13858" spans="1:12" x14ac:dyDescent="0.2">
      <c r="A13858"/>
      <c r="B13858"/>
      <c r="C13858"/>
      <c r="D13858"/>
      <c r="E13858"/>
      <c r="F13858"/>
      <c r="G13858"/>
      <c r="H13858"/>
      <c r="I13858"/>
      <c r="J13858"/>
      <c r="K13858" s="1"/>
      <c r="L13858" s="2"/>
    </row>
    <row r="13859" spans="1:12" x14ac:dyDescent="0.2">
      <c r="A13859"/>
      <c r="B13859"/>
      <c r="C13859"/>
      <c r="D13859"/>
      <c r="E13859"/>
      <c r="F13859"/>
      <c r="G13859"/>
      <c r="H13859"/>
      <c r="I13859"/>
      <c r="J13859"/>
      <c r="K13859" s="1"/>
      <c r="L13859" s="2"/>
    </row>
    <row r="13860" spans="1:12" x14ac:dyDescent="0.2">
      <c r="A13860"/>
      <c r="B13860"/>
      <c r="C13860"/>
      <c r="D13860"/>
      <c r="E13860"/>
      <c r="F13860"/>
      <c r="G13860"/>
      <c r="H13860"/>
      <c r="I13860"/>
      <c r="J13860"/>
      <c r="K13860" s="1"/>
      <c r="L13860" s="2"/>
    </row>
    <row r="13861" spans="1:12" x14ac:dyDescent="0.2">
      <c r="A13861"/>
      <c r="B13861"/>
      <c r="C13861"/>
      <c r="D13861"/>
      <c r="E13861"/>
      <c r="F13861"/>
      <c r="G13861"/>
      <c r="H13861"/>
      <c r="I13861"/>
      <c r="J13861"/>
      <c r="K13861" s="1"/>
      <c r="L13861" s="2"/>
    </row>
    <row r="13862" spans="1:12" x14ac:dyDescent="0.2">
      <c r="A13862"/>
      <c r="B13862"/>
      <c r="C13862"/>
      <c r="D13862"/>
      <c r="E13862"/>
      <c r="F13862"/>
      <c r="G13862"/>
      <c r="H13862"/>
      <c r="I13862"/>
      <c r="J13862"/>
      <c r="K13862" s="1"/>
      <c r="L13862" s="2"/>
    </row>
    <row r="13863" spans="1:12" x14ac:dyDescent="0.2">
      <c r="A13863"/>
      <c r="B13863"/>
      <c r="C13863"/>
      <c r="D13863"/>
      <c r="E13863"/>
      <c r="F13863"/>
      <c r="G13863"/>
      <c r="H13863"/>
      <c r="I13863"/>
      <c r="J13863"/>
      <c r="K13863" s="1"/>
      <c r="L13863" s="2"/>
    </row>
    <row r="13864" spans="1:12" x14ac:dyDescent="0.2">
      <c r="A13864"/>
      <c r="B13864"/>
      <c r="C13864"/>
      <c r="D13864"/>
      <c r="E13864"/>
      <c r="F13864"/>
      <c r="G13864"/>
      <c r="H13864"/>
      <c r="I13864"/>
      <c r="J13864"/>
      <c r="K13864" s="1"/>
      <c r="L13864" s="2"/>
    </row>
    <row r="13865" spans="1:12" x14ac:dyDescent="0.2">
      <c r="A13865"/>
      <c r="B13865"/>
      <c r="C13865"/>
      <c r="D13865"/>
      <c r="E13865"/>
      <c r="F13865"/>
      <c r="G13865"/>
      <c r="H13865"/>
      <c r="I13865"/>
      <c r="J13865"/>
      <c r="K13865" s="1"/>
      <c r="L13865" s="2"/>
    </row>
    <row r="13866" spans="1:12" x14ac:dyDescent="0.2">
      <c r="A13866"/>
      <c r="B13866"/>
      <c r="C13866"/>
      <c r="D13866"/>
      <c r="E13866"/>
      <c r="F13866"/>
      <c r="G13866"/>
      <c r="H13866"/>
      <c r="I13866"/>
      <c r="J13866"/>
      <c r="K13866" s="1"/>
      <c r="L13866" s="2"/>
    </row>
    <row r="13867" spans="1:12" x14ac:dyDescent="0.2">
      <c r="A13867"/>
      <c r="B13867"/>
      <c r="C13867"/>
      <c r="D13867"/>
      <c r="E13867"/>
      <c r="F13867"/>
      <c r="G13867"/>
      <c r="H13867"/>
      <c r="I13867"/>
      <c r="J13867"/>
      <c r="K13867" s="1"/>
      <c r="L13867" s="2"/>
    </row>
    <row r="13868" spans="1:12" x14ac:dyDescent="0.2">
      <c r="A13868"/>
      <c r="B13868"/>
      <c r="C13868"/>
      <c r="D13868"/>
      <c r="E13868"/>
      <c r="F13868"/>
      <c r="G13868"/>
      <c r="H13868"/>
      <c r="I13868"/>
      <c r="J13868"/>
      <c r="K13868" s="1"/>
      <c r="L13868" s="2"/>
    </row>
    <row r="13869" spans="1:12" x14ac:dyDescent="0.2">
      <c r="A13869"/>
      <c r="B13869"/>
      <c r="C13869"/>
      <c r="D13869"/>
      <c r="E13869"/>
      <c r="F13869"/>
      <c r="G13869"/>
      <c r="H13869"/>
      <c r="I13869"/>
      <c r="J13869"/>
      <c r="K13869" s="1"/>
      <c r="L13869" s="2"/>
    </row>
    <row r="13870" spans="1:12" x14ac:dyDescent="0.2">
      <c r="A13870"/>
      <c r="B13870"/>
      <c r="C13870"/>
      <c r="D13870"/>
      <c r="E13870"/>
      <c r="F13870"/>
      <c r="G13870"/>
      <c r="H13870"/>
      <c r="I13870"/>
      <c r="J13870"/>
      <c r="K13870" s="1"/>
      <c r="L13870" s="2"/>
    </row>
    <row r="13871" spans="1:12" x14ac:dyDescent="0.2">
      <c r="A13871"/>
      <c r="B13871"/>
      <c r="C13871"/>
      <c r="D13871"/>
      <c r="E13871"/>
      <c r="F13871"/>
      <c r="G13871"/>
      <c r="H13871"/>
      <c r="I13871"/>
      <c r="J13871"/>
      <c r="K13871" s="1"/>
      <c r="L13871" s="2"/>
    </row>
    <row r="13872" spans="1:12" x14ac:dyDescent="0.2">
      <c r="A13872"/>
      <c r="B13872"/>
      <c r="C13872"/>
      <c r="D13872"/>
      <c r="E13872"/>
      <c r="F13872"/>
      <c r="G13872"/>
      <c r="H13872"/>
      <c r="I13872"/>
      <c r="J13872"/>
      <c r="K13872" s="1"/>
      <c r="L13872" s="2"/>
    </row>
    <row r="13873" spans="1:12" x14ac:dyDescent="0.2">
      <c r="A13873"/>
      <c r="B13873"/>
      <c r="C13873"/>
      <c r="D13873"/>
      <c r="E13873"/>
      <c r="F13873"/>
      <c r="G13873"/>
      <c r="H13873"/>
      <c r="I13873"/>
      <c r="J13873"/>
      <c r="K13873" s="1"/>
      <c r="L13873" s="2"/>
    </row>
    <row r="13874" spans="1:12" x14ac:dyDescent="0.2">
      <c r="A13874"/>
      <c r="B13874"/>
      <c r="C13874"/>
      <c r="D13874"/>
      <c r="E13874"/>
      <c r="F13874"/>
      <c r="G13874"/>
      <c r="H13874"/>
      <c r="I13874"/>
      <c r="J13874"/>
      <c r="K13874" s="1"/>
      <c r="L13874" s="2"/>
    </row>
    <row r="13875" spans="1:12" x14ac:dyDescent="0.2">
      <c r="A13875"/>
      <c r="B13875"/>
      <c r="C13875"/>
      <c r="D13875"/>
      <c r="E13875"/>
      <c r="F13875"/>
      <c r="G13875"/>
      <c r="H13875"/>
      <c r="I13875"/>
      <c r="J13875"/>
      <c r="K13875" s="1"/>
      <c r="L13875" s="2"/>
    </row>
    <row r="13876" spans="1:12" x14ac:dyDescent="0.2">
      <c r="A13876"/>
      <c r="B13876"/>
      <c r="C13876"/>
      <c r="D13876"/>
      <c r="E13876"/>
      <c r="F13876"/>
      <c r="G13876"/>
      <c r="H13876"/>
      <c r="I13876"/>
      <c r="J13876"/>
      <c r="K13876" s="1"/>
      <c r="L13876" s="2"/>
    </row>
    <row r="13877" spans="1:12" x14ac:dyDescent="0.2">
      <c r="A13877"/>
      <c r="B13877"/>
      <c r="C13877"/>
      <c r="D13877"/>
      <c r="E13877"/>
      <c r="F13877"/>
      <c r="G13877"/>
      <c r="H13877"/>
      <c r="I13877"/>
      <c r="J13877"/>
      <c r="K13877" s="1"/>
      <c r="L13877" s="2"/>
    </row>
    <row r="13878" spans="1:12" x14ac:dyDescent="0.2">
      <c r="A13878"/>
      <c r="B13878"/>
      <c r="C13878"/>
      <c r="D13878"/>
      <c r="E13878"/>
      <c r="F13878"/>
      <c r="G13878"/>
      <c r="H13878"/>
      <c r="I13878"/>
      <c r="J13878"/>
      <c r="K13878" s="1"/>
      <c r="L13878" s="2"/>
    </row>
    <row r="13879" spans="1:12" x14ac:dyDescent="0.2">
      <c r="A13879"/>
      <c r="B13879"/>
      <c r="C13879"/>
      <c r="D13879"/>
      <c r="E13879"/>
      <c r="F13879"/>
      <c r="G13879"/>
      <c r="H13879"/>
      <c r="I13879"/>
      <c r="J13879"/>
      <c r="K13879" s="1"/>
      <c r="L13879" s="2"/>
    </row>
    <row r="13880" spans="1:12" x14ac:dyDescent="0.2">
      <c r="A13880"/>
      <c r="B13880"/>
      <c r="C13880"/>
      <c r="D13880"/>
      <c r="E13880"/>
      <c r="F13880"/>
      <c r="G13880"/>
      <c r="H13880"/>
      <c r="I13880"/>
      <c r="J13880"/>
      <c r="K13880" s="1"/>
      <c r="L13880" s="2"/>
    </row>
    <row r="13881" spans="1:12" x14ac:dyDescent="0.2">
      <c r="A13881"/>
      <c r="B13881"/>
      <c r="C13881"/>
      <c r="D13881"/>
      <c r="E13881"/>
      <c r="F13881"/>
      <c r="G13881"/>
      <c r="H13881"/>
      <c r="I13881"/>
      <c r="J13881"/>
      <c r="K13881" s="1"/>
      <c r="L13881" s="2"/>
    </row>
    <row r="13882" spans="1:12" x14ac:dyDescent="0.2">
      <c r="A13882"/>
      <c r="B13882"/>
      <c r="C13882"/>
      <c r="D13882"/>
      <c r="E13882"/>
      <c r="F13882"/>
      <c r="G13882"/>
      <c r="H13882"/>
      <c r="I13882"/>
      <c r="J13882"/>
      <c r="K13882" s="1"/>
      <c r="L13882" s="2"/>
    </row>
    <row r="13883" spans="1:12" x14ac:dyDescent="0.2">
      <c r="A13883"/>
      <c r="B13883"/>
      <c r="C13883"/>
      <c r="D13883"/>
      <c r="E13883"/>
      <c r="F13883"/>
      <c r="G13883"/>
      <c r="H13883"/>
      <c r="I13883"/>
      <c r="J13883"/>
      <c r="K13883" s="1"/>
      <c r="L13883" s="2"/>
    </row>
    <row r="13884" spans="1:12" x14ac:dyDescent="0.2">
      <c r="A13884"/>
      <c r="B13884"/>
      <c r="C13884"/>
      <c r="D13884"/>
      <c r="E13884"/>
      <c r="F13884"/>
      <c r="G13884"/>
      <c r="H13884"/>
      <c r="I13884"/>
      <c r="J13884"/>
      <c r="K13884" s="1"/>
      <c r="L13884" s="2"/>
    </row>
    <row r="13885" spans="1:12" x14ac:dyDescent="0.2">
      <c r="A13885"/>
      <c r="B13885"/>
      <c r="C13885"/>
      <c r="D13885"/>
      <c r="E13885"/>
      <c r="F13885"/>
      <c r="G13885"/>
      <c r="H13885"/>
      <c r="I13885"/>
      <c r="J13885"/>
      <c r="K13885" s="1"/>
      <c r="L13885" s="2"/>
    </row>
    <row r="13886" spans="1:12" x14ac:dyDescent="0.2">
      <c r="A13886"/>
      <c r="B13886"/>
      <c r="C13886"/>
      <c r="D13886"/>
      <c r="E13886"/>
      <c r="F13886"/>
      <c r="G13886"/>
      <c r="H13886"/>
      <c r="I13886"/>
      <c r="J13886"/>
      <c r="K13886" s="1"/>
      <c r="L13886" s="2"/>
    </row>
    <row r="13887" spans="1:12" x14ac:dyDescent="0.2">
      <c r="A13887"/>
      <c r="B13887"/>
      <c r="C13887"/>
      <c r="D13887"/>
      <c r="E13887"/>
      <c r="F13887"/>
      <c r="G13887"/>
      <c r="H13887"/>
      <c r="I13887"/>
      <c r="J13887"/>
      <c r="K13887" s="1"/>
      <c r="L13887" s="2"/>
    </row>
    <row r="13888" spans="1:12" x14ac:dyDescent="0.2">
      <c r="A13888"/>
      <c r="B13888"/>
      <c r="C13888"/>
      <c r="D13888"/>
      <c r="E13888"/>
      <c r="F13888"/>
      <c r="G13888"/>
      <c r="H13888"/>
      <c r="I13888"/>
      <c r="J13888"/>
      <c r="K13888" s="1"/>
      <c r="L13888" s="2"/>
    </row>
    <row r="13889" spans="1:12" x14ac:dyDescent="0.2">
      <c r="A13889"/>
      <c r="B13889"/>
      <c r="C13889"/>
      <c r="D13889"/>
      <c r="E13889"/>
      <c r="F13889"/>
      <c r="G13889"/>
      <c r="H13889"/>
      <c r="I13889"/>
      <c r="J13889"/>
      <c r="K13889" s="1"/>
      <c r="L13889" s="2"/>
    </row>
    <row r="13890" spans="1:12" x14ac:dyDescent="0.2">
      <c r="A13890"/>
      <c r="B13890"/>
      <c r="C13890"/>
      <c r="D13890"/>
      <c r="E13890"/>
      <c r="F13890"/>
      <c r="G13890"/>
      <c r="H13890"/>
      <c r="I13890"/>
      <c r="J13890"/>
      <c r="K13890" s="1"/>
      <c r="L13890" s="2"/>
    </row>
    <row r="13891" spans="1:12" x14ac:dyDescent="0.2">
      <c r="A13891"/>
      <c r="B13891"/>
      <c r="C13891"/>
      <c r="D13891"/>
      <c r="E13891"/>
      <c r="F13891"/>
      <c r="G13891"/>
      <c r="H13891"/>
      <c r="I13891"/>
      <c r="J13891"/>
      <c r="K13891" s="1"/>
      <c r="L13891" s="2"/>
    </row>
    <row r="13892" spans="1:12" x14ac:dyDescent="0.2">
      <c r="A13892"/>
      <c r="B13892"/>
      <c r="C13892"/>
      <c r="D13892"/>
      <c r="E13892"/>
      <c r="F13892"/>
      <c r="G13892"/>
      <c r="H13892"/>
      <c r="I13892"/>
      <c r="J13892"/>
      <c r="K13892" s="1"/>
      <c r="L13892" s="2"/>
    </row>
    <row r="13893" spans="1:12" x14ac:dyDescent="0.2">
      <c r="A13893"/>
      <c r="B13893"/>
      <c r="C13893"/>
      <c r="D13893"/>
      <c r="E13893"/>
      <c r="F13893"/>
      <c r="G13893"/>
      <c r="H13893"/>
      <c r="I13893"/>
      <c r="J13893"/>
      <c r="K13893" s="1"/>
      <c r="L13893" s="2"/>
    </row>
    <row r="13894" spans="1:12" x14ac:dyDescent="0.2">
      <c r="A13894"/>
      <c r="B13894"/>
      <c r="C13894"/>
      <c r="D13894"/>
      <c r="E13894"/>
      <c r="F13894"/>
      <c r="G13894"/>
      <c r="H13894"/>
      <c r="I13894"/>
      <c r="J13894"/>
      <c r="K13894" s="1"/>
      <c r="L13894" s="2"/>
    </row>
    <row r="13895" spans="1:12" x14ac:dyDescent="0.2">
      <c r="A13895"/>
      <c r="B13895"/>
      <c r="C13895"/>
      <c r="D13895"/>
      <c r="E13895"/>
      <c r="F13895"/>
      <c r="G13895"/>
      <c r="H13895"/>
      <c r="I13895"/>
      <c r="J13895"/>
      <c r="K13895" s="1"/>
      <c r="L13895" s="2"/>
    </row>
    <row r="13896" spans="1:12" x14ac:dyDescent="0.2">
      <c r="A13896"/>
      <c r="B13896"/>
      <c r="C13896"/>
      <c r="D13896"/>
      <c r="E13896"/>
      <c r="F13896"/>
      <c r="G13896"/>
      <c r="H13896"/>
      <c r="I13896"/>
      <c r="J13896"/>
      <c r="K13896" s="1"/>
      <c r="L13896" s="2"/>
    </row>
    <row r="13897" spans="1:12" x14ac:dyDescent="0.2">
      <c r="A13897"/>
      <c r="B13897"/>
      <c r="C13897"/>
      <c r="D13897"/>
      <c r="E13897"/>
      <c r="F13897"/>
      <c r="G13897"/>
      <c r="H13897"/>
      <c r="I13897"/>
      <c r="J13897"/>
      <c r="K13897" s="1"/>
      <c r="L13897" s="2"/>
    </row>
    <row r="13898" spans="1:12" x14ac:dyDescent="0.2">
      <c r="A13898"/>
      <c r="B13898"/>
      <c r="C13898"/>
      <c r="D13898"/>
      <c r="E13898"/>
      <c r="F13898"/>
      <c r="G13898"/>
      <c r="H13898"/>
      <c r="I13898"/>
      <c r="J13898"/>
      <c r="K13898" s="1"/>
      <c r="L13898" s="2"/>
    </row>
    <row r="13899" spans="1:12" x14ac:dyDescent="0.2">
      <c r="A13899"/>
      <c r="B13899"/>
      <c r="C13899"/>
      <c r="D13899"/>
      <c r="E13899"/>
      <c r="F13899"/>
      <c r="G13899"/>
      <c r="H13899"/>
      <c r="I13899"/>
      <c r="J13899"/>
      <c r="K13899" s="1"/>
      <c r="L13899" s="2"/>
    </row>
    <row r="13900" spans="1:12" x14ac:dyDescent="0.2">
      <c r="A13900"/>
      <c r="B13900"/>
      <c r="C13900"/>
      <c r="D13900"/>
      <c r="E13900"/>
      <c r="F13900"/>
      <c r="G13900"/>
      <c r="H13900"/>
      <c r="I13900"/>
      <c r="J13900"/>
      <c r="K13900" s="1"/>
      <c r="L13900" s="2"/>
    </row>
    <row r="13901" spans="1:12" x14ac:dyDescent="0.2">
      <c r="A13901"/>
      <c r="B13901"/>
      <c r="C13901"/>
      <c r="D13901"/>
      <c r="E13901"/>
      <c r="F13901"/>
      <c r="G13901"/>
      <c r="H13901"/>
      <c r="I13901"/>
      <c r="J13901"/>
      <c r="K13901" s="1"/>
      <c r="L13901" s="2"/>
    </row>
    <row r="13902" spans="1:12" x14ac:dyDescent="0.2">
      <c r="A13902"/>
      <c r="B13902"/>
      <c r="C13902"/>
      <c r="D13902"/>
      <c r="E13902"/>
      <c r="F13902"/>
      <c r="G13902"/>
      <c r="H13902"/>
      <c r="I13902"/>
      <c r="J13902"/>
      <c r="K13902" s="1"/>
      <c r="L13902" s="2"/>
    </row>
    <row r="13903" spans="1:12" x14ac:dyDescent="0.2">
      <c r="A13903"/>
      <c r="B13903"/>
      <c r="C13903"/>
      <c r="D13903"/>
      <c r="E13903"/>
      <c r="F13903"/>
      <c r="G13903"/>
      <c r="H13903"/>
      <c r="I13903"/>
      <c r="J13903"/>
      <c r="K13903" s="1"/>
      <c r="L13903" s="2"/>
    </row>
    <row r="13904" spans="1:12" x14ac:dyDescent="0.2">
      <c r="A13904"/>
      <c r="B13904"/>
      <c r="C13904"/>
      <c r="D13904"/>
      <c r="E13904"/>
      <c r="F13904"/>
      <c r="G13904"/>
      <c r="H13904"/>
      <c r="I13904"/>
      <c r="J13904"/>
      <c r="K13904" s="1"/>
      <c r="L13904" s="2"/>
    </row>
    <row r="13905" spans="1:12" x14ac:dyDescent="0.2">
      <c r="A13905"/>
      <c r="B13905"/>
      <c r="C13905"/>
      <c r="D13905"/>
      <c r="E13905"/>
      <c r="F13905"/>
      <c r="G13905"/>
      <c r="H13905"/>
      <c r="I13905"/>
      <c r="J13905"/>
      <c r="K13905" s="1"/>
      <c r="L13905" s="2"/>
    </row>
    <row r="13906" spans="1:12" x14ac:dyDescent="0.2">
      <c r="A13906"/>
      <c r="B13906"/>
      <c r="C13906"/>
      <c r="D13906"/>
      <c r="E13906"/>
      <c r="F13906"/>
      <c r="G13906"/>
      <c r="H13906"/>
      <c r="I13906"/>
      <c r="J13906"/>
      <c r="K13906" s="1"/>
      <c r="L13906" s="2"/>
    </row>
    <row r="13907" spans="1:12" x14ac:dyDescent="0.2">
      <c r="A13907"/>
      <c r="B13907"/>
      <c r="C13907"/>
      <c r="D13907"/>
      <c r="E13907"/>
      <c r="F13907"/>
      <c r="G13907"/>
      <c r="H13907"/>
      <c r="I13907"/>
      <c r="J13907"/>
      <c r="K13907" s="1"/>
      <c r="L13907" s="2"/>
    </row>
    <row r="13908" spans="1:12" x14ac:dyDescent="0.2">
      <c r="A13908"/>
      <c r="B13908"/>
      <c r="C13908"/>
      <c r="D13908"/>
      <c r="E13908"/>
      <c r="F13908"/>
      <c r="G13908"/>
      <c r="H13908"/>
      <c r="I13908"/>
      <c r="J13908"/>
      <c r="K13908" s="1"/>
      <c r="L13908" s="2"/>
    </row>
    <row r="13909" spans="1:12" x14ac:dyDescent="0.2">
      <c r="A13909"/>
      <c r="B13909"/>
      <c r="C13909"/>
      <c r="D13909"/>
      <c r="E13909"/>
      <c r="F13909"/>
      <c r="G13909"/>
      <c r="H13909"/>
      <c r="I13909"/>
      <c r="J13909"/>
      <c r="K13909" s="1"/>
      <c r="L13909" s="2"/>
    </row>
    <row r="13910" spans="1:12" x14ac:dyDescent="0.2">
      <c r="A13910"/>
      <c r="B13910"/>
      <c r="C13910"/>
      <c r="D13910"/>
      <c r="E13910"/>
      <c r="F13910"/>
      <c r="G13910"/>
      <c r="H13910"/>
      <c r="I13910"/>
      <c r="J13910"/>
      <c r="K13910" s="1"/>
      <c r="L13910" s="2"/>
    </row>
    <row r="13911" spans="1:12" x14ac:dyDescent="0.2">
      <c r="A13911"/>
      <c r="B13911"/>
      <c r="C13911"/>
      <c r="D13911"/>
      <c r="E13911"/>
      <c r="F13911"/>
      <c r="G13911"/>
      <c r="H13911"/>
      <c r="I13911"/>
      <c r="J13911"/>
      <c r="K13911" s="1"/>
      <c r="L13911" s="2"/>
    </row>
    <row r="13912" spans="1:12" x14ac:dyDescent="0.2">
      <c r="A13912"/>
      <c r="B13912"/>
      <c r="C13912"/>
      <c r="D13912"/>
      <c r="E13912"/>
      <c r="F13912"/>
      <c r="G13912"/>
      <c r="H13912"/>
      <c r="I13912"/>
      <c r="J13912"/>
      <c r="K13912" s="1"/>
      <c r="L13912" s="2"/>
    </row>
    <row r="13913" spans="1:12" x14ac:dyDescent="0.2">
      <c r="A13913"/>
      <c r="B13913"/>
      <c r="C13913"/>
      <c r="D13913"/>
      <c r="E13913"/>
      <c r="F13913"/>
      <c r="G13913"/>
      <c r="H13913"/>
      <c r="I13913"/>
      <c r="J13913"/>
      <c r="K13913" s="1"/>
      <c r="L13913" s="2"/>
    </row>
    <row r="13914" spans="1:12" x14ac:dyDescent="0.2">
      <c r="A13914"/>
      <c r="B13914"/>
      <c r="C13914"/>
      <c r="D13914"/>
      <c r="E13914"/>
      <c r="F13914"/>
      <c r="G13914"/>
      <c r="H13914"/>
      <c r="I13914"/>
      <c r="J13914"/>
      <c r="K13914" s="1"/>
      <c r="L13914" s="2"/>
    </row>
    <row r="13915" spans="1:12" x14ac:dyDescent="0.2">
      <c r="A13915"/>
      <c r="B13915"/>
      <c r="C13915"/>
      <c r="D13915"/>
      <c r="E13915"/>
      <c r="F13915"/>
      <c r="G13915"/>
      <c r="H13915"/>
      <c r="I13915"/>
      <c r="J13915"/>
      <c r="K13915" s="1"/>
      <c r="L13915" s="2"/>
    </row>
    <row r="13916" spans="1:12" x14ac:dyDescent="0.2">
      <c r="A13916"/>
      <c r="B13916"/>
      <c r="C13916"/>
      <c r="D13916"/>
      <c r="E13916"/>
      <c r="F13916"/>
      <c r="G13916"/>
      <c r="H13916"/>
      <c r="I13916"/>
      <c r="J13916"/>
      <c r="K13916" s="1"/>
      <c r="L13916" s="2"/>
    </row>
    <row r="13917" spans="1:12" x14ac:dyDescent="0.2">
      <c r="A13917"/>
      <c r="B13917"/>
      <c r="C13917"/>
      <c r="D13917"/>
      <c r="E13917"/>
      <c r="F13917"/>
      <c r="G13917"/>
      <c r="H13917"/>
      <c r="I13917"/>
      <c r="J13917"/>
      <c r="K13917" s="1"/>
      <c r="L13917" s="2"/>
    </row>
    <row r="13918" spans="1:12" x14ac:dyDescent="0.2">
      <c r="A13918"/>
      <c r="B13918"/>
      <c r="C13918"/>
      <c r="D13918"/>
      <c r="E13918"/>
      <c r="F13918"/>
      <c r="G13918"/>
      <c r="H13918"/>
      <c r="I13918"/>
      <c r="J13918"/>
      <c r="K13918" s="1"/>
      <c r="L13918" s="2"/>
    </row>
    <row r="13919" spans="1:12" x14ac:dyDescent="0.2">
      <c r="A13919"/>
      <c r="B13919"/>
      <c r="C13919"/>
      <c r="D13919"/>
      <c r="E13919"/>
      <c r="F13919"/>
      <c r="G13919"/>
      <c r="H13919"/>
      <c r="I13919"/>
      <c r="J13919"/>
      <c r="K13919" s="1"/>
      <c r="L13919" s="2"/>
    </row>
    <row r="13920" spans="1:12" x14ac:dyDescent="0.2">
      <c r="A13920"/>
      <c r="B13920"/>
      <c r="C13920"/>
      <c r="D13920"/>
      <c r="E13920"/>
      <c r="F13920"/>
      <c r="G13920"/>
      <c r="H13920"/>
      <c r="I13920"/>
      <c r="J13920"/>
      <c r="K13920" s="1"/>
      <c r="L13920" s="2"/>
    </row>
    <row r="13921" spans="1:12" x14ac:dyDescent="0.2">
      <c r="A13921"/>
      <c r="B13921"/>
      <c r="C13921"/>
      <c r="D13921"/>
      <c r="E13921"/>
      <c r="F13921"/>
      <c r="G13921"/>
      <c r="H13921"/>
      <c r="I13921"/>
      <c r="J13921"/>
      <c r="K13921" s="1"/>
      <c r="L13921" s="2"/>
    </row>
    <row r="13922" spans="1:12" x14ac:dyDescent="0.2">
      <c r="A13922"/>
      <c r="B13922"/>
      <c r="C13922"/>
      <c r="D13922"/>
      <c r="E13922"/>
      <c r="F13922"/>
      <c r="G13922"/>
      <c r="H13922"/>
      <c r="I13922"/>
      <c r="J13922"/>
      <c r="K13922" s="1"/>
      <c r="L13922" s="2"/>
    </row>
    <row r="13923" spans="1:12" x14ac:dyDescent="0.2">
      <c r="A13923"/>
      <c r="B13923"/>
      <c r="C13923"/>
      <c r="D13923"/>
      <c r="E13923"/>
      <c r="F13923"/>
      <c r="G13923"/>
      <c r="H13923"/>
      <c r="I13923"/>
      <c r="J13923"/>
      <c r="K13923" s="1"/>
      <c r="L13923" s="2"/>
    </row>
    <row r="13924" spans="1:12" x14ac:dyDescent="0.2">
      <c r="A13924"/>
      <c r="B13924"/>
      <c r="C13924"/>
      <c r="D13924"/>
      <c r="E13924"/>
      <c r="F13924"/>
      <c r="G13924"/>
      <c r="H13924"/>
      <c r="I13924"/>
      <c r="J13924"/>
      <c r="K13924" s="1"/>
      <c r="L13924" s="2"/>
    </row>
    <row r="13925" spans="1:12" x14ac:dyDescent="0.2">
      <c r="A13925"/>
      <c r="B13925"/>
      <c r="C13925"/>
      <c r="D13925"/>
      <c r="E13925"/>
      <c r="F13925"/>
      <c r="G13925"/>
      <c r="H13925"/>
      <c r="I13925"/>
      <c r="J13925"/>
      <c r="K13925" s="1"/>
      <c r="L13925" s="2"/>
    </row>
    <row r="13926" spans="1:12" x14ac:dyDescent="0.2">
      <c r="A13926"/>
      <c r="B13926"/>
      <c r="C13926"/>
      <c r="D13926"/>
      <c r="E13926"/>
      <c r="F13926"/>
      <c r="G13926"/>
      <c r="H13926"/>
      <c r="I13926"/>
      <c r="J13926"/>
      <c r="K13926" s="1"/>
      <c r="L13926" s="2"/>
    </row>
    <row r="13927" spans="1:12" x14ac:dyDescent="0.2">
      <c r="A13927"/>
      <c r="B13927"/>
      <c r="C13927"/>
      <c r="D13927"/>
      <c r="E13927"/>
      <c r="F13927"/>
      <c r="G13927"/>
      <c r="H13927"/>
      <c r="I13927"/>
      <c r="J13927"/>
      <c r="K13927" s="1"/>
      <c r="L13927" s="2"/>
    </row>
    <row r="13928" spans="1:12" x14ac:dyDescent="0.2">
      <c r="A13928"/>
      <c r="B13928"/>
      <c r="C13928"/>
      <c r="D13928"/>
      <c r="E13928"/>
      <c r="F13928"/>
      <c r="G13928"/>
      <c r="H13928"/>
      <c r="I13928"/>
      <c r="J13928"/>
      <c r="K13928" s="1"/>
      <c r="L13928" s="2"/>
    </row>
    <row r="13929" spans="1:12" x14ac:dyDescent="0.2">
      <c r="A13929"/>
      <c r="B13929"/>
      <c r="C13929"/>
      <c r="D13929"/>
      <c r="E13929"/>
      <c r="F13929"/>
      <c r="G13929"/>
      <c r="H13929"/>
      <c r="I13929"/>
      <c r="J13929"/>
      <c r="K13929" s="1"/>
      <c r="L13929" s="2"/>
    </row>
    <row r="13930" spans="1:12" x14ac:dyDescent="0.2">
      <c r="A13930"/>
      <c r="B13930"/>
      <c r="C13930"/>
      <c r="D13930"/>
      <c r="E13930"/>
      <c r="F13930"/>
      <c r="G13930"/>
      <c r="H13930"/>
      <c r="I13930"/>
      <c r="J13930"/>
      <c r="K13930" s="1"/>
      <c r="L13930" s="2"/>
    </row>
    <row r="13931" spans="1:12" x14ac:dyDescent="0.2">
      <c r="A13931"/>
      <c r="B13931"/>
      <c r="C13931"/>
      <c r="D13931"/>
      <c r="E13931"/>
      <c r="F13931"/>
      <c r="G13931"/>
      <c r="H13931"/>
      <c r="I13931"/>
      <c r="J13931"/>
      <c r="K13931" s="1"/>
      <c r="L13931" s="2"/>
    </row>
    <row r="13932" spans="1:12" x14ac:dyDescent="0.2">
      <c r="A13932"/>
      <c r="B13932"/>
      <c r="C13932"/>
      <c r="D13932"/>
      <c r="E13932"/>
      <c r="F13932"/>
      <c r="G13932"/>
      <c r="H13932"/>
      <c r="I13932"/>
      <c r="J13932"/>
      <c r="K13932" s="1"/>
      <c r="L13932" s="2"/>
    </row>
    <row r="13933" spans="1:12" x14ac:dyDescent="0.2">
      <c r="A13933"/>
      <c r="B13933"/>
      <c r="C13933"/>
      <c r="D13933"/>
      <c r="E13933"/>
      <c r="F13933"/>
      <c r="G13933"/>
      <c r="H13933"/>
      <c r="I13933"/>
      <c r="J13933"/>
      <c r="K13933" s="1"/>
      <c r="L13933" s="2"/>
    </row>
    <row r="13934" spans="1:12" x14ac:dyDescent="0.2">
      <c r="A13934"/>
      <c r="B13934"/>
      <c r="C13934"/>
      <c r="D13934"/>
      <c r="E13934"/>
      <c r="F13934"/>
      <c r="G13934"/>
      <c r="H13934"/>
      <c r="I13934"/>
      <c r="J13934"/>
      <c r="K13934" s="1"/>
      <c r="L13934" s="2"/>
    </row>
    <row r="13935" spans="1:12" x14ac:dyDescent="0.2">
      <c r="A13935"/>
      <c r="B13935"/>
      <c r="C13935"/>
      <c r="D13935"/>
      <c r="E13935"/>
      <c r="F13935"/>
      <c r="G13935"/>
      <c r="H13935"/>
      <c r="I13935"/>
      <c r="J13935"/>
      <c r="K13935" s="1"/>
      <c r="L13935" s="2"/>
    </row>
    <row r="13936" spans="1:12" x14ac:dyDescent="0.2">
      <c r="A13936"/>
      <c r="B13936"/>
      <c r="C13936"/>
      <c r="D13936"/>
      <c r="E13936"/>
      <c r="F13936"/>
      <c r="G13936"/>
      <c r="H13936"/>
      <c r="I13936"/>
      <c r="J13936"/>
      <c r="K13936" s="1"/>
      <c r="L13936" s="2"/>
    </row>
    <row r="13937" spans="1:12" x14ac:dyDescent="0.2">
      <c r="A13937"/>
      <c r="B13937"/>
      <c r="C13937"/>
      <c r="D13937"/>
      <c r="E13937"/>
      <c r="F13937"/>
      <c r="G13937"/>
      <c r="H13937"/>
      <c r="I13937"/>
      <c r="J13937"/>
      <c r="K13937" s="1"/>
      <c r="L13937" s="2"/>
    </row>
    <row r="13938" spans="1:12" x14ac:dyDescent="0.2">
      <c r="A13938"/>
      <c r="B13938"/>
      <c r="C13938"/>
      <c r="D13938"/>
      <c r="E13938"/>
      <c r="F13938"/>
      <c r="G13938"/>
      <c r="H13938"/>
      <c r="I13938"/>
      <c r="J13938"/>
      <c r="K13938" s="1"/>
      <c r="L13938" s="2"/>
    </row>
    <row r="13939" spans="1:12" x14ac:dyDescent="0.2">
      <c r="A13939"/>
      <c r="B13939"/>
      <c r="C13939"/>
      <c r="D13939"/>
      <c r="E13939"/>
      <c r="F13939"/>
      <c r="G13939"/>
      <c r="H13939"/>
      <c r="I13939"/>
      <c r="J13939"/>
      <c r="K13939" s="1"/>
      <c r="L13939" s="2"/>
    </row>
    <row r="13940" spans="1:12" x14ac:dyDescent="0.2">
      <c r="A13940"/>
      <c r="B13940"/>
      <c r="C13940"/>
      <c r="D13940"/>
      <c r="E13940"/>
      <c r="F13940"/>
      <c r="G13940"/>
      <c r="H13940"/>
      <c r="I13940"/>
      <c r="J13940"/>
      <c r="K13940" s="1"/>
      <c r="L13940" s="2"/>
    </row>
    <row r="13941" spans="1:12" x14ac:dyDescent="0.2">
      <c r="A13941"/>
      <c r="B13941"/>
      <c r="C13941"/>
      <c r="D13941"/>
      <c r="E13941"/>
      <c r="F13941"/>
      <c r="G13941"/>
      <c r="H13941"/>
      <c r="I13941"/>
      <c r="J13941"/>
      <c r="K13941" s="1"/>
      <c r="L13941" s="2"/>
    </row>
    <row r="13942" spans="1:12" x14ac:dyDescent="0.2">
      <c r="A13942"/>
      <c r="B13942"/>
      <c r="C13942"/>
      <c r="D13942"/>
      <c r="E13942"/>
      <c r="F13942"/>
      <c r="G13942"/>
      <c r="H13942"/>
      <c r="I13942"/>
      <c r="J13942"/>
      <c r="K13942" s="1"/>
      <c r="L13942" s="2"/>
    </row>
    <row r="13943" spans="1:12" x14ac:dyDescent="0.2">
      <c r="A13943"/>
      <c r="B13943"/>
      <c r="C13943"/>
      <c r="D13943"/>
      <c r="E13943"/>
      <c r="F13943"/>
      <c r="G13943"/>
      <c r="H13943"/>
      <c r="I13943"/>
      <c r="J13943"/>
      <c r="K13943" s="1"/>
      <c r="L13943" s="2"/>
    </row>
    <row r="13944" spans="1:12" x14ac:dyDescent="0.2">
      <c r="A13944"/>
      <c r="B13944"/>
      <c r="C13944"/>
      <c r="D13944"/>
      <c r="E13944"/>
      <c r="F13944"/>
      <c r="G13944"/>
      <c r="H13944"/>
      <c r="I13944"/>
      <c r="J13944"/>
      <c r="K13944" s="1"/>
      <c r="L13944" s="2"/>
    </row>
    <row r="13945" spans="1:12" x14ac:dyDescent="0.2">
      <c r="A13945"/>
      <c r="B13945"/>
      <c r="C13945"/>
      <c r="D13945"/>
      <c r="E13945"/>
      <c r="F13945"/>
      <c r="G13945"/>
      <c r="H13945"/>
      <c r="I13945"/>
      <c r="J13945"/>
      <c r="K13945" s="1"/>
      <c r="L13945" s="2"/>
    </row>
    <row r="13946" spans="1:12" x14ac:dyDescent="0.2">
      <c r="A13946"/>
      <c r="B13946"/>
      <c r="C13946"/>
      <c r="D13946"/>
      <c r="E13946"/>
      <c r="F13946"/>
      <c r="G13946"/>
      <c r="H13946"/>
      <c r="I13946"/>
      <c r="J13946"/>
      <c r="K13946" s="1"/>
      <c r="L13946" s="2"/>
    </row>
    <row r="13947" spans="1:12" x14ac:dyDescent="0.2">
      <c r="A13947"/>
      <c r="B13947"/>
      <c r="C13947"/>
      <c r="D13947"/>
      <c r="E13947"/>
      <c r="F13947"/>
      <c r="G13947"/>
      <c r="H13947"/>
      <c r="I13947"/>
      <c r="J13947"/>
      <c r="K13947" s="1"/>
      <c r="L13947" s="2"/>
    </row>
    <row r="13948" spans="1:12" x14ac:dyDescent="0.2">
      <c r="A13948"/>
      <c r="B13948"/>
      <c r="C13948"/>
      <c r="D13948"/>
      <c r="E13948"/>
      <c r="F13948"/>
      <c r="G13948"/>
      <c r="H13948"/>
      <c r="I13948"/>
      <c r="J13948"/>
      <c r="K13948" s="1"/>
      <c r="L13948" s="2"/>
    </row>
    <row r="13949" spans="1:12" x14ac:dyDescent="0.2">
      <c r="A13949"/>
      <c r="B13949"/>
      <c r="C13949"/>
      <c r="D13949"/>
      <c r="E13949"/>
      <c r="F13949"/>
      <c r="G13949"/>
      <c r="H13949"/>
      <c r="I13949"/>
      <c r="J13949"/>
      <c r="K13949" s="1"/>
      <c r="L13949" s="2"/>
    </row>
    <row r="13950" spans="1:12" x14ac:dyDescent="0.2">
      <c r="A13950"/>
      <c r="B13950"/>
      <c r="C13950"/>
      <c r="D13950"/>
      <c r="E13950"/>
      <c r="F13950"/>
      <c r="G13950"/>
      <c r="H13950"/>
      <c r="I13950"/>
      <c r="J13950"/>
      <c r="K13950" s="1"/>
      <c r="L13950" s="2"/>
    </row>
    <row r="13951" spans="1:12" x14ac:dyDescent="0.2">
      <c r="A13951"/>
      <c r="B13951"/>
      <c r="C13951"/>
      <c r="D13951"/>
      <c r="E13951"/>
      <c r="F13951"/>
      <c r="G13951"/>
      <c r="H13951"/>
      <c r="I13951"/>
      <c r="J13951"/>
      <c r="K13951" s="1"/>
      <c r="L13951" s="2"/>
    </row>
    <row r="13952" spans="1:12" x14ac:dyDescent="0.2">
      <c r="A13952"/>
      <c r="B13952"/>
      <c r="C13952"/>
      <c r="D13952"/>
      <c r="E13952"/>
      <c r="F13952"/>
      <c r="G13952"/>
      <c r="H13952"/>
      <c r="I13952"/>
      <c r="J13952"/>
      <c r="K13952" s="1"/>
      <c r="L13952" s="2"/>
    </row>
    <row r="13953" spans="1:12" x14ac:dyDescent="0.2">
      <c r="A13953"/>
      <c r="B13953"/>
      <c r="C13953"/>
      <c r="D13953"/>
      <c r="E13953"/>
      <c r="F13953"/>
      <c r="G13953"/>
      <c r="H13953"/>
      <c r="I13953"/>
      <c r="J13953"/>
      <c r="K13953" s="1"/>
      <c r="L13953" s="2"/>
    </row>
    <row r="13954" spans="1:12" x14ac:dyDescent="0.2">
      <c r="A13954"/>
      <c r="B13954"/>
      <c r="C13954"/>
      <c r="D13954"/>
      <c r="E13954"/>
      <c r="F13954"/>
      <c r="G13954"/>
      <c r="H13954"/>
      <c r="I13954"/>
      <c r="J13954"/>
      <c r="K13954" s="1"/>
      <c r="L13954" s="2"/>
    </row>
    <row r="13955" spans="1:12" x14ac:dyDescent="0.2">
      <c r="A13955"/>
      <c r="B13955"/>
      <c r="C13955"/>
      <c r="D13955"/>
      <c r="E13955"/>
      <c r="F13955"/>
      <c r="G13955"/>
      <c r="H13955"/>
      <c r="I13955"/>
      <c r="J13955"/>
      <c r="K13955" s="1"/>
      <c r="L13955" s="2"/>
    </row>
    <row r="13956" spans="1:12" x14ac:dyDescent="0.2">
      <c r="A13956"/>
      <c r="B13956"/>
      <c r="C13956"/>
      <c r="D13956"/>
      <c r="E13956"/>
      <c r="F13956"/>
      <c r="G13956"/>
      <c r="H13956"/>
      <c r="I13956"/>
      <c r="J13956"/>
      <c r="K13956" s="1"/>
      <c r="L13956" s="2"/>
    </row>
    <row r="13957" spans="1:12" x14ac:dyDescent="0.2">
      <c r="A13957"/>
      <c r="B13957"/>
      <c r="C13957"/>
      <c r="D13957"/>
      <c r="E13957"/>
      <c r="F13957"/>
      <c r="G13957"/>
      <c r="H13957"/>
      <c r="I13957"/>
      <c r="J13957"/>
      <c r="K13957" s="1"/>
      <c r="L13957" s="2"/>
    </row>
    <row r="13958" spans="1:12" x14ac:dyDescent="0.2">
      <c r="A13958"/>
      <c r="B13958"/>
      <c r="C13958"/>
      <c r="D13958"/>
      <c r="E13958"/>
      <c r="F13958"/>
      <c r="G13958"/>
      <c r="H13958"/>
      <c r="I13958"/>
      <c r="J13958"/>
      <c r="K13958" s="1"/>
      <c r="L13958" s="2"/>
    </row>
    <row r="13959" spans="1:12" x14ac:dyDescent="0.2">
      <c r="A13959"/>
      <c r="B13959"/>
      <c r="C13959"/>
      <c r="D13959"/>
      <c r="E13959"/>
      <c r="F13959"/>
      <c r="G13959"/>
      <c r="H13959"/>
      <c r="I13959"/>
      <c r="J13959"/>
      <c r="K13959" s="1"/>
      <c r="L13959" s="2"/>
    </row>
    <row r="13960" spans="1:12" x14ac:dyDescent="0.2">
      <c r="A13960"/>
      <c r="B13960"/>
      <c r="C13960"/>
      <c r="D13960"/>
      <c r="E13960"/>
      <c r="F13960"/>
      <c r="G13960"/>
      <c r="H13960"/>
      <c r="I13960"/>
      <c r="J13960"/>
      <c r="K13960" s="1"/>
      <c r="L13960" s="2"/>
    </row>
    <row r="13961" spans="1:12" x14ac:dyDescent="0.2">
      <c r="A13961"/>
      <c r="B13961"/>
      <c r="C13961"/>
      <c r="D13961"/>
      <c r="E13961"/>
      <c r="F13961"/>
      <c r="G13961"/>
      <c r="H13961"/>
      <c r="I13961"/>
      <c r="J13961"/>
      <c r="K13961" s="1"/>
      <c r="L13961" s="2"/>
    </row>
    <row r="13962" spans="1:12" x14ac:dyDescent="0.2">
      <c r="A13962"/>
      <c r="B13962"/>
      <c r="C13962"/>
      <c r="D13962"/>
      <c r="E13962"/>
      <c r="F13962"/>
      <c r="G13962"/>
      <c r="H13962"/>
      <c r="I13962"/>
      <c r="J13962"/>
      <c r="K13962" s="1"/>
      <c r="L13962" s="2"/>
    </row>
    <row r="13963" spans="1:12" x14ac:dyDescent="0.2">
      <c r="A13963"/>
      <c r="B13963"/>
      <c r="C13963"/>
      <c r="D13963"/>
      <c r="E13963"/>
      <c r="F13963"/>
      <c r="G13963"/>
      <c r="H13963"/>
      <c r="I13963"/>
      <c r="J13963"/>
      <c r="K13963" s="1"/>
      <c r="L13963" s="2"/>
    </row>
    <row r="13964" spans="1:12" x14ac:dyDescent="0.2">
      <c r="A13964"/>
      <c r="B13964"/>
      <c r="C13964"/>
      <c r="D13964"/>
      <c r="E13964"/>
      <c r="F13964"/>
      <c r="G13964"/>
      <c r="H13964"/>
      <c r="I13964"/>
      <c r="J13964"/>
      <c r="K13964" s="1"/>
      <c r="L13964" s="2"/>
    </row>
    <row r="13965" spans="1:12" x14ac:dyDescent="0.2">
      <c r="A13965"/>
      <c r="B13965"/>
      <c r="C13965"/>
      <c r="D13965"/>
      <c r="E13965"/>
      <c r="F13965"/>
      <c r="G13965"/>
      <c r="H13965"/>
      <c r="I13965"/>
      <c r="J13965"/>
      <c r="K13965" s="1"/>
      <c r="L13965" s="2"/>
    </row>
    <row r="13966" spans="1:12" x14ac:dyDescent="0.2">
      <c r="A13966"/>
      <c r="B13966"/>
      <c r="C13966"/>
      <c r="D13966"/>
      <c r="E13966"/>
      <c r="F13966"/>
      <c r="G13966"/>
      <c r="H13966"/>
      <c r="I13966"/>
      <c r="J13966"/>
      <c r="K13966" s="1"/>
      <c r="L13966" s="2"/>
    </row>
    <row r="13967" spans="1:12" x14ac:dyDescent="0.2">
      <c r="A13967"/>
      <c r="B13967"/>
      <c r="C13967"/>
      <c r="D13967"/>
      <c r="E13967"/>
      <c r="F13967"/>
      <c r="G13967"/>
      <c r="H13967"/>
      <c r="I13967"/>
      <c r="J13967"/>
      <c r="K13967" s="1"/>
      <c r="L13967" s="2"/>
    </row>
    <row r="13968" spans="1:12" x14ac:dyDescent="0.2">
      <c r="A13968"/>
      <c r="B13968"/>
      <c r="C13968"/>
      <c r="D13968"/>
      <c r="E13968"/>
      <c r="F13968"/>
      <c r="G13968"/>
      <c r="H13968"/>
      <c r="I13968"/>
      <c r="J13968"/>
      <c r="K13968" s="1"/>
      <c r="L13968" s="2"/>
    </row>
    <row r="13969" spans="1:12" x14ac:dyDescent="0.2">
      <c r="A13969"/>
      <c r="B13969"/>
      <c r="C13969"/>
      <c r="D13969"/>
      <c r="E13969"/>
      <c r="F13969"/>
      <c r="G13969"/>
      <c r="H13969"/>
      <c r="I13969"/>
      <c r="J13969"/>
      <c r="K13969" s="1"/>
      <c r="L13969" s="2"/>
    </row>
    <row r="13970" spans="1:12" x14ac:dyDescent="0.2">
      <c r="A13970"/>
      <c r="B13970"/>
      <c r="C13970"/>
      <c r="D13970"/>
      <c r="E13970"/>
      <c r="F13970"/>
      <c r="G13970"/>
      <c r="H13970"/>
      <c r="I13970"/>
      <c r="J13970"/>
      <c r="K13970" s="1"/>
      <c r="L13970" s="2"/>
    </row>
    <row r="13971" spans="1:12" x14ac:dyDescent="0.2">
      <c r="A13971"/>
      <c r="B13971"/>
      <c r="C13971"/>
      <c r="D13971"/>
      <c r="E13971"/>
      <c r="F13971"/>
      <c r="G13971"/>
      <c r="H13971"/>
      <c r="I13971"/>
      <c r="J13971"/>
      <c r="K13971" s="1"/>
      <c r="L13971" s="2"/>
    </row>
    <row r="13972" spans="1:12" x14ac:dyDescent="0.2">
      <c r="A13972"/>
      <c r="B13972"/>
      <c r="C13972"/>
      <c r="D13972"/>
      <c r="E13972"/>
      <c r="F13972"/>
      <c r="G13972"/>
      <c r="H13972"/>
      <c r="I13972"/>
      <c r="J13972"/>
      <c r="K13972" s="1"/>
      <c r="L13972" s="2"/>
    </row>
    <row r="13973" spans="1:12" x14ac:dyDescent="0.2">
      <c r="A13973"/>
      <c r="B13973"/>
      <c r="C13973"/>
      <c r="D13973"/>
      <c r="E13973"/>
      <c r="F13973"/>
      <c r="G13973"/>
      <c r="H13973"/>
      <c r="I13973"/>
      <c r="J13973"/>
      <c r="K13973" s="1"/>
      <c r="L13973" s="2"/>
    </row>
    <row r="13974" spans="1:12" x14ac:dyDescent="0.2">
      <c r="A13974"/>
      <c r="B13974"/>
      <c r="C13974"/>
      <c r="D13974"/>
      <c r="E13974"/>
      <c r="F13974"/>
      <c r="G13974"/>
      <c r="H13974"/>
      <c r="I13974"/>
      <c r="J13974"/>
      <c r="K13974" s="1"/>
      <c r="L13974" s="2"/>
    </row>
    <row r="13975" spans="1:12" x14ac:dyDescent="0.2">
      <c r="A13975"/>
      <c r="B13975"/>
      <c r="C13975"/>
      <c r="D13975"/>
      <c r="E13975"/>
      <c r="F13975"/>
      <c r="G13975"/>
      <c r="H13975"/>
      <c r="I13975"/>
      <c r="J13975"/>
      <c r="K13975" s="1"/>
      <c r="L13975" s="2"/>
    </row>
    <row r="13976" spans="1:12" x14ac:dyDescent="0.2">
      <c r="A13976"/>
      <c r="B13976"/>
      <c r="C13976"/>
      <c r="D13976"/>
      <c r="E13976"/>
      <c r="F13976"/>
      <c r="G13976"/>
      <c r="H13976"/>
      <c r="I13976"/>
      <c r="J13976"/>
      <c r="K13976" s="1"/>
      <c r="L13976" s="2"/>
    </row>
    <row r="13977" spans="1:12" x14ac:dyDescent="0.2">
      <c r="A13977"/>
      <c r="B13977"/>
      <c r="C13977"/>
      <c r="D13977"/>
      <c r="E13977"/>
      <c r="F13977"/>
      <c r="G13977"/>
      <c r="H13977"/>
      <c r="I13977"/>
      <c r="J13977"/>
      <c r="K13977" s="1"/>
      <c r="L13977" s="2"/>
    </row>
    <row r="13978" spans="1:12" x14ac:dyDescent="0.2">
      <c r="A13978"/>
      <c r="B13978"/>
      <c r="C13978"/>
      <c r="D13978"/>
      <c r="E13978"/>
      <c r="F13978"/>
      <c r="G13978"/>
      <c r="H13978"/>
      <c r="I13978"/>
      <c r="J13978"/>
      <c r="K13978" s="1"/>
      <c r="L13978" s="2"/>
    </row>
    <row r="13979" spans="1:12" x14ac:dyDescent="0.2">
      <c r="A13979"/>
      <c r="B13979"/>
      <c r="C13979"/>
      <c r="D13979"/>
      <c r="E13979"/>
      <c r="F13979"/>
      <c r="G13979"/>
      <c r="H13979"/>
      <c r="I13979"/>
      <c r="J13979"/>
      <c r="K13979" s="1"/>
      <c r="L13979" s="2"/>
    </row>
    <row r="13980" spans="1:12" x14ac:dyDescent="0.2">
      <c r="A13980"/>
      <c r="B13980"/>
      <c r="C13980"/>
      <c r="D13980"/>
      <c r="E13980"/>
      <c r="F13980"/>
      <c r="G13980"/>
      <c r="H13980"/>
      <c r="I13980"/>
      <c r="J13980"/>
      <c r="K13980" s="1"/>
      <c r="L13980" s="2"/>
    </row>
    <row r="13981" spans="1:12" x14ac:dyDescent="0.2">
      <c r="A13981"/>
      <c r="B13981"/>
      <c r="C13981"/>
      <c r="D13981"/>
      <c r="E13981"/>
      <c r="F13981"/>
      <c r="G13981"/>
      <c r="H13981"/>
      <c r="I13981"/>
      <c r="J13981"/>
      <c r="K13981" s="1"/>
      <c r="L13981" s="2"/>
    </row>
    <row r="13982" spans="1:12" x14ac:dyDescent="0.2">
      <c r="A13982"/>
      <c r="B13982"/>
      <c r="C13982"/>
      <c r="D13982"/>
      <c r="E13982"/>
      <c r="F13982"/>
      <c r="G13982"/>
      <c r="H13982"/>
      <c r="I13982"/>
      <c r="J13982"/>
      <c r="K13982" s="1"/>
      <c r="L13982" s="2"/>
    </row>
    <row r="13983" spans="1:12" x14ac:dyDescent="0.2">
      <c r="A13983"/>
      <c r="B13983"/>
      <c r="C13983"/>
      <c r="D13983"/>
      <c r="E13983"/>
      <c r="F13983"/>
      <c r="G13983"/>
      <c r="H13983"/>
      <c r="I13983"/>
      <c r="J13983"/>
      <c r="K13983" s="1"/>
      <c r="L13983" s="2"/>
    </row>
    <row r="13984" spans="1:12" x14ac:dyDescent="0.2">
      <c r="A13984"/>
      <c r="B13984"/>
      <c r="C13984"/>
      <c r="D13984"/>
      <c r="E13984"/>
      <c r="F13984"/>
      <c r="G13984"/>
      <c r="H13984"/>
      <c r="I13984"/>
      <c r="J13984"/>
      <c r="K13984" s="1"/>
      <c r="L13984" s="2"/>
    </row>
    <row r="13985" spans="1:12" x14ac:dyDescent="0.2">
      <c r="A13985"/>
      <c r="B13985"/>
      <c r="C13985"/>
      <c r="D13985"/>
      <c r="E13985"/>
      <c r="F13985"/>
      <c r="G13985"/>
      <c r="H13985"/>
      <c r="I13985"/>
      <c r="J13985"/>
      <c r="K13985" s="1"/>
      <c r="L13985" s="2"/>
    </row>
    <row r="13986" spans="1:12" x14ac:dyDescent="0.2">
      <c r="A13986"/>
      <c r="B13986"/>
      <c r="C13986"/>
      <c r="D13986"/>
      <c r="E13986"/>
      <c r="F13986"/>
      <c r="G13986"/>
      <c r="H13986"/>
      <c r="I13986"/>
      <c r="J13986"/>
      <c r="K13986" s="1"/>
      <c r="L13986" s="2"/>
    </row>
    <row r="13987" spans="1:12" x14ac:dyDescent="0.2">
      <c r="A13987"/>
      <c r="B13987"/>
      <c r="C13987"/>
      <c r="D13987"/>
      <c r="E13987"/>
      <c r="F13987"/>
      <c r="G13987"/>
      <c r="H13987"/>
      <c r="I13987"/>
      <c r="J13987"/>
      <c r="K13987" s="1"/>
      <c r="L13987" s="2"/>
    </row>
    <row r="13988" spans="1:12" x14ac:dyDescent="0.2">
      <c r="A13988"/>
      <c r="B13988"/>
      <c r="C13988"/>
      <c r="D13988"/>
      <c r="E13988"/>
      <c r="F13988"/>
      <c r="G13988"/>
      <c r="H13988"/>
      <c r="I13988"/>
      <c r="J13988"/>
      <c r="K13988" s="1"/>
      <c r="L13988" s="2"/>
    </row>
    <row r="13989" spans="1:12" x14ac:dyDescent="0.2">
      <c r="A13989"/>
      <c r="B13989"/>
      <c r="C13989"/>
      <c r="D13989"/>
      <c r="E13989"/>
      <c r="F13989"/>
      <c r="G13989"/>
      <c r="H13989"/>
      <c r="I13989"/>
      <c r="J13989"/>
      <c r="K13989" s="1"/>
      <c r="L13989" s="2"/>
    </row>
    <row r="13990" spans="1:12" x14ac:dyDescent="0.2">
      <c r="A13990"/>
      <c r="B13990"/>
      <c r="C13990"/>
      <c r="D13990"/>
      <c r="E13990"/>
      <c r="F13990"/>
      <c r="G13990"/>
      <c r="H13990"/>
      <c r="I13990"/>
      <c r="J13990"/>
      <c r="K13990" s="1"/>
      <c r="L13990" s="2"/>
    </row>
    <row r="13991" spans="1:12" x14ac:dyDescent="0.2">
      <c r="A13991"/>
      <c r="B13991"/>
      <c r="C13991"/>
      <c r="D13991"/>
      <c r="E13991"/>
      <c r="F13991"/>
      <c r="G13991"/>
      <c r="H13991"/>
      <c r="I13991"/>
      <c r="J13991"/>
      <c r="K13991" s="1"/>
      <c r="L13991" s="2"/>
    </row>
    <row r="13992" spans="1:12" x14ac:dyDescent="0.2">
      <c r="A13992"/>
      <c r="B13992"/>
      <c r="C13992"/>
      <c r="D13992"/>
      <c r="E13992"/>
      <c r="F13992"/>
      <c r="G13992"/>
      <c r="H13992"/>
      <c r="I13992"/>
      <c r="J13992"/>
      <c r="K13992" s="1"/>
      <c r="L13992" s="2"/>
    </row>
    <row r="13993" spans="1:12" x14ac:dyDescent="0.2">
      <c r="A13993"/>
      <c r="B13993"/>
      <c r="C13993"/>
      <c r="D13993"/>
      <c r="E13993"/>
      <c r="F13993"/>
      <c r="G13993"/>
      <c r="H13993"/>
      <c r="I13993"/>
      <c r="J13993"/>
      <c r="K13993" s="1"/>
      <c r="L13993" s="2"/>
    </row>
    <row r="13994" spans="1:12" x14ac:dyDescent="0.2">
      <c r="A13994"/>
      <c r="B13994"/>
      <c r="C13994"/>
      <c r="D13994"/>
      <c r="E13994"/>
      <c r="F13994"/>
      <c r="G13994"/>
      <c r="H13994"/>
      <c r="I13994"/>
      <c r="J13994"/>
      <c r="K13994" s="1"/>
      <c r="L13994" s="2"/>
    </row>
    <row r="13995" spans="1:12" x14ac:dyDescent="0.2">
      <c r="A13995"/>
      <c r="B13995"/>
      <c r="C13995"/>
      <c r="D13995"/>
      <c r="E13995"/>
      <c r="F13995"/>
      <c r="G13995"/>
      <c r="H13995"/>
      <c r="I13995"/>
      <c r="J13995"/>
      <c r="K13995" s="1"/>
      <c r="L13995" s="2"/>
    </row>
    <row r="13996" spans="1:12" x14ac:dyDescent="0.2">
      <c r="A13996"/>
      <c r="B13996"/>
      <c r="C13996"/>
      <c r="D13996"/>
      <c r="E13996"/>
      <c r="F13996"/>
      <c r="G13996"/>
      <c r="H13996"/>
      <c r="I13996"/>
      <c r="J13996"/>
      <c r="K13996" s="1"/>
      <c r="L13996" s="2"/>
    </row>
    <row r="13997" spans="1:12" x14ac:dyDescent="0.2">
      <c r="A13997"/>
      <c r="B13997"/>
      <c r="C13997"/>
      <c r="D13997"/>
      <c r="E13997"/>
      <c r="F13997"/>
      <c r="G13997"/>
      <c r="H13997"/>
      <c r="I13997"/>
      <c r="J13997"/>
      <c r="K13997" s="1"/>
      <c r="L13997" s="2"/>
    </row>
    <row r="13998" spans="1:12" x14ac:dyDescent="0.2">
      <c r="A13998"/>
      <c r="B13998"/>
      <c r="C13998"/>
      <c r="D13998"/>
      <c r="E13998"/>
      <c r="F13998"/>
      <c r="G13998"/>
      <c r="H13998"/>
      <c r="I13998"/>
      <c r="J13998"/>
      <c r="K13998" s="1"/>
      <c r="L13998" s="2"/>
    </row>
    <row r="13999" spans="1:12" x14ac:dyDescent="0.2">
      <c r="A13999"/>
      <c r="B13999"/>
      <c r="C13999"/>
      <c r="D13999"/>
      <c r="E13999"/>
      <c r="F13999"/>
      <c r="G13999"/>
      <c r="H13999"/>
      <c r="I13999"/>
      <c r="J13999"/>
      <c r="K13999" s="1"/>
      <c r="L13999" s="2"/>
    </row>
    <row r="14000" spans="1:12" x14ac:dyDescent="0.2">
      <c r="A14000"/>
      <c r="B14000"/>
      <c r="C14000"/>
      <c r="D14000"/>
      <c r="E14000"/>
      <c r="F14000"/>
      <c r="G14000"/>
      <c r="H14000"/>
      <c r="I14000"/>
      <c r="J14000"/>
      <c r="K14000" s="1"/>
      <c r="L14000" s="2"/>
    </row>
    <row r="14001" spans="1:12" x14ac:dyDescent="0.2">
      <c r="A14001"/>
      <c r="B14001"/>
      <c r="C14001"/>
      <c r="D14001"/>
      <c r="E14001"/>
      <c r="F14001"/>
      <c r="G14001"/>
      <c r="H14001"/>
      <c r="I14001"/>
      <c r="J14001"/>
      <c r="K14001" s="1"/>
      <c r="L14001" s="2"/>
    </row>
    <row r="14002" spans="1:12" x14ac:dyDescent="0.2">
      <c r="A14002"/>
      <c r="B14002"/>
      <c r="C14002"/>
      <c r="D14002"/>
      <c r="E14002"/>
      <c r="F14002"/>
      <c r="G14002"/>
      <c r="H14002"/>
      <c r="I14002"/>
      <c r="J14002"/>
      <c r="K14002" s="1"/>
      <c r="L14002" s="2"/>
    </row>
    <row r="14003" spans="1:12" x14ac:dyDescent="0.2">
      <c r="A14003"/>
      <c r="B14003"/>
      <c r="C14003"/>
      <c r="D14003"/>
      <c r="E14003"/>
      <c r="F14003"/>
      <c r="G14003"/>
      <c r="H14003"/>
      <c r="I14003"/>
      <c r="J14003"/>
      <c r="K14003" s="1"/>
      <c r="L14003" s="2"/>
    </row>
    <row r="14004" spans="1:12" x14ac:dyDescent="0.2">
      <c r="A14004"/>
      <c r="B14004"/>
      <c r="C14004"/>
      <c r="D14004"/>
      <c r="E14004"/>
      <c r="F14004"/>
      <c r="G14004"/>
      <c r="H14004"/>
      <c r="I14004"/>
      <c r="J14004"/>
      <c r="K14004" s="1"/>
      <c r="L14004" s="2"/>
    </row>
    <row r="14005" spans="1:12" x14ac:dyDescent="0.2">
      <c r="A14005"/>
      <c r="B14005"/>
      <c r="C14005"/>
      <c r="D14005"/>
      <c r="E14005"/>
      <c r="F14005"/>
      <c r="G14005"/>
      <c r="H14005"/>
      <c r="I14005"/>
      <c r="J14005"/>
      <c r="K14005" s="1"/>
      <c r="L14005" s="2"/>
    </row>
    <row r="14006" spans="1:12" x14ac:dyDescent="0.2">
      <c r="A14006"/>
      <c r="B14006"/>
      <c r="C14006"/>
      <c r="D14006"/>
      <c r="E14006"/>
      <c r="F14006"/>
      <c r="G14006"/>
      <c r="H14006"/>
      <c r="I14006"/>
      <c r="J14006"/>
      <c r="K14006" s="1"/>
      <c r="L14006" s="2"/>
    </row>
    <row r="14007" spans="1:12" x14ac:dyDescent="0.2">
      <c r="A14007"/>
      <c r="B14007"/>
      <c r="C14007"/>
      <c r="D14007"/>
      <c r="E14007"/>
      <c r="F14007"/>
      <c r="G14007"/>
      <c r="H14007"/>
      <c r="I14007"/>
      <c r="J14007"/>
      <c r="K14007" s="1"/>
      <c r="L14007" s="2"/>
    </row>
    <row r="14008" spans="1:12" x14ac:dyDescent="0.2">
      <c r="A14008"/>
      <c r="B14008"/>
      <c r="C14008"/>
      <c r="D14008"/>
      <c r="E14008"/>
      <c r="F14008"/>
      <c r="G14008"/>
      <c r="H14008"/>
      <c r="I14008"/>
      <c r="J14008"/>
      <c r="K14008" s="1"/>
      <c r="L14008" s="2"/>
    </row>
    <row r="14009" spans="1:12" x14ac:dyDescent="0.2">
      <c r="A14009"/>
      <c r="B14009"/>
      <c r="C14009"/>
      <c r="D14009"/>
      <c r="E14009"/>
      <c r="F14009"/>
      <c r="G14009"/>
      <c r="H14009"/>
      <c r="I14009"/>
      <c r="J14009"/>
      <c r="K14009" s="1"/>
      <c r="L14009" s="2"/>
    </row>
    <row r="14010" spans="1:12" x14ac:dyDescent="0.2">
      <c r="A14010"/>
      <c r="B14010"/>
      <c r="C14010"/>
      <c r="D14010"/>
      <c r="E14010"/>
      <c r="F14010"/>
      <c r="G14010"/>
      <c r="H14010"/>
      <c r="I14010"/>
      <c r="J14010"/>
      <c r="K14010" s="1"/>
      <c r="L14010" s="2"/>
    </row>
    <row r="14011" spans="1:12" x14ac:dyDescent="0.2">
      <c r="A14011"/>
      <c r="B14011"/>
      <c r="C14011"/>
      <c r="D14011"/>
      <c r="E14011"/>
      <c r="F14011"/>
      <c r="G14011"/>
      <c r="H14011"/>
      <c r="I14011"/>
      <c r="J14011"/>
      <c r="K14011" s="1"/>
      <c r="L14011" s="2"/>
    </row>
    <row r="14012" spans="1:12" x14ac:dyDescent="0.2">
      <c r="A14012"/>
      <c r="B14012"/>
      <c r="C14012"/>
      <c r="D14012"/>
      <c r="E14012"/>
      <c r="F14012"/>
      <c r="G14012"/>
      <c r="H14012"/>
      <c r="I14012"/>
      <c r="J14012"/>
      <c r="K14012" s="1"/>
      <c r="L14012" s="2"/>
    </row>
    <row r="14013" spans="1:12" x14ac:dyDescent="0.2">
      <c r="A14013"/>
      <c r="B14013"/>
      <c r="C14013"/>
      <c r="D14013"/>
      <c r="E14013"/>
      <c r="F14013"/>
      <c r="G14013"/>
      <c r="H14013"/>
      <c r="I14013"/>
      <c r="J14013"/>
      <c r="K14013" s="1"/>
      <c r="L14013" s="2"/>
    </row>
    <row r="14014" spans="1:12" x14ac:dyDescent="0.2">
      <c r="A14014"/>
      <c r="B14014"/>
      <c r="C14014"/>
      <c r="D14014"/>
      <c r="E14014"/>
      <c r="F14014"/>
      <c r="G14014"/>
      <c r="H14014"/>
      <c r="I14014"/>
      <c r="J14014"/>
      <c r="K14014" s="1"/>
      <c r="L14014" s="2"/>
    </row>
    <row r="14015" spans="1:12" x14ac:dyDescent="0.2">
      <c r="A14015"/>
      <c r="B14015"/>
      <c r="C14015"/>
      <c r="D14015"/>
      <c r="E14015"/>
      <c r="F14015"/>
      <c r="G14015"/>
      <c r="H14015"/>
      <c r="I14015"/>
      <c r="J14015"/>
      <c r="K14015" s="1"/>
      <c r="L14015" s="2"/>
    </row>
    <row r="14016" spans="1:12" x14ac:dyDescent="0.2">
      <c r="A14016"/>
      <c r="B14016"/>
      <c r="C14016"/>
      <c r="D14016"/>
      <c r="E14016"/>
      <c r="F14016"/>
      <c r="G14016"/>
      <c r="H14016"/>
      <c r="I14016"/>
      <c r="J14016"/>
      <c r="K14016" s="1"/>
      <c r="L14016" s="2"/>
    </row>
    <row r="14017" spans="1:12" x14ac:dyDescent="0.2">
      <c r="A14017"/>
      <c r="B14017"/>
      <c r="C14017"/>
      <c r="D14017"/>
      <c r="E14017"/>
      <c r="F14017"/>
      <c r="G14017"/>
      <c r="H14017"/>
      <c r="I14017"/>
      <c r="J14017"/>
      <c r="K14017" s="1"/>
      <c r="L14017" s="2"/>
    </row>
    <row r="14018" spans="1:12" x14ac:dyDescent="0.2">
      <c r="A14018"/>
      <c r="B14018"/>
      <c r="C14018"/>
      <c r="D14018"/>
      <c r="E14018"/>
      <c r="F14018"/>
      <c r="G14018"/>
      <c r="H14018"/>
      <c r="I14018"/>
      <c r="J14018"/>
      <c r="K14018" s="1"/>
      <c r="L14018" s="2"/>
    </row>
    <row r="14019" spans="1:12" x14ac:dyDescent="0.2">
      <c r="A14019"/>
      <c r="B14019"/>
      <c r="C14019"/>
      <c r="D14019"/>
      <c r="E14019"/>
      <c r="F14019"/>
      <c r="G14019"/>
      <c r="H14019"/>
      <c r="I14019"/>
      <c r="J14019"/>
      <c r="K14019" s="1"/>
      <c r="L14019" s="2"/>
    </row>
    <row r="14020" spans="1:12" x14ac:dyDescent="0.2">
      <c r="A14020"/>
      <c r="B14020"/>
      <c r="C14020"/>
      <c r="D14020"/>
      <c r="E14020"/>
      <c r="F14020"/>
      <c r="G14020"/>
      <c r="H14020"/>
      <c r="I14020"/>
      <c r="J14020"/>
      <c r="K14020" s="1"/>
      <c r="L14020" s="2"/>
    </row>
    <row r="14021" spans="1:12" x14ac:dyDescent="0.2">
      <c r="A14021"/>
      <c r="B14021"/>
      <c r="C14021"/>
      <c r="D14021"/>
      <c r="E14021"/>
      <c r="F14021"/>
      <c r="G14021"/>
      <c r="H14021"/>
      <c r="I14021"/>
      <c r="J14021"/>
      <c r="K14021" s="1"/>
      <c r="L14021" s="2"/>
    </row>
    <row r="14022" spans="1:12" x14ac:dyDescent="0.2">
      <c r="A14022"/>
      <c r="B14022"/>
      <c r="C14022"/>
      <c r="D14022"/>
      <c r="E14022"/>
      <c r="F14022"/>
      <c r="G14022"/>
      <c r="H14022"/>
      <c r="I14022"/>
      <c r="J14022"/>
      <c r="K14022" s="1"/>
      <c r="L14022" s="2"/>
    </row>
    <row r="14023" spans="1:12" x14ac:dyDescent="0.2">
      <c r="A14023"/>
      <c r="B14023"/>
      <c r="C14023"/>
      <c r="D14023"/>
      <c r="E14023"/>
      <c r="F14023"/>
      <c r="G14023"/>
      <c r="H14023"/>
      <c r="I14023"/>
      <c r="J14023"/>
      <c r="K14023" s="1"/>
      <c r="L14023" s="2"/>
    </row>
    <row r="14024" spans="1:12" x14ac:dyDescent="0.2">
      <c r="A14024"/>
      <c r="B14024"/>
      <c r="C14024"/>
      <c r="D14024"/>
      <c r="E14024"/>
      <c r="F14024"/>
      <c r="G14024"/>
      <c r="H14024"/>
      <c r="I14024"/>
      <c r="J14024"/>
      <c r="K14024" s="1"/>
      <c r="L14024" s="2"/>
    </row>
    <row r="14025" spans="1:12" x14ac:dyDescent="0.2">
      <c r="A14025"/>
      <c r="B14025"/>
      <c r="C14025"/>
      <c r="D14025"/>
      <c r="E14025"/>
      <c r="F14025"/>
      <c r="G14025"/>
      <c r="H14025"/>
      <c r="I14025"/>
      <c r="J14025"/>
      <c r="K14025" s="1"/>
      <c r="L14025" s="2"/>
    </row>
    <row r="14026" spans="1:12" x14ac:dyDescent="0.2">
      <c r="A14026"/>
      <c r="B14026"/>
      <c r="C14026"/>
      <c r="D14026"/>
      <c r="E14026"/>
      <c r="F14026"/>
      <c r="G14026"/>
      <c r="H14026"/>
      <c r="I14026"/>
      <c r="J14026"/>
      <c r="K14026" s="1"/>
      <c r="L14026" s="2"/>
    </row>
    <row r="14027" spans="1:12" x14ac:dyDescent="0.2">
      <c r="A14027"/>
      <c r="B14027"/>
      <c r="C14027"/>
      <c r="D14027"/>
      <c r="E14027"/>
      <c r="F14027"/>
      <c r="G14027"/>
      <c r="H14027"/>
      <c r="I14027"/>
      <c r="J14027"/>
      <c r="K14027" s="1"/>
      <c r="L14027" s="2"/>
    </row>
    <row r="14028" spans="1:12" x14ac:dyDescent="0.2">
      <c r="A14028"/>
      <c r="B14028"/>
      <c r="C14028"/>
      <c r="D14028"/>
      <c r="E14028"/>
      <c r="F14028"/>
      <c r="G14028"/>
      <c r="H14028"/>
      <c r="I14028"/>
      <c r="J14028"/>
      <c r="K14028" s="1"/>
      <c r="L14028" s="2"/>
    </row>
    <row r="14029" spans="1:12" x14ac:dyDescent="0.2">
      <c r="A14029"/>
      <c r="B14029"/>
      <c r="C14029"/>
      <c r="D14029"/>
      <c r="E14029"/>
      <c r="F14029"/>
      <c r="G14029"/>
      <c r="H14029"/>
      <c r="I14029"/>
      <c r="J14029"/>
      <c r="K14029" s="1"/>
      <c r="L14029" s="2"/>
    </row>
    <row r="14030" spans="1:12" x14ac:dyDescent="0.2">
      <c r="A14030"/>
      <c r="B14030"/>
      <c r="C14030"/>
      <c r="D14030"/>
      <c r="E14030"/>
      <c r="F14030"/>
      <c r="G14030"/>
      <c r="H14030"/>
      <c r="I14030"/>
      <c r="J14030"/>
      <c r="K14030" s="1"/>
      <c r="L14030" s="2"/>
    </row>
    <row r="14031" spans="1:12" x14ac:dyDescent="0.2">
      <c r="A14031"/>
      <c r="B14031"/>
      <c r="C14031"/>
      <c r="D14031"/>
      <c r="E14031"/>
      <c r="F14031"/>
      <c r="G14031"/>
      <c r="H14031"/>
      <c r="I14031"/>
      <c r="J14031"/>
      <c r="K14031" s="1"/>
      <c r="L14031" s="2"/>
    </row>
    <row r="14032" spans="1:12" x14ac:dyDescent="0.2">
      <c r="A14032"/>
      <c r="B14032"/>
      <c r="C14032"/>
      <c r="D14032"/>
      <c r="E14032"/>
      <c r="F14032"/>
      <c r="G14032"/>
      <c r="H14032"/>
      <c r="I14032"/>
      <c r="J14032"/>
      <c r="K14032" s="1"/>
      <c r="L14032" s="2"/>
    </row>
    <row r="14033" spans="1:12" x14ac:dyDescent="0.2">
      <c r="A14033"/>
      <c r="B14033"/>
      <c r="C14033"/>
      <c r="D14033"/>
      <c r="E14033"/>
      <c r="F14033"/>
      <c r="G14033"/>
      <c r="H14033"/>
      <c r="I14033"/>
      <c r="J14033"/>
      <c r="K14033" s="1"/>
      <c r="L14033" s="2"/>
    </row>
    <row r="14034" spans="1:12" x14ac:dyDescent="0.2">
      <c r="A14034"/>
      <c r="B14034"/>
      <c r="C14034"/>
      <c r="D14034"/>
      <c r="E14034"/>
      <c r="F14034"/>
      <c r="G14034"/>
      <c r="H14034"/>
      <c r="I14034"/>
      <c r="J14034"/>
      <c r="K14034" s="1"/>
      <c r="L14034" s="2"/>
    </row>
    <row r="14035" spans="1:12" x14ac:dyDescent="0.2">
      <c r="A14035"/>
      <c r="B14035"/>
      <c r="C14035"/>
      <c r="D14035"/>
      <c r="E14035"/>
      <c r="F14035"/>
      <c r="G14035"/>
      <c r="H14035"/>
      <c r="I14035"/>
      <c r="J14035"/>
      <c r="K14035" s="1"/>
      <c r="L14035" s="2"/>
    </row>
    <row r="14036" spans="1:12" x14ac:dyDescent="0.2">
      <c r="A14036"/>
      <c r="B14036"/>
      <c r="C14036"/>
      <c r="D14036"/>
      <c r="E14036"/>
      <c r="F14036"/>
      <c r="G14036"/>
      <c r="H14036"/>
      <c r="I14036"/>
      <c r="J14036"/>
      <c r="K14036" s="1"/>
      <c r="L14036" s="2"/>
    </row>
    <row r="14037" spans="1:12" x14ac:dyDescent="0.2">
      <c r="A14037"/>
      <c r="B14037"/>
      <c r="C14037"/>
      <c r="D14037"/>
      <c r="E14037"/>
      <c r="F14037"/>
      <c r="G14037"/>
      <c r="H14037"/>
      <c r="I14037"/>
      <c r="J14037"/>
      <c r="K14037" s="1"/>
      <c r="L14037" s="2"/>
    </row>
    <row r="14038" spans="1:12" x14ac:dyDescent="0.2">
      <c r="A14038"/>
      <c r="B14038"/>
      <c r="C14038"/>
      <c r="D14038"/>
      <c r="E14038"/>
      <c r="F14038"/>
      <c r="G14038"/>
      <c r="H14038"/>
      <c r="I14038"/>
      <c r="J14038"/>
      <c r="K14038" s="1"/>
      <c r="L14038" s="2"/>
    </row>
    <row r="14039" spans="1:12" x14ac:dyDescent="0.2">
      <c r="A14039"/>
      <c r="B14039"/>
      <c r="C14039"/>
      <c r="D14039"/>
      <c r="E14039"/>
      <c r="F14039"/>
      <c r="G14039"/>
      <c r="H14039"/>
      <c r="I14039"/>
      <c r="J14039"/>
      <c r="K14039" s="1"/>
      <c r="L14039" s="2"/>
    </row>
    <row r="14040" spans="1:12" x14ac:dyDescent="0.2">
      <c r="A14040"/>
      <c r="B14040"/>
      <c r="C14040"/>
      <c r="D14040"/>
      <c r="E14040"/>
      <c r="F14040"/>
      <c r="G14040"/>
      <c r="H14040"/>
      <c r="I14040"/>
      <c r="J14040"/>
      <c r="K14040" s="1"/>
      <c r="L14040" s="2"/>
    </row>
    <row r="14041" spans="1:12" x14ac:dyDescent="0.2">
      <c r="A14041"/>
      <c r="B14041"/>
      <c r="C14041"/>
      <c r="D14041"/>
      <c r="E14041"/>
      <c r="F14041"/>
      <c r="G14041"/>
      <c r="H14041"/>
      <c r="I14041"/>
      <c r="J14041"/>
      <c r="K14041" s="1"/>
      <c r="L14041" s="2"/>
    </row>
    <row r="14042" spans="1:12" x14ac:dyDescent="0.2">
      <c r="A14042"/>
      <c r="B14042"/>
      <c r="C14042"/>
      <c r="D14042"/>
      <c r="E14042"/>
      <c r="F14042"/>
      <c r="G14042"/>
      <c r="H14042"/>
      <c r="I14042"/>
      <c r="J14042"/>
      <c r="K14042" s="1"/>
      <c r="L14042" s="2"/>
    </row>
    <row r="14043" spans="1:12" x14ac:dyDescent="0.2">
      <c r="A14043"/>
      <c r="B14043"/>
      <c r="C14043"/>
      <c r="D14043"/>
      <c r="E14043"/>
      <c r="F14043"/>
      <c r="G14043"/>
      <c r="H14043"/>
      <c r="I14043"/>
      <c r="J14043"/>
      <c r="K14043" s="1"/>
      <c r="L14043" s="2"/>
    </row>
    <row r="14044" spans="1:12" x14ac:dyDescent="0.2">
      <c r="A14044"/>
      <c r="B14044"/>
      <c r="C14044"/>
      <c r="D14044"/>
      <c r="E14044"/>
      <c r="F14044"/>
      <c r="G14044"/>
      <c r="H14044"/>
      <c r="I14044"/>
      <c r="J14044"/>
      <c r="K14044" s="1"/>
      <c r="L14044" s="2"/>
    </row>
    <row r="14045" spans="1:12" x14ac:dyDescent="0.2">
      <c r="A14045"/>
      <c r="B14045"/>
      <c r="C14045"/>
      <c r="D14045"/>
      <c r="E14045"/>
      <c r="F14045"/>
      <c r="G14045"/>
      <c r="H14045"/>
      <c r="I14045"/>
      <c r="J14045"/>
      <c r="K14045" s="1"/>
      <c r="L14045" s="2"/>
    </row>
    <row r="14046" spans="1:12" x14ac:dyDescent="0.2">
      <c r="A14046"/>
      <c r="B14046"/>
      <c r="C14046"/>
      <c r="D14046"/>
      <c r="E14046"/>
      <c r="F14046"/>
      <c r="G14046"/>
      <c r="H14046"/>
      <c r="I14046"/>
      <c r="J14046"/>
      <c r="K14046" s="1"/>
      <c r="L14046" s="2"/>
    </row>
    <row r="14047" spans="1:12" x14ac:dyDescent="0.2">
      <c r="A14047"/>
      <c r="B14047"/>
      <c r="C14047"/>
      <c r="D14047"/>
      <c r="E14047"/>
      <c r="F14047"/>
      <c r="G14047"/>
      <c r="H14047"/>
      <c r="I14047"/>
      <c r="J14047"/>
      <c r="K14047" s="1"/>
      <c r="L14047" s="2"/>
    </row>
    <row r="14048" spans="1:12" x14ac:dyDescent="0.2">
      <c r="A14048"/>
      <c r="B14048"/>
      <c r="C14048"/>
      <c r="D14048"/>
      <c r="E14048"/>
      <c r="F14048"/>
      <c r="G14048"/>
      <c r="H14048"/>
      <c r="I14048"/>
      <c r="J14048"/>
      <c r="K14048" s="1"/>
      <c r="L14048" s="2"/>
    </row>
    <row r="14049" spans="1:12" x14ac:dyDescent="0.2">
      <c r="A14049"/>
      <c r="B14049"/>
      <c r="C14049"/>
      <c r="D14049"/>
      <c r="E14049"/>
      <c r="F14049"/>
      <c r="G14049"/>
      <c r="H14049"/>
      <c r="I14049"/>
      <c r="J14049"/>
      <c r="K14049" s="1"/>
      <c r="L14049" s="2"/>
    </row>
    <row r="14050" spans="1:12" x14ac:dyDescent="0.2">
      <c r="A14050"/>
      <c r="B14050"/>
      <c r="C14050"/>
      <c r="D14050"/>
      <c r="E14050"/>
      <c r="F14050"/>
      <c r="G14050"/>
      <c r="H14050"/>
      <c r="I14050"/>
      <c r="J14050"/>
      <c r="K14050" s="1"/>
      <c r="L14050" s="2"/>
    </row>
    <row r="14051" spans="1:12" x14ac:dyDescent="0.2">
      <c r="A14051"/>
      <c r="B14051"/>
      <c r="C14051"/>
      <c r="D14051"/>
      <c r="E14051"/>
      <c r="F14051"/>
      <c r="G14051"/>
      <c r="H14051"/>
      <c r="I14051"/>
      <c r="J14051"/>
      <c r="K14051" s="1"/>
      <c r="L14051" s="2"/>
    </row>
    <row r="14052" spans="1:12" x14ac:dyDescent="0.2">
      <c r="A14052"/>
      <c r="B14052"/>
      <c r="C14052"/>
      <c r="D14052"/>
      <c r="E14052"/>
      <c r="F14052"/>
      <c r="G14052"/>
      <c r="H14052"/>
      <c r="I14052"/>
      <c r="J14052"/>
      <c r="K14052" s="1"/>
      <c r="L14052" s="2"/>
    </row>
    <row r="14053" spans="1:12" x14ac:dyDescent="0.2">
      <c r="A14053"/>
      <c r="B14053"/>
      <c r="C14053"/>
      <c r="D14053"/>
      <c r="E14053"/>
      <c r="F14053"/>
      <c r="G14053"/>
      <c r="H14053"/>
      <c r="I14053"/>
      <c r="J14053"/>
      <c r="K14053" s="1"/>
      <c r="L14053" s="2"/>
    </row>
    <row r="14054" spans="1:12" x14ac:dyDescent="0.2">
      <c r="A14054"/>
      <c r="B14054"/>
      <c r="C14054"/>
      <c r="D14054"/>
      <c r="E14054"/>
      <c r="F14054"/>
      <c r="G14054"/>
      <c r="H14054"/>
      <c r="I14054"/>
      <c r="J14054"/>
      <c r="K14054" s="1"/>
      <c r="L14054" s="2"/>
    </row>
    <row r="14055" spans="1:12" x14ac:dyDescent="0.2">
      <c r="A14055"/>
      <c r="B14055"/>
      <c r="C14055"/>
      <c r="D14055"/>
      <c r="E14055"/>
      <c r="F14055"/>
      <c r="G14055"/>
      <c r="H14055"/>
      <c r="I14055"/>
      <c r="J14055"/>
      <c r="K14055" s="1"/>
      <c r="L14055" s="2"/>
    </row>
    <row r="14056" spans="1:12" x14ac:dyDescent="0.2">
      <c r="A14056"/>
      <c r="B14056"/>
      <c r="C14056"/>
      <c r="D14056"/>
      <c r="E14056"/>
      <c r="F14056"/>
      <c r="G14056"/>
      <c r="H14056"/>
      <c r="I14056"/>
      <c r="J14056"/>
      <c r="K14056" s="1"/>
      <c r="L14056" s="2"/>
    </row>
    <row r="14057" spans="1:12" x14ac:dyDescent="0.2">
      <c r="A14057"/>
      <c r="B14057"/>
      <c r="C14057"/>
      <c r="D14057"/>
      <c r="E14057"/>
      <c r="F14057"/>
      <c r="G14057"/>
      <c r="H14057"/>
      <c r="I14057"/>
      <c r="J14057"/>
      <c r="K14057" s="1"/>
      <c r="L14057" s="2"/>
    </row>
    <row r="14058" spans="1:12" x14ac:dyDescent="0.2">
      <c r="A14058"/>
      <c r="B14058"/>
      <c r="C14058"/>
      <c r="D14058"/>
      <c r="E14058"/>
      <c r="F14058"/>
      <c r="G14058"/>
      <c r="H14058"/>
      <c r="I14058"/>
      <c r="J14058"/>
      <c r="K14058" s="1"/>
      <c r="L14058" s="2"/>
    </row>
    <row r="14059" spans="1:12" x14ac:dyDescent="0.2">
      <c r="A14059"/>
      <c r="B14059"/>
      <c r="C14059"/>
      <c r="D14059"/>
      <c r="E14059"/>
      <c r="F14059"/>
      <c r="G14059"/>
      <c r="H14059"/>
      <c r="I14059"/>
      <c r="J14059"/>
      <c r="K14059" s="1"/>
      <c r="L14059" s="2"/>
    </row>
    <row r="14060" spans="1:12" x14ac:dyDescent="0.2">
      <c r="A14060"/>
      <c r="B14060"/>
      <c r="C14060"/>
      <c r="D14060"/>
      <c r="E14060"/>
      <c r="F14060"/>
      <c r="G14060"/>
      <c r="H14060"/>
      <c r="I14060"/>
      <c r="J14060"/>
      <c r="K14060" s="1"/>
      <c r="L14060" s="2"/>
    </row>
    <row r="14061" spans="1:12" x14ac:dyDescent="0.2">
      <c r="A14061"/>
      <c r="B14061"/>
      <c r="C14061"/>
      <c r="D14061"/>
      <c r="E14061"/>
      <c r="F14061"/>
      <c r="G14061"/>
      <c r="H14061"/>
      <c r="I14061"/>
      <c r="J14061"/>
      <c r="K14061" s="1"/>
      <c r="L14061" s="2"/>
    </row>
    <row r="14062" spans="1:12" x14ac:dyDescent="0.2">
      <c r="A14062"/>
      <c r="B14062"/>
      <c r="C14062"/>
      <c r="D14062"/>
      <c r="E14062"/>
      <c r="F14062"/>
      <c r="G14062"/>
      <c r="H14062"/>
      <c r="I14062"/>
      <c r="J14062"/>
      <c r="K14062" s="1"/>
      <c r="L14062" s="2"/>
    </row>
    <row r="14063" spans="1:12" x14ac:dyDescent="0.2">
      <c r="A14063"/>
      <c r="B14063"/>
      <c r="C14063"/>
      <c r="D14063"/>
      <c r="E14063"/>
      <c r="F14063"/>
      <c r="G14063"/>
      <c r="H14063"/>
      <c r="I14063"/>
      <c r="J14063"/>
      <c r="K14063" s="1"/>
      <c r="L14063" s="2"/>
    </row>
    <row r="14064" spans="1:12" x14ac:dyDescent="0.2">
      <c r="A14064"/>
      <c r="B14064"/>
      <c r="C14064"/>
      <c r="D14064"/>
      <c r="E14064"/>
      <c r="F14064"/>
      <c r="G14064"/>
      <c r="H14064"/>
      <c r="I14064"/>
      <c r="J14064"/>
      <c r="K14064" s="1"/>
      <c r="L14064" s="2"/>
    </row>
    <row r="14065" spans="1:12" x14ac:dyDescent="0.2">
      <c r="A14065"/>
      <c r="B14065"/>
      <c r="C14065"/>
      <c r="D14065"/>
      <c r="E14065"/>
      <c r="F14065"/>
      <c r="G14065"/>
      <c r="H14065"/>
      <c r="I14065"/>
      <c r="J14065"/>
      <c r="K14065" s="1"/>
      <c r="L14065" s="2"/>
    </row>
    <row r="14066" spans="1:12" x14ac:dyDescent="0.2">
      <c r="A14066"/>
      <c r="B14066"/>
      <c r="C14066"/>
      <c r="D14066"/>
      <c r="E14066"/>
      <c r="F14066"/>
      <c r="G14066"/>
      <c r="H14066"/>
      <c r="I14066"/>
      <c r="J14066"/>
      <c r="K14066" s="1"/>
      <c r="L14066" s="2"/>
    </row>
    <row r="14067" spans="1:12" x14ac:dyDescent="0.2">
      <c r="A14067"/>
      <c r="B14067"/>
      <c r="C14067"/>
      <c r="D14067"/>
      <c r="E14067"/>
      <c r="F14067"/>
      <c r="G14067"/>
      <c r="H14067"/>
      <c r="I14067"/>
      <c r="J14067"/>
      <c r="K14067" s="1"/>
      <c r="L14067" s="2"/>
    </row>
    <row r="14068" spans="1:12" x14ac:dyDescent="0.2">
      <c r="A14068"/>
      <c r="B14068"/>
      <c r="C14068"/>
      <c r="D14068"/>
      <c r="E14068"/>
      <c r="F14068"/>
      <c r="G14068"/>
      <c r="H14068"/>
      <c r="I14068"/>
      <c r="J14068"/>
      <c r="K14068" s="1"/>
      <c r="L14068" s="2"/>
    </row>
    <row r="14069" spans="1:12" x14ac:dyDescent="0.2">
      <c r="A14069"/>
      <c r="B14069"/>
      <c r="C14069"/>
      <c r="D14069"/>
      <c r="E14069"/>
      <c r="F14069"/>
      <c r="G14069"/>
      <c r="H14069"/>
      <c r="I14069"/>
      <c r="J14069"/>
      <c r="K14069" s="1"/>
      <c r="L14069" s="2"/>
    </row>
    <row r="14070" spans="1:12" x14ac:dyDescent="0.2">
      <c r="A14070"/>
      <c r="B14070"/>
      <c r="C14070"/>
      <c r="D14070"/>
      <c r="E14070"/>
      <c r="F14070"/>
      <c r="G14070"/>
      <c r="H14070"/>
      <c r="I14070"/>
      <c r="J14070"/>
      <c r="K14070" s="1"/>
      <c r="L14070" s="2"/>
    </row>
    <row r="14071" spans="1:12" x14ac:dyDescent="0.2">
      <c r="A14071"/>
      <c r="B14071"/>
      <c r="C14071"/>
      <c r="D14071"/>
      <c r="E14071"/>
      <c r="F14071"/>
      <c r="G14071"/>
      <c r="H14071"/>
      <c r="I14071"/>
      <c r="J14071"/>
      <c r="K14071" s="1"/>
      <c r="L14071" s="2"/>
    </row>
    <row r="14072" spans="1:12" x14ac:dyDescent="0.2">
      <c r="A14072"/>
      <c r="B14072"/>
      <c r="C14072"/>
      <c r="D14072"/>
      <c r="E14072"/>
      <c r="F14072"/>
      <c r="G14072"/>
      <c r="H14072"/>
      <c r="I14072"/>
      <c r="J14072"/>
      <c r="K14072" s="1"/>
      <c r="L14072" s="2"/>
    </row>
    <row r="14073" spans="1:12" x14ac:dyDescent="0.2">
      <c r="A14073"/>
      <c r="B14073"/>
      <c r="C14073"/>
      <c r="D14073"/>
      <c r="E14073"/>
      <c r="F14073"/>
      <c r="G14073"/>
      <c r="H14073"/>
      <c r="I14073"/>
      <c r="J14073"/>
      <c r="K14073" s="1"/>
      <c r="L14073" s="2"/>
    </row>
    <row r="14074" spans="1:12" x14ac:dyDescent="0.2">
      <c r="A14074"/>
      <c r="B14074"/>
      <c r="C14074"/>
      <c r="D14074"/>
      <c r="E14074"/>
      <c r="F14074"/>
      <c r="G14074"/>
      <c r="H14074"/>
      <c r="I14074"/>
      <c r="J14074"/>
      <c r="K14074" s="1"/>
      <c r="L14074" s="2"/>
    </row>
    <row r="14075" spans="1:12" x14ac:dyDescent="0.2">
      <c r="A14075"/>
      <c r="B14075"/>
      <c r="C14075"/>
      <c r="D14075"/>
      <c r="E14075"/>
      <c r="F14075"/>
      <c r="G14075"/>
      <c r="H14075"/>
      <c r="I14075"/>
      <c r="J14075"/>
      <c r="K14075" s="1"/>
      <c r="L14075" s="2"/>
    </row>
    <row r="14076" spans="1:12" x14ac:dyDescent="0.2">
      <c r="A14076"/>
      <c r="B14076"/>
      <c r="C14076"/>
      <c r="D14076"/>
      <c r="E14076"/>
      <c r="F14076"/>
      <c r="G14076"/>
      <c r="H14076"/>
      <c r="I14076"/>
      <c r="J14076"/>
      <c r="K14076" s="1"/>
      <c r="L14076" s="2"/>
    </row>
    <row r="14077" spans="1:12" x14ac:dyDescent="0.2">
      <c r="A14077"/>
      <c r="B14077"/>
      <c r="C14077"/>
      <c r="D14077"/>
      <c r="E14077"/>
      <c r="F14077"/>
      <c r="G14077"/>
      <c r="H14077"/>
      <c r="I14077"/>
      <c r="J14077"/>
      <c r="K14077" s="1"/>
      <c r="L14077" s="2"/>
    </row>
    <row r="14078" spans="1:12" x14ac:dyDescent="0.2">
      <c r="A14078"/>
      <c r="B14078"/>
      <c r="C14078"/>
      <c r="D14078"/>
      <c r="E14078"/>
      <c r="F14078"/>
      <c r="G14078"/>
      <c r="H14078"/>
      <c r="I14078"/>
      <c r="J14078"/>
      <c r="K14078" s="1"/>
      <c r="L14078" s="2"/>
    </row>
    <row r="14079" spans="1:12" x14ac:dyDescent="0.2">
      <c r="A14079"/>
      <c r="B14079"/>
      <c r="C14079"/>
      <c r="D14079"/>
      <c r="E14079"/>
      <c r="F14079"/>
      <c r="G14079"/>
      <c r="H14079"/>
      <c r="I14079"/>
      <c r="J14079"/>
      <c r="K14079" s="1"/>
      <c r="L14079" s="2"/>
    </row>
    <row r="14080" spans="1:12" x14ac:dyDescent="0.2">
      <c r="A14080"/>
      <c r="B14080"/>
      <c r="C14080"/>
      <c r="D14080"/>
      <c r="E14080"/>
      <c r="F14080"/>
      <c r="G14080"/>
      <c r="H14080"/>
      <c r="I14080"/>
      <c r="J14080"/>
      <c r="K14080" s="1"/>
      <c r="L14080" s="2"/>
    </row>
    <row r="14081" spans="1:12" x14ac:dyDescent="0.2">
      <c r="A14081"/>
      <c r="B14081"/>
      <c r="C14081"/>
      <c r="D14081"/>
      <c r="E14081"/>
      <c r="F14081"/>
      <c r="G14081"/>
      <c r="H14081"/>
      <c r="I14081"/>
      <c r="J14081"/>
      <c r="K14081" s="1"/>
      <c r="L14081" s="2"/>
    </row>
    <row r="14082" spans="1:12" x14ac:dyDescent="0.2">
      <c r="A14082"/>
      <c r="B14082"/>
      <c r="C14082"/>
      <c r="D14082"/>
      <c r="E14082"/>
      <c r="F14082"/>
      <c r="G14082"/>
      <c r="H14082"/>
      <c r="I14082"/>
      <c r="J14082"/>
      <c r="K14082" s="1"/>
      <c r="L14082" s="2"/>
    </row>
    <row r="14083" spans="1:12" x14ac:dyDescent="0.2">
      <c r="A14083"/>
      <c r="B14083"/>
      <c r="C14083"/>
      <c r="D14083"/>
      <c r="E14083"/>
      <c r="F14083"/>
      <c r="G14083"/>
      <c r="H14083"/>
      <c r="I14083"/>
      <c r="J14083"/>
      <c r="K14083" s="1"/>
      <c r="L14083" s="2"/>
    </row>
    <row r="14084" spans="1:12" x14ac:dyDescent="0.2">
      <c r="A14084"/>
      <c r="B14084"/>
      <c r="C14084"/>
      <c r="D14084"/>
      <c r="E14084"/>
      <c r="F14084"/>
      <c r="G14084"/>
      <c r="H14084"/>
      <c r="I14084"/>
      <c r="J14084"/>
      <c r="K14084" s="1"/>
      <c r="L14084" s="2"/>
    </row>
    <row r="14085" spans="1:12" x14ac:dyDescent="0.2">
      <c r="A14085"/>
      <c r="B14085"/>
      <c r="C14085"/>
      <c r="D14085"/>
      <c r="E14085"/>
      <c r="F14085"/>
      <c r="G14085"/>
      <c r="H14085"/>
      <c r="I14085"/>
      <c r="J14085"/>
      <c r="K14085" s="1"/>
      <c r="L14085" s="2"/>
    </row>
    <row r="14086" spans="1:12" x14ac:dyDescent="0.2">
      <c r="A14086"/>
      <c r="B14086"/>
      <c r="C14086"/>
      <c r="D14086"/>
      <c r="E14086"/>
      <c r="F14086"/>
      <c r="G14086"/>
      <c r="H14086"/>
      <c r="I14086"/>
      <c r="J14086"/>
      <c r="K14086" s="1"/>
      <c r="L14086" s="2"/>
    </row>
    <row r="14087" spans="1:12" x14ac:dyDescent="0.2">
      <c r="A14087"/>
      <c r="B14087"/>
      <c r="C14087"/>
      <c r="D14087"/>
      <c r="E14087"/>
      <c r="F14087"/>
      <c r="G14087"/>
      <c r="H14087"/>
      <c r="I14087"/>
      <c r="J14087"/>
      <c r="K14087" s="1"/>
      <c r="L14087" s="2"/>
    </row>
    <row r="14088" spans="1:12" x14ac:dyDescent="0.2">
      <c r="A14088"/>
      <c r="B14088"/>
      <c r="C14088"/>
      <c r="D14088"/>
      <c r="E14088"/>
      <c r="F14088"/>
      <c r="G14088"/>
      <c r="H14088"/>
      <c r="I14088"/>
      <c r="J14088"/>
      <c r="K14088" s="1"/>
      <c r="L14088" s="2"/>
    </row>
    <row r="14089" spans="1:12" x14ac:dyDescent="0.2">
      <c r="A14089"/>
      <c r="B14089"/>
      <c r="C14089"/>
      <c r="D14089"/>
      <c r="E14089"/>
      <c r="F14089"/>
      <c r="G14089"/>
      <c r="H14089"/>
      <c r="I14089"/>
      <c r="J14089"/>
      <c r="K14089" s="1"/>
      <c r="L14089" s="2"/>
    </row>
    <row r="14090" spans="1:12" x14ac:dyDescent="0.2">
      <c r="A14090"/>
      <c r="B14090"/>
      <c r="C14090"/>
      <c r="D14090"/>
      <c r="E14090"/>
      <c r="F14090"/>
      <c r="G14090"/>
      <c r="H14090"/>
      <c r="I14090"/>
      <c r="J14090"/>
      <c r="K14090" s="1"/>
      <c r="L14090" s="2"/>
    </row>
    <row r="14091" spans="1:12" x14ac:dyDescent="0.2">
      <c r="A14091"/>
      <c r="B14091"/>
      <c r="C14091"/>
      <c r="D14091"/>
      <c r="E14091"/>
      <c r="F14091"/>
      <c r="G14091"/>
      <c r="H14091"/>
      <c r="I14091"/>
      <c r="J14091"/>
      <c r="K14091" s="1"/>
      <c r="L14091" s="2"/>
    </row>
    <row r="14092" spans="1:12" x14ac:dyDescent="0.2">
      <c r="A14092"/>
      <c r="B14092"/>
      <c r="C14092"/>
      <c r="D14092"/>
      <c r="E14092"/>
      <c r="F14092"/>
      <c r="G14092"/>
      <c r="H14092"/>
      <c r="I14092"/>
      <c r="J14092"/>
      <c r="K14092" s="1"/>
      <c r="L14092" s="2"/>
    </row>
    <row r="14093" spans="1:12" x14ac:dyDescent="0.2">
      <c r="A14093"/>
      <c r="B14093"/>
      <c r="C14093"/>
      <c r="D14093"/>
      <c r="E14093"/>
      <c r="F14093"/>
      <c r="G14093"/>
      <c r="H14093"/>
      <c r="I14093"/>
      <c r="J14093"/>
      <c r="K14093" s="1"/>
      <c r="L14093" s="2"/>
    </row>
    <row r="14094" spans="1:12" x14ac:dyDescent="0.2">
      <c r="A14094"/>
      <c r="B14094"/>
      <c r="C14094"/>
      <c r="D14094"/>
      <c r="E14094"/>
      <c r="F14094"/>
      <c r="G14094"/>
      <c r="H14094"/>
      <c r="I14094"/>
      <c r="J14094"/>
      <c r="K14094" s="1"/>
      <c r="L14094" s="2"/>
    </row>
    <row r="14095" spans="1:12" x14ac:dyDescent="0.2">
      <c r="A14095"/>
      <c r="B14095"/>
      <c r="C14095"/>
      <c r="D14095"/>
      <c r="E14095"/>
      <c r="F14095"/>
      <c r="G14095"/>
      <c r="H14095"/>
      <c r="I14095"/>
      <c r="J14095"/>
      <c r="K14095" s="1"/>
      <c r="L14095" s="2"/>
    </row>
    <row r="14096" spans="1:12" x14ac:dyDescent="0.2">
      <c r="A14096"/>
      <c r="B14096"/>
      <c r="C14096"/>
      <c r="D14096"/>
      <c r="E14096"/>
      <c r="F14096"/>
      <c r="G14096"/>
      <c r="H14096"/>
      <c r="I14096"/>
      <c r="J14096"/>
      <c r="K14096" s="1"/>
      <c r="L14096" s="2"/>
    </row>
    <row r="14097" spans="1:12" x14ac:dyDescent="0.2">
      <c r="A14097"/>
      <c r="B14097"/>
      <c r="C14097"/>
      <c r="D14097"/>
      <c r="E14097"/>
      <c r="F14097"/>
      <c r="G14097"/>
      <c r="H14097"/>
      <c r="I14097"/>
      <c r="J14097"/>
      <c r="K14097" s="1"/>
      <c r="L14097" s="2"/>
    </row>
    <row r="14098" spans="1:12" x14ac:dyDescent="0.2">
      <c r="A14098"/>
      <c r="B14098"/>
      <c r="C14098"/>
      <c r="D14098"/>
      <c r="E14098"/>
      <c r="F14098"/>
      <c r="G14098"/>
      <c r="H14098"/>
      <c r="I14098"/>
      <c r="J14098"/>
      <c r="K14098" s="1"/>
      <c r="L14098" s="2"/>
    </row>
    <row r="14099" spans="1:12" x14ac:dyDescent="0.2">
      <c r="A14099"/>
      <c r="B14099"/>
      <c r="C14099"/>
      <c r="D14099"/>
      <c r="E14099"/>
      <c r="F14099"/>
      <c r="G14099"/>
      <c r="H14099"/>
      <c r="I14099"/>
      <c r="J14099"/>
      <c r="K14099" s="1"/>
      <c r="L14099" s="2"/>
    </row>
    <row r="14100" spans="1:12" x14ac:dyDescent="0.2">
      <c r="A14100"/>
      <c r="B14100"/>
      <c r="C14100"/>
      <c r="D14100"/>
      <c r="E14100"/>
      <c r="F14100"/>
      <c r="G14100"/>
      <c r="H14100"/>
      <c r="I14100"/>
      <c r="J14100"/>
      <c r="K14100" s="1"/>
      <c r="L14100" s="2"/>
    </row>
    <row r="14101" spans="1:12" x14ac:dyDescent="0.2">
      <c r="A14101"/>
      <c r="B14101"/>
      <c r="C14101"/>
      <c r="D14101"/>
      <c r="E14101"/>
      <c r="F14101"/>
      <c r="G14101"/>
      <c r="H14101"/>
      <c r="I14101"/>
      <c r="J14101"/>
      <c r="K14101" s="1"/>
      <c r="L14101" s="2"/>
    </row>
    <row r="14102" spans="1:12" x14ac:dyDescent="0.2">
      <c r="A14102"/>
      <c r="B14102"/>
      <c r="C14102"/>
      <c r="D14102"/>
      <c r="E14102"/>
      <c r="F14102"/>
      <c r="G14102"/>
      <c r="H14102"/>
      <c r="I14102"/>
      <c r="J14102"/>
      <c r="K14102" s="1"/>
      <c r="L14102" s="2"/>
    </row>
    <row r="14103" spans="1:12" x14ac:dyDescent="0.2">
      <c r="A14103"/>
      <c r="B14103"/>
      <c r="C14103"/>
      <c r="D14103"/>
      <c r="E14103"/>
      <c r="F14103"/>
      <c r="G14103"/>
      <c r="H14103"/>
      <c r="I14103"/>
      <c r="J14103"/>
      <c r="K14103" s="1"/>
      <c r="L14103" s="2"/>
    </row>
    <row r="14104" spans="1:12" x14ac:dyDescent="0.2">
      <c r="A14104"/>
      <c r="B14104"/>
      <c r="C14104"/>
      <c r="D14104"/>
      <c r="E14104"/>
      <c r="F14104"/>
      <c r="G14104"/>
      <c r="H14104"/>
      <c r="I14104"/>
      <c r="J14104"/>
      <c r="K14104" s="1"/>
      <c r="L14104" s="2"/>
    </row>
    <row r="14105" spans="1:12" x14ac:dyDescent="0.2">
      <c r="A14105"/>
      <c r="B14105"/>
      <c r="C14105"/>
      <c r="D14105"/>
      <c r="E14105"/>
      <c r="F14105"/>
      <c r="G14105"/>
      <c r="H14105"/>
      <c r="I14105"/>
      <c r="J14105"/>
      <c r="K14105" s="1"/>
      <c r="L14105" s="2"/>
    </row>
    <row r="14106" spans="1:12" x14ac:dyDescent="0.2">
      <c r="A14106"/>
      <c r="B14106"/>
      <c r="C14106"/>
      <c r="D14106"/>
      <c r="E14106"/>
      <c r="F14106"/>
      <c r="G14106"/>
      <c r="H14106"/>
      <c r="I14106"/>
      <c r="J14106"/>
      <c r="K14106" s="1"/>
      <c r="L14106" s="2"/>
    </row>
    <row r="14107" spans="1:12" x14ac:dyDescent="0.2">
      <c r="A14107"/>
      <c r="B14107"/>
      <c r="C14107"/>
      <c r="D14107"/>
      <c r="E14107"/>
      <c r="F14107"/>
      <c r="G14107"/>
      <c r="H14107"/>
      <c r="I14107"/>
      <c r="J14107"/>
      <c r="K14107" s="1"/>
      <c r="L14107" s="2"/>
    </row>
    <row r="14108" spans="1:12" x14ac:dyDescent="0.2">
      <c r="A14108"/>
      <c r="B14108"/>
      <c r="C14108"/>
      <c r="D14108"/>
      <c r="E14108"/>
      <c r="F14108"/>
      <c r="G14108"/>
      <c r="H14108"/>
      <c r="I14108"/>
      <c r="J14108"/>
      <c r="K14108" s="1"/>
      <c r="L14108" s="2"/>
    </row>
    <row r="14109" spans="1:12" x14ac:dyDescent="0.2">
      <c r="A14109"/>
      <c r="B14109"/>
      <c r="C14109"/>
      <c r="D14109"/>
      <c r="E14109"/>
      <c r="F14109"/>
      <c r="G14109"/>
      <c r="H14109"/>
      <c r="I14109"/>
      <c r="J14109"/>
      <c r="K14109" s="1"/>
      <c r="L14109" s="2"/>
    </row>
    <row r="14110" spans="1:12" x14ac:dyDescent="0.2">
      <c r="A14110"/>
      <c r="B14110"/>
      <c r="C14110"/>
      <c r="D14110"/>
      <c r="E14110"/>
      <c r="F14110"/>
      <c r="G14110"/>
      <c r="H14110"/>
      <c r="I14110"/>
      <c r="J14110"/>
      <c r="K14110" s="1"/>
      <c r="L14110" s="2"/>
    </row>
    <row r="14111" spans="1:12" x14ac:dyDescent="0.2">
      <c r="A14111"/>
      <c r="B14111"/>
      <c r="C14111"/>
      <c r="D14111"/>
      <c r="E14111"/>
      <c r="F14111"/>
      <c r="G14111"/>
      <c r="H14111"/>
      <c r="I14111"/>
      <c r="J14111"/>
      <c r="K14111" s="1"/>
      <c r="L14111" s="2"/>
    </row>
    <row r="14112" spans="1:12" x14ac:dyDescent="0.2">
      <c r="A14112"/>
      <c r="B14112"/>
      <c r="C14112"/>
      <c r="D14112"/>
      <c r="E14112"/>
      <c r="F14112"/>
      <c r="G14112"/>
      <c r="H14112"/>
      <c r="I14112"/>
      <c r="J14112"/>
      <c r="K14112" s="1"/>
      <c r="L14112" s="2"/>
    </row>
    <row r="14113" spans="1:12" x14ac:dyDescent="0.2">
      <c r="A14113"/>
      <c r="B14113"/>
      <c r="C14113"/>
      <c r="D14113"/>
      <c r="E14113"/>
      <c r="F14113"/>
      <c r="G14113"/>
      <c r="H14113"/>
      <c r="I14113"/>
      <c r="J14113"/>
      <c r="K14113" s="1"/>
      <c r="L14113" s="2"/>
    </row>
    <row r="14114" spans="1:12" x14ac:dyDescent="0.2">
      <c r="A14114"/>
      <c r="B14114"/>
      <c r="C14114"/>
      <c r="D14114"/>
      <c r="E14114"/>
      <c r="F14114"/>
      <c r="G14114"/>
      <c r="H14114"/>
      <c r="I14114"/>
      <c r="J14114"/>
      <c r="K14114" s="1"/>
      <c r="L14114" s="2"/>
    </row>
    <row r="14115" spans="1:12" x14ac:dyDescent="0.2">
      <c r="A14115"/>
      <c r="B14115"/>
      <c r="C14115"/>
      <c r="D14115"/>
      <c r="E14115"/>
      <c r="F14115"/>
      <c r="G14115"/>
      <c r="H14115"/>
      <c r="I14115"/>
      <c r="J14115"/>
      <c r="K14115" s="1"/>
      <c r="L14115" s="2"/>
    </row>
    <row r="14116" spans="1:12" x14ac:dyDescent="0.2">
      <c r="A14116"/>
      <c r="B14116"/>
      <c r="C14116"/>
      <c r="D14116"/>
      <c r="E14116"/>
      <c r="F14116"/>
      <c r="G14116"/>
      <c r="H14116"/>
      <c r="I14116"/>
      <c r="J14116"/>
      <c r="K14116" s="1"/>
      <c r="L14116" s="2"/>
    </row>
    <row r="14117" spans="1:12" x14ac:dyDescent="0.2">
      <c r="A14117"/>
      <c r="B14117"/>
      <c r="C14117"/>
      <c r="D14117"/>
      <c r="E14117"/>
      <c r="F14117"/>
      <c r="G14117"/>
      <c r="H14117"/>
      <c r="I14117"/>
      <c r="J14117"/>
      <c r="K14117" s="1"/>
      <c r="L14117" s="2"/>
    </row>
    <row r="14118" spans="1:12" x14ac:dyDescent="0.2">
      <c r="A14118"/>
      <c r="B14118"/>
      <c r="C14118"/>
      <c r="D14118"/>
      <c r="E14118"/>
      <c r="F14118"/>
      <c r="G14118"/>
      <c r="H14118"/>
      <c r="I14118"/>
      <c r="J14118"/>
      <c r="K14118" s="1"/>
      <c r="L14118" s="2"/>
    </row>
    <row r="14119" spans="1:12" x14ac:dyDescent="0.2">
      <c r="A14119"/>
      <c r="B14119"/>
      <c r="C14119"/>
      <c r="D14119"/>
      <c r="E14119"/>
      <c r="F14119"/>
      <c r="G14119"/>
      <c r="H14119"/>
      <c r="I14119"/>
      <c r="J14119"/>
      <c r="K14119" s="1"/>
      <c r="L14119" s="2"/>
    </row>
    <row r="14120" spans="1:12" x14ac:dyDescent="0.2">
      <c r="A14120"/>
      <c r="B14120"/>
      <c r="C14120"/>
      <c r="D14120"/>
      <c r="E14120"/>
      <c r="F14120"/>
      <c r="G14120"/>
      <c r="H14120"/>
      <c r="I14120"/>
      <c r="J14120"/>
      <c r="K14120" s="1"/>
      <c r="L14120" s="2"/>
    </row>
    <row r="14121" spans="1:12" x14ac:dyDescent="0.2">
      <c r="A14121"/>
      <c r="B14121"/>
      <c r="C14121"/>
      <c r="D14121"/>
      <c r="E14121"/>
      <c r="F14121"/>
      <c r="G14121"/>
      <c r="H14121"/>
      <c r="I14121"/>
      <c r="J14121"/>
      <c r="K14121" s="1"/>
      <c r="L14121" s="2"/>
    </row>
    <row r="14122" spans="1:12" x14ac:dyDescent="0.2">
      <c r="A14122"/>
      <c r="B14122"/>
      <c r="C14122"/>
      <c r="D14122"/>
      <c r="E14122"/>
      <c r="F14122"/>
      <c r="G14122"/>
      <c r="H14122"/>
      <c r="I14122"/>
      <c r="J14122"/>
      <c r="K14122" s="1"/>
      <c r="L14122" s="2"/>
    </row>
    <row r="14123" spans="1:12" x14ac:dyDescent="0.2">
      <c r="A14123"/>
      <c r="B14123"/>
      <c r="C14123"/>
      <c r="D14123"/>
      <c r="E14123"/>
      <c r="F14123"/>
      <c r="G14123"/>
      <c r="H14123"/>
      <c r="I14123"/>
      <c r="J14123"/>
      <c r="K14123" s="1"/>
      <c r="L14123" s="2"/>
    </row>
    <row r="14124" spans="1:12" x14ac:dyDescent="0.2">
      <c r="A14124"/>
      <c r="B14124"/>
      <c r="C14124"/>
      <c r="D14124"/>
      <c r="E14124"/>
      <c r="F14124"/>
      <c r="G14124"/>
      <c r="H14124"/>
      <c r="I14124"/>
      <c r="J14124"/>
      <c r="K14124" s="1"/>
      <c r="L14124" s="2"/>
    </row>
    <row r="14125" spans="1:12" x14ac:dyDescent="0.2">
      <c r="A14125"/>
      <c r="B14125"/>
      <c r="C14125"/>
      <c r="D14125"/>
      <c r="E14125"/>
      <c r="F14125"/>
      <c r="G14125"/>
      <c r="H14125"/>
      <c r="I14125"/>
      <c r="J14125"/>
      <c r="K14125" s="1"/>
      <c r="L14125" s="2"/>
    </row>
    <row r="14126" spans="1:12" x14ac:dyDescent="0.2">
      <c r="A14126"/>
      <c r="B14126"/>
      <c r="C14126"/>
      <c r="D14126"/>
      <c r="E14126"/>
      <c r="F14126"/>
      <c r="G14126"/>
      <c r="H14126"/>
      <c r="I14126"/>
      <c r="J14126"/>
      <c r="K14126" s="1"/>
      <c r="L14126" s="2"/>
    </row>
    <row r="14127" spans="1:12" x14ac:dyDescent="0.2">
      <c r="A14127"/>
      <c r="B14127"/>
      <c r="C14127"/>
      <c r="D14127"/>
      <c r="E14127"/>
      <c r="F14127"/>
      <c r="G14127"/>
      <c r="H14127"/>
      <c r="I14127"/>
      <c r="J14127"/>
      <c r="K14127" s="1"/>
      <c r="L14127" s="2"/>
    </row>
    <row r="14128" spans="1:12" x14ac:dyDescent="0.2">
      <c r="A14128"/>
      <c r="B14128"/>
      <c r="C14128"/>
      <c r="D14128"/>
      <c r="E14128"/>
      <c r="F14128"/>
      <c r="G14128"/>
      <c r="H14128"/>
      <c r="I14128"/>
      <c r="J14128"/>
      <c r="K14128" s="1"/>
      <c r="L14128" s="2"/>
    </row>
    <row r="14129" spans="1:12" x14ac:dyDescent="0.2">
      <c r="A14129"/>
      <c r="B14129"/>
      <c r="C14129"/>
      <c r="D14129"/>
      <c r="E14129"/>
      <c r="F14129"/>
      <c r="G14129"/>
      <c r="H14129"/>
      <c r="I14129"/>
      <c r="J14129"/>
      <c r="K14129" s="1"/>
      <c r="L14129" s="2"/>
    </row>
    <row r="14130" spans="1:12" x14ac:dyDescent="0.2">
      <c r="A14130"/>
      <c r="B14130"/>
      <c r="C14130"/>
      <c r="D14130"/>
      <c r="E14130"/>
      <c r="F14130"/>
      <c r="G14130"/>
      <c r="H14130"/>
      <c r="I14130"/>
      <c r="J14130"/>
      <c r="K14130" s="1"/>
      <c r="L14130" s="2"/>
    </row>
    <row r="14131" spans="1:12" x14ac:dyDescent="0.2">
      <c r="A14131"/>
      <c r="B14131"/>
      <c r="C14131"/>
      <c r="D14131"/>
      <c r="E14131"/>
      <c r="F14131"/>
      <c r="G14131"/>
      <c r="H14131"/>
      <c r="I14131"/>
      <c r="J14131"/>
      <c r="K14131" s="1"/>
      <c r="L14131" s="2"/>
    </row>
    <row r="14132" spans="1:12" x14ac:dyDescent="0.2">
      <c r="A14132"/>
      <c r="B14132"/>
      <c r="C14132"/>
      <c r="D14132"/>
      <c r="E14132"/>
      <c r="F14132"/>
      <c r="G14132"/>
      <c r="H14132"/>
      <c r="I14132"/>
      <c r="J14132"/>
      <c r="K14132" s="1"/>
      <c r="L14132" s="2"/>
    </row>
    <row r="14133" spans="1:12" x14ac:dyDescent="0.2">
      <c r="A14133"/>
      <c r="B14133"/>
      <c r="C14133"/>
      <c r="D14133"/>
      <c r="E14133"/>
      <c r="F14133"/>
      <c r="G14133"/>
      <c r="H14133"/>
      <c r="I14133"/>
      <c r="J14133"/>
      <c r="K14133" s="1"/>
      <c r="L14133" s="2"/>
    </row>
    <row r="14134" spans="1:12" x14ac:dyDescent="0.2">
      <c r="A14134"/>
      <c r="B14134"/>
      <c r="C14134"/>
      <c r="D14134"/>
      <c r="E14134"/>
      <c r="F14134"/>
      <c r="G14134"/>
      <c r="H14134"/>
      <c r="I14134"/>
      <c r="J14134"/>
      <c r="K14134" s="1"/>
      <c r="L14134" s="2"/>
    </row>
    <row r="14135" spans="1:12" x14ac:dyDescent="0.2">
      <c r="A14135"/>
      <c r="B14135"/>
      <c r="C14135"/>
      <c r="D14135"/>
      <c r="E14135"/>
      <c r="F14135"/>
      <c r="G14135"/>
      <c r="H14135"/>
      <c r="I14135"/>
      <c r="J14135"/>
      <c r="K14135" s="1"/>
      <c r="L14135" s="2"/>
    </row>
    <row r="14136" spans="1:12" x14ac:dyDescent="0.2">
      <c r="A14136"/>
      <c r="B14136"/>
      <c r="C14136"/>
      <c r="D14136"/>
      <c r="E14136"/>
      <c r="F14136"/>
      <c r="G14136"/>
      <c r="H14136"/>
      <c r="I14136"/>
      <c r="J14136"/>
      <c r="K14136" s="1"/>
      <c r="L14136" s="2"/>
    </row>
    <row r="14137" spans="1:12" x14ac:dyDescent="0.2">
      <c r="A14137"/>
      <c r="B14137"/>
      <c r="C14137"/>
      <c r="D14137"/>
      <c r="E14137"/>
      <c r="F14137"/>
      <c r="G14137"/>
      <c r="H14137"/>
      <c r="I14137"/>
      <c r="J14137"/>
      <c r="K14137" s="1"/>
      <c r="L14137" s="2"/>
    </row>
    <row r="14138" spans="1:12" x14ac:dyDescent="0.2">
      <c r="A14138"/>
      <c r="B14138"/>
      <c r="C14138"/>
      <c r="D14138"/>
      <c r="E14138"/>
      <c r="F14138"/>
      <c r="G14138"/>
      <c r="H14138"/>
      <c r="I14138"/>
      <c r="J14138"/>
      <c r="K14138" s="1"/>
      <c r="L14138" s="2"/>
    </row>
    <row r="14139" spans="1:12" x14ac:dyDescent="0.2">
      <c r="A14139"/>
      <c r="B14139"/>
      <c r="C14139"/>
      <c r="D14139"/>
      <c r="E14139"/>
      <c r="F14139"/>
      <c r="G14139"/>
      <c r="H14139"/>
      <c r="I14139"/>
      <c r="J14139"/>
      <c r="K14139" s="1"/>
      <c r="L14139" s="2"/>
    </row>
    <row r="14140" spans="1:12" x14ac:dyDescent="0.2">
      <c r="A14140"/>
      <c r="B14140"/>
      <c r="C14140"/>
      <c r="D14140"/>
      <c r="E14140"/>
      <c r="F14140"/>
      <c r="G14140"/>
      <c r="H14140"/>
      <c r="I14140"/>
      <c r="J14140"/>
      <c r="K14140" s="1"/>
      <c r="L14140" s="2"/>
    </row>
    <row r="14141" spans="1:12" x14ac:dyDescent="0.2">
      <c r="A14141"/>
      <c r="B14141"/>
      <c r="C14141"/>
      <c r="D14141"/>
      <c r="E14141"/>
      <c r="F14141"/>
      <c r="G14141"/>
      <c r="H14141"/>
      <c r="I14141"/>
      <c r="J14141"/>
      <c r="K14141" s="1"/>
      <c r="L14141" s="2"/>
    </row>
    <row r="14142" spans="1:12" x14ac:dyDescent="0.2">
      <c r="A14142"/>
      <c r="B14142"/>
      <c r="C14142"/>
      <c r="D14142"/>
      <c r="E14142"/>
      <c r="F14142"/>
      <c r="G14142"/>
      <c r="H14142"/>
      <c r="I14142"/>
      <c r="J14142"/>
      <c r="K14142" s="1"/>
      <c r="L14142" s="2"/>
    </row>
    <row r="14143" spans="1:12" x14ac:dyDescent="0.2">
      <c r="A14143"/>
      <c r="B14143"/>
      <c r="C14143"/>
      <c r="D14143"/>
      <c r="E14143"/>
      <c r="F14143"/>
      <c r="G14143"/>
      <c r="H14143"/>
      <c r="I14143"/>
      <c r="J14143"/>
      <c r="K14143" s="1"/>
      <c r="L14143" s="2"/>
    </row>
    <row r="14144" spans="1:12" x14ac:dyDescent="0.2">
      <c r="A14144"/>
      <c r="B14144"/>
      <c r="C14144"/>
      <c r="D14144"/>
      <c r="E14144"/>
      <c r="F14144"/>
      <c r="G14144"/>
      <c r="H14144"/>
      <c r="I14144"/>
      <c r="J14144"/>
      <c r="K14144" s="1"/>
      <c r="L14144" s="2"/>
    </row>
    <row r="14145" spans="1:12" x14ac:dyDescent="0.2">
      <c r="A14145"/>
      <c r="B14145"/>
      <c r="C14145"/>
      <c r="D14145"/>
      <c r="E14145"/>
      <c r="F14145"/>
      <c r="G14145"/>
      <c r="H14145"/>
      <c r="I14145"/>
      <c r="J14145"/>
      <c r="K14145" s="1"/>
      <c r="L14145" s="2"/>
    </row>
    <row r="14146" spans="1:12" x14ac:dyDescent="0.2">
      <c r="A14146"/>
      <c r="B14146"/>
      <c r="C14146"/>
      <c r="D14146"/>
      <c r="E14146"/>
      <c r="F14146"/>
      <c r="G14146"/>
      <c r="H14146"/>
      <c r="I14146"/>
      <c r="J14146"/>
      <c r="K14146" s="1"/>
      <c r="L14146" s="2"/>
    </row>
    <row r="14147" spans="1:12" x14ac:dyDescent="0.2">
      <c r="A14147"/>
      <c r="B14147"/>
      <c r="C14147"/>
      <c r="D14147"/>
      <c r="E14147"/>
      <c r="F14147"/>
      <c r="G14147"/>
      <c r="H14147"/>
      <c r="I14147"/>
      <c r="J14147"/>
      <c r="K14147" s="1"/>
      <c r="L14147" s="2"/>
    </row>
    <row r="14148" spans="1:12" x14ac:dyDescent="0.2">
      <c r="A14148"/>
      <c r="B14148"/>
      <c r="C14148"/>
      <c r="D14148"/>
      <c r="E14148"/>
      <c r="F14148"/>
      <c r="G14148"/>
      <c r="H14148"/>
      <c r="I14148"/>
      <c r="J14148"/>
      <c r="K14148" s="1"/>
      <c r="L14148" s="2"/>
    </row>
    <row r="14149" spans="1:12" x14ac:dyDescent="0.2">
      <c r="A14149"/>
      <c r="B14149"/>
      <c r="C14149"/>
      <c r="D14149"/>
      <c r="E14149"/>
      <c r="F14149"/>
      <c r="G14149"/>
      <c r="H14149"/>
      <c r="I14149"/>
      <c r="J14149"/>
      <c r="K14149" s="1"/>
      <c r="L14149" s="2"/>
    </row>
    <row r="14150" spans="1:12" x14ac:dyDescent="0.2">
      <c r="A14150"/>
      <c r="B14150"/>
      <c r="C14150"/>
      <c r="D14150"/>
      <c r="E14150"/>
      <c r="F14150"/>
      <c r="G14150"/>
      <c r="H14150"/>
      <c r="I14150"/>
      <c r="J14150"/>
      <c r="K14150" s="1"/>
      <c r="L14150" s="2"/>
    </row>
    <row r="14151" spans="1:12" x14ac:dyDescent="0.2">
      <c r="A14151"/>
      <c r="B14151"/>
      <c r="C14151"/>
      <c r="D14151"/>
      <c r="E14151"/>
      <c r="F14151"/>
      <c r="G14151"/>
      <c r="H14151"/>
      <c r="I14151"/>
      <c r="J14151"/>
      <c r="K14151" s="1"/>
      <c r="L14151" s="2"/>
    </row>
    <row r="14152" spans="1:12" x14ac:dyDescent="0.2">
      <c r="A14152"/>
      <c r="B14152"/>
      <c r="C14152"/>
      <c r="D14152"/>
      <c r="E14152"/>
      <c r="F14152"/>
      <c r="G14152"/>
      <c r="H14152"/>
      <c r="I14152"/>
      <c r="J14152"/>
      <c r="K14152" s="1"/>
      <c r="L14152" s="2"/>
    </row>
    <row r="14153" spans="1:12" x14ac:dyDescent="0.2">
      <c r="A14153"/>
      <c r="B14153"/>
      <c r="C14153"/>
      <c r="D14153"/>
      <c r="E14153"/>
      <c r="F14153"/>
      <c r="G14153"/>
      <c r="H14153"/>
      <c r="I14153"/>
      <c r="J14153"/>
      <c r="K14153" s="1"/>
      <c r="L14153" s="2"/>
    </row>
    <row r="14154" spans="1:12" x14ac:dyDescent="0.2">
      <c r="A14154"/>
      <c r="B14154"/>
      <c r="C14154"/>
      <c r="D14154"/>
      <c r="E14154"/>
      <c r="F14154"/>
      <c r="G14154"/>
      <c r="H14154"/>
      <c r="I14154"/>
      <c r="J14154"/>
      <c r="K14154" s="1"/>
      <c r="L14154" s="2"/>
    </row>
    <row r="14155" spans="1:12" x14ac:dyDescent="0.2">
      <c r="A14155"/>
      <c r="B14155"/>
      <c r="C14155"/>
      <c r="D14155"/>
      <c r="E14155"/>
      <c r="F14155"/>
      <c r="G14155"/>
      <c r="H14155"/>
      <c r="I14155"/>
      <c r="J14155"/>
      <c r="K14155" s="1"/>
      <c r="L14155" s="2"/>
    </row>
    <row r="14156" spans="1:12" x14ac:dyDescent="0.2">
      <c r="A14156"/>
      <c r="B14156"/>
      <c r="C14156"/>
      <c r="D14156"/>
      <c r="E14156"/>
      <c r="F14156"/>
      <c r="G14156"/>
      <c r="H14156"/>
      <c r="I14156"/>
      <c r="J14156"/>
      <c r="K14156" s="1"/>
      <c r="L14156" s="2"/>
    </row>
    <row r="14157" spans="1:12" x14ac:dyDescent="0.2">
      <c r="A14157"/>
      <c r="B14157"/>
      <c r="C14157"/>
      <c r="D14157"/>
      <c r="E14157"/>
      <c r="F14157"/>
      <c r="G14157"/>
      <c r="H14157"/>
      <c r="I14157"/>
      <c r="J14157"/>
      <c r="K14157" s="1"/>
      <c r="L14157" s="2"/>
    </row>
    <row r="14158" spans="1:12" x14ac:dyDescent="0.2">
      <c r="A14158"/>
      <c r="B14158"/>
      <c r="C14158"/>
      <c r="D14158"/>
      <c r="E14158"/>
      <c r="F14158"/>
      <c r="G14158"/>
      <c r="H14158"/>
      <c r="I14158"/>
      <c r="J14158"/>
      <c r="K14158" s="1"/>
      <c r="L14158" s="2"/>
    </row>
    <row r="14159" spans="1:12" x14ac:dyDescent="0.2">
      <c r="A14159"/>
      <c r="B14159"/>
      <c r="C14159"/>
      <c r="D14159"/>
      <c r="E14159"/>
      <c r="F14159"/>
      <c r="G14159"/>
      <c r="H14159"/>
      <c r="I14159"/>
      <c r="J14159"/>
      <c r="K14159" s="1"/>
      <c r="L14159" s="2"/>
    </row>
    <row r="14160" spans="1:12" x14ac:dyDescent="0.2">
      <c r="A14160"/>
      <c r="B14160"/>
      <c r="C14160"/>
      <c r="D14160"/>
      <c r="E14160"/>
      <c r="F14160"/>
      <c r="G14160"/>
      <c r="H14160"/>
      <c r="I14160"/>
      <c r="J14160"/>
      <c r="K14160" s="1"/>
      <c r="L14160" s="2"/>
    </row>
    <row r="14161" spans="1:12" x14ac:dyDescent="0.2">
      <c r="A14161"/>
      <c r="B14161"/>
      <c r="C14161"/>
      <c r="D14161"/>
      <c r="E14161"/>
      <c r="F14161"/>
      <c r="G14161"/>
      <c r="H14161"/>
      <c r="I14161"/>
      <c r="J14161"/>
      <c r="K14161" s="1"/>
      <c r="L14161" s="2"/>
    </row>
    <row r="14162" spans="1:12" x14ac:dyDescent="0.2">
      <c r="A14162"/>
      <c r="B14162"/>
      <c r="C14162"/>
      <c r="D14162"/>
      <c r="E14162"/>
      <c r="F14162"/>
      <c r="G14162"/>
      <c r="H14162"/>
      <c r="I14162"/>
      <c r="J14162"/>
      <c r="K14162" s="1"/>
      <c r="L14162" s="2"/>
    </row>
    <row r="14163" spans="1:12" x14ac:dyDescent="0.2">
      <c r="A14163"/>
      <c r="B14163"/>
      <c r="C14163"/>
      <c r="D14163"/>
      <c r="E14163"/>
      <c r="F14163"/>
      <c r="G14163"/>
      <c r="H14163"/>
      <c r="I14163"/>
      <c r="J14163"/>
      <c r="K14163" s="1"/>
      <c r="L14163" s="2"/>
    </row>
    <row r="14164" spans="1:12" x14ac:dyDescent="0.2">
      <c r="A14164"/>
      <c r="B14164"/>
      <c r="C14164"/>
      <c r="D14164"/>
      <c r="E14164"/>
      <c r="F14164"/>
      <c r="G14164"/>
      <c r="H14164"/>
      <c r="I14164"/>
      <c r="J14164"/>
      <c r="K14164" s="1"/>
      <c r="L14164" s="2"/>
    </row>
    <row r="14165" spans="1:12" x14ac:dyDescent="0.2">
      <c r="A14165"/>
      <c r="B14165"/>
      <c r="C14165"/>
      <c r="D14165"/>
      <c r="E14165"/>
      <c r="F14165"/>
      <c r="G14165"/>
      <c r="H14165"/>
      <c r="I14165"/>
      <c r="J14165"/>
      <c r="K14165" s="1"/>
      <c r="L14165" s="2"/>
    </row>
    <row r="14166" spans="1:12" x14ac:dyDescent="0.2">
      <c r="A14166"/>
      <c r="B14166"/>
      <c r="C14166"/>
      <c r="D14166"/>
      <c r="E14166"/>
      <c r="F14166"/>
      <c r="G14166"/>
      <c r="H14166"/>
      <c r="I14166"/>
      <c r="J14166"/>
      <c r="K14166" s="1"/>
      <c r="L14166" s="2"/>
    </row>
    <row r="14167" spans="1:12" x14ac:dyDescent="0.2">
      <c r="A14167"/>
      <c r="B14167"/>
      <c r="C14167"/>
      <c r="D14167"/>
      <c r="E14167"/>
      <c r="F14167"/>
      <c r="G14167"/>
      <c r="H14167"/>
      <c r="I14167"/>
      <c r="J14167"/>
      <c r="K14167" s="1"/>
      <c r="L14167" s="2"/>
    </row>
    <row r="14168" spans="1:12" x14ac:dyDescent="0.2">
      <c r="A14168"/>
      <c r="B14168"/>
      <c r="C14168"/>
      <c r="D14168"/>
      <c r="E14168"/>
      <c r="F14168"/>
      <c r="G14168"/>
      <c r="H14168"/>
      <c r="I14168"/>
      <c r="J14168"/>
      <c r="K14168" s="1"/>
      <c r="L14168" s="2"/>
    </row>
    <row r="14169" spans="1:12" x14ac:dyDescent="0.2">
      <c r="A14169"/>
      <c r="B14169"/>
      <c r="C14169"/>
      <c r="D14169"/>
      <c r="E14169"/>
      <c r="F14169"/>
      <c r="G14169"/>
      <c r="H14169"/>
      <c r="I14169"/>
      <c r="J14169"/>
      <c r="K14169" s="1"/>
      <c r="L14169" s="2"/>
    </row>
    <row r="14170" spans="1:12" x14ac:dyDescent="0.2">
      <c r="A14170"/>
      <c r="B14170"/>
      <c r="C14170"/>
      <c r="D14170"/>
      <c r="E14170"/>
      <c r="F14170"/>
      <c r="G14170"/>
      <c r="H14170"/>
      <c r="I14170"/>
      <c r="J14170"/>
      <c r="K14170" s="1"/>
      <c r="L14170" s="2"/>
    </row>
    <row r="14171" spans="1:12" x14ac:dyDescent="0.2">
      <c r="A14171"/>
      <c r="B14171"/>
      <c r="C14171"/>
      <c r="D14171"/>
      <c r="E14171"/>
      <c r="F14171"/>
      <c r="G14171"/>
      <c r="H14171"/>
      <c r="I14171"/>
      <c r="J14171"/>
      <c r="K14171" s="1"/>
      <c r="L14171" s="2"/>
    </row>
    <row r="14172" spans="1:12" x14ac:dyDescent="0.2">
      <c r="A14172"/>
      <c r="B14172"/>
      <c r="C14172"/>
      <c r="D14172"/>
      <c r="E14172"/>
      <c r="F14172"/>
      <c r="G14172"/>
      <c r="H14172"/>
      <c r="I14172"/>
      <c r="J14172"/>
      <c r="K14172" s="1"/>
      <c r="L14172" s="2"/>
    </row>
    <row r="14173" spans="1:12" x14ac:dyDescent="0.2">
      <c r="A14173"/>
      <c r="B14173"/>
      <c r="C14173"/>
      <c r="D14173"/>
      <c r="E14173"/>
      <c r="F14173"/>
      <c r="G14173"/>
      <c r="H14173"/>
      <c r="I14173"/>
      <c r="J14173"/>
      <c r="K14173" s="1"/>
      <c r="L14173" s="2"/>
    </row>
    <row r="14174" spans="1:12" x14ac:dyDescent="0.2">
      <c r="A14174"/>
      <c r="B14174"/>
      <c r="C14174"/>
      <c r="D14174"/>
      <c r="E14174"/>
      <c r="F14174"/>
      <c r="G14174"/>
      <c r="H14174"/>
      <c r="I14174"/>
      <c r="J14174"/>
      <c r="K14174" s="1"/>
      <c r="L14174" s="2"/>
    </row>
    <row r="14175" spans="1:12" x14ac:dyDescent="0.2">
      <c r="A14175"/>
      <c r="B14175"/>
      <c r="C14175"/>
      <c r="D14175"/>
      <c r="E14175"/>
      <c r="F14175"/>
      <c r="G14175"/>
      <c r="H14175"/>
      <c r="I14175"/>
      <c r="J14175"/>
      <c r="K14175" s="1"/>
      <c r="L14175" s="2"/>
    </row>
    <row r="14176" spans="1:12" x14ac:dyDescent="0.2">
      <c r="A14176"/>
      <c r="B14176"/>
      <c r="C14176"/>
      <c r="D14176"/>
      <c r="E14176"/>
      <c r="F14176"/>
      <c r="G14176"/>
      <c r="H14176"/>
      <c r="I14176"/>
      <c r="J14176"/>
      <c r="K14176" s="1"/>
      <c r="L14176" s="2"/>
    </row>
    <row r="14177" spans="1:12" x14ac:dyDescent="0.2">
      <c r="A14177"/>
      <c r="B14177"/>
      <c r="C14177"/>
      <c r="D14177"/>
      <c r="E14177"/>
      <c r="F14177"/>
      <c r="G14177"/>
      <c r="H14177"/>
      <c r="I14177"/>
      <c r="J14177"/>
      <c r="K14177" s="1"/>
      <c r="L14177" s="2"/>
    </row>
    <row r="14178" spans="1:12" x14ac:dyDescent="0.2">
      <c r="A14178"/>
      <c r="B14178"/>
      <c r="C14178"/>
      <c r="D14178"/>
      <c r="E14178"/>
      <c r="F14178"/>
      <c r="G14178"/>
      <c r="H14178"/>
      <c r="I14178"/>
      <c r="J14178"/>
      <c r="K14178" s="1"/>
      <c r="L14178" s="2"/>
    </row>
    <row r="14179" spans="1:12" x14ac:dyDescent="0.2">
      <c r="A14179"/>
      <c r="B14179"/>
      <c r="C14179"/>
      <c r="D14179"/>
      <c r="E14179"/>
      <c r="F14179"/>
      <c r="G14179"/>
      <c r="H14179"/>
      <c r="I14179"/>
      <c r="J14179"/>
      <c r="K14179" s="1"/>
      <c r="L14179" s="2"/>
    </row>
    <row r="14180" spans="1:12" x14ac:dyDescent="0.2">
      <c r="A14180"/>
      <c r="B14180"/>
      <c r="C14180"/>
      <c r="D14180"/>
      <c r="E14180"/>
      <c r="F14180"/>
      <c r="G14180"/>
      <c r="H14180"/>
      <c r="I14180"/>
      <c r="J14180"/>
      <c r="K14180" s="1"/>
      <c r="L14180" s="2"/>
    </row>
    <row r="14181" spans="1:12" x14ac:dyDescent="0.2">
      <c r="A14181"/>
      <c r="B14181"/>
      <c r="C14181"/>
      <c r="D14181"/>
      <c r="E14181"/>
      <c r="F14181"/>
      <c r="G14181"/>
      <c r="H14181"/>
      <c r="I14181"/>
      <c r="J14181"/>
      <c r="K14181" s="1"/>
      <c r="L14181" s="2"/>
    </row>
    <row r="14182" spans="1:12" x14ac:dyDescent="0.2">
      <c r="A14182"/>
      <c r="B14182"/>
      <c r="C14182"/>
      <c r="D14182"/>
      <c r="E14182"/>
      <c r="F14182"/>
      <c r="G14182"/>
      <c r="H14182"/>
      <c r="I14182"/>
      <c r="J14182"/>
      <c r="K14182" s="1"/>
      <c r="L14182" s="2"/>
    </row>
    <row r="14183" spans="1:12" x14ac:dyDescent="0.2">
      <c r="A14183"/>
      <c r="B14183"/>
      <c r="C14183"/>
      <c r="D14183"/>
      <c r="E14183"/>
      <c r="F14183"/>
      <c r="G14183"/>
      <c r="H14183"/>
      <c r="I14183"/>
      <c r="J14183"/>
      <c r="K14183" s="1"/>
      <c r="L14183" s="2"/>
    </row>
    <row r="14184" spans="1:12" x14ac:dyDescent="0.2">
      <c r="A14184"/>
      <c r="B14184"/>
      <c r="C14184"/>
      <c r="D14184"/>
      <c r="E14184"/>
      <c r="F14184"/>
      <c r="G14184"/>
      <c r="H14184"/>
      <c r="I14184"/>
      <c r="J14184"/>
      <c r="K14184" s="1"/>
      <c r="L14184" s="2"/>
    </row>
    <row r="14185" spans="1:12" x14ac:dyDescent="0.2">
      <c r="A14185"/>
      <c r="B14185"/>
      <c r="C14185"/>
      <c r="D14185"/>
      <c r="E14185"/>
      <c r="F14185"/>
      <c r="G14185"/>
      <c r="H14185"/>
      <c r="I14185"/>
      <c r="J14185"/>
      <c r="K14185" s="1"/>
      <c r="L14185" s="2"/>
    </row>
    <row r="14186" spans="1:12" x14ac:dyDescent="0.2">
      <c r="A14186"/>
      <c r="B14186"/>
      <c r="C14186"/>
      <c r="D14186"/>
      <c r="E14186"/>
      <c r="F14186"/>
      <c r="G14186"/>
      <c r="H14186"/>
      <c r="I14186"/>
      <c r="J14186"/>
      <c r="K14186" s="1"/>
      <c r="L14186" s="2"/>
    </row>
    <row r="14187" spans="1:12" x14ac:dyDescent="0.2">
      <c r="A14187"/>
      <c r="B14187"/>
      <c r="C14187"/>
      <c r="D14187"/>
      <c r="E14187"/>
      <c r="F14187"/>
      <c r="G14187"/>
      <c r="H14187"/>
      <c r="I14187"/>
      <c r="J14187"/>
      <c r="K14187" s="1"/>
      <c r="L14187" s="2"/>
    </row>
    <row r="14188" spans="1:12" x14ac:dyDescent="0.2">
      <c r="A14188"/>
      <c r="B14188"/>
      <c r="C14188"/>
      <c r="D14188"/>
      <c r="E14188"/>
      <c r="F14188"/>
      <c r="G14188"/>
      <c r="H14188"/>
      <c r="I14188"/>
      <c r="J14188"/>
      <c r="K14188" s="1"/>
      <c r="L14188" s="2"/>
    </row>
    <row r="14189" spans="1:12" x14ac:dyDescent="0.2">
      <c r="A14189"/>
      <c r="B14189"/>
      <c r="C14189"/>
      <c r="D14189"/>
      <c r="E14189"/>
      <c r="F14189"/>
      <c r="G14189"/>
      <c r="H14189"/>
      <c r="I14189"/>
      <c r="J14189"/>
      <c r="K14189" s="1"/>
      <c r="L14189" s="2"/>
    </row>
    <row r="14190" spans="1:12" x14ac:dyDescent="0.2">
      <c r="A14190"/>
      <c r="B14190"/>
      <c r="C14190"/>
      <c r="D14190"/>
      <c r="E14190"/>
      <c r="F14190"/>
      <c r="G14190"/>
      <c r="H14190"/>
      <c r="I14190"/>
      <c r="J14190"/>
      <c r="K14190" s="1"/>
      <c r="L14190" s="2"/>
    </row>
    <row r="14191" spans="1:12" x14ac:dyDescent="0.2">
      <c r="A14191"/>
      <c r="B14191"/>
      <c r="C14191"/>
      <c r="D14191"/>
      <c r="E14191"/>
      <c r="F14191"/>
      <c r="G14191"/>
      <c r="H14191"/>
      <c r="I14191"/>
      <c r="J14191"/>
      <c r="K14191" s="1"/>
      <c r="L14191" s="2"/>
    </row>
    <row r="14192" spans="1:12" x14ac:dyDescent="0.2">
      <c r="A14192"/>
      <c r="B14192"/>
      <c r="C14192"/>
      <c r="D14192"/>
      <c r="E14192"/>
      <c r="F14192"/>
      <c r="G14192"/>
      <c r="H14192"/>
      <c r="I14192"/>
      <c r="J14192"/>
      <c r="K14192" s="1"/>
      <c r="L14192" s="2"/>
    </row>
    <row r="14193" spans="1:12" x14ac:dyDescent="0.2">
      <c r="A14193"/>
      <c r="B14193"/>
      <c r="C14193"/>
      <c r="D14193"/>
      <c r="E14193"/>
      <c r="F14193"/>
      <c r="G14193"/>
      <c r="H14193"/>
      <c r="I14193"/>
      <c r="J14193"/>
      <c r="K14193" s="1"/>
      <c r="L14193" s="2"/>
    </row>
    <row r="14194" spans="1:12" x14ac:dyDescent="0.2">
      <c r="A14194"/>
      <c r="B14194"/>
      <c r="C14194"/>
      <c r="D14194"/>
      <c r="E14194"/>
      <c r="F14194"/>
      <c r="G14194"/>
      <c r="H14194"/>
      <c r="I14194"/>
      <c r="J14194"/>
      <c r="K14194" s="1"/>
      <c r="L14194" s="2"/>
    </row>
    <row r="14195" spans="1:12" x14ac:dyDescent="0.2">
      <c r="A14195"/>
      <c r="B14195"/>
      <c r="C14195"/>
      <c r="D14195"/>
      <c r="E14195"/>
      <c r="F14195"/>
      <c r="G14195"/>
      <c r="H14195"/>
      <c r="I14195"/>
      <c r="J14195"/>
      <c r="K14195" s="1"/>
      <c r="L14195" s="2"/>
    </row>
    <row r="14196" spans="1:12" x14ac:dyDescent="0.2">
      <c r="A14196"/>
      <c r="B14196"/>
      <c r="C14196"/>
      <c r="D14196"/>
      <c r="E14196"/>
      <c r="F14196"/>
      <c r="G14196"/>
      <c r="H14196"/>
      <c r="I14196"/>
      <c r="J14196"/>
      <c r="K14196" s="1"/>
      <c r="L14196" s="2"/>
    </row>
    <row r="14197" spans="1:12" x14ac:dyDescent="0.2">
      <c r="A14197"/>
      <c r="B14197"/>
      <c r="C14197"/>
      <c r="D14197"/>
      <c r="E14197"/>
      <c r="F14197"/>
      <c r="G14197"/>
      <c r="H14197"/>
      <c r="I14197"/>
      <c r="J14197"/>
      <c r="K14197" s="1"/>
      <c r="L14197" s="2"/>
    </row>
    <row r="14198" spans="1:12" x14ac:dyDescent="0.2">
      <c r="A14198"/>
      <c r="B14198"/>
      <c r="C14198"/>
      <c r="D14198"/>
      <c r="E14198"/>
      <c r="F14198"/>
      <c r="G14198"/>
      <c r="H14198"/>
      <c r="I14198"/>
      <c r="J14198"/>
      <c r="K14198" s="1"/>
      <c r="L14198" s="2"/>
    </row>
    <row r="14199" spans="1:12" x14ac:dyDescent="0.2">
      <c r="A14199"/>
      <c r="B14199"/>
      <c r="C14199"/>
      <c r="D14199"/>
      <c r="E14199"/>
      <c r="F14199"/>
      <c r="G14199"/>
      <c r="H14199"/>
      <c r="I14199"/>
      <c r="J14199"/>
      <c r="K14199" s="1"/>
      <c r="L14199" s="2"/>
    </row>
    <row r="14200" spans="1:12" x14ac:dyDescent="0.2">
      <c r="A14200"/>
      <c r="B14200"/>
      <c r="C14200"/>
      <c r="D14200"/>
      <c r="E14200"/>
      <c r="F14200"/>
      <c r="G14200"/>
      <c r="H14200"/>
      <c r="I14200"/>
      <c r="J14200"/>
      <c r="K14200" s="1"/>
      <c r="L14200" s="2"/>
    </row>
    <row r="14201" spans="1:12" x14ac:dyDescent="0.2">
      <c r="A14201"/>
      <c r="B14201"/>
      <c r="C14201"/>
      <c r="D14201"/>
      <c r="E14201"/>
      <c r="F14201"/>
      <c r="G14201"/>
      <c r="H14201"/>
      <c r="I14201"/>
      <c r="J14201"/>
      <c r="K14201" s="1"/>
      <c r="L14201" s="2"/>
    </row>
    <row r="14202" spans="1:12" x14ac:dyDescent="0.2">
      <c r="A14202"/>
      <c r="B14202"/>
      <c r="C14202"/>
      <c r="D14202"/>
      <c r="E14202"/>
      <c r="F14202"/>
      <c r="G14202"/>
      <c r="H14202"/>
      <c r="I14202"/>
      <c r="J14202"/>
      <c r="K14202" s="1"/>
      <c r="L14202" s="2"/>
    </row>
    <row r="14203" spans="1:12" x14ac:dyDescent="0.2">
      <c r="A14203"/>
      <c r="B14203"/>
      <c r="C14203"/>
      <c r="D14203"/>
      <c r="E14203"/>
      <c r="F14203"/>
      <c r="G14203"/>
      <c r="H14203"/>
      <c r="I14203"/>
      <c r="J14203"/>
      <c r="K14203" s="1"/>
      <c r="L14203" s="2"/>
    </row>
    <row r="14204" spans="1:12" x14ac:dyDescent="0.2">
      <c r="A14204"/>
      <c r="B14204"/>
      <c r="C14204"/>
      <c r="D14204"/>
      <c r="E14204"/>
      <c r="F14204"/>
      <c r="G14204"/>
      <c r="H14204"/>
      <c r="I14204"/>
      <c r="J14204"/>
      <c r="K14204" s="1"/>
      <c r="L14204" s="2"/>
    </row>
    <row r="14205" spans="1:12" x14ac:dyDescent="0.2">
      <c r="A14205"/>
      <c r="B14205"/>
      <c r="C14205"/>
      <c r="D14205"/>
      <c r="E14205"/>
      <c r="F14205"/>
      <c r="G14205"/>
      <c r="H14205"/>
      <c r="I14205"/>
      <c r="J14205"/>
      <c r="K14205" s="1"/>
      <c r="L14205" s="2"/>
    </row>
    <row r="14206" spans="1:12" x14ac:dyDescent="0.2">
      <c r="A14206"/>
      <c r="B14206"/>
      <c r="C14206"/>
      <c r="D14206"/>
      <c r="E14206"/>
      <c r="F14206"/>
      <c r="G14206"/>
      <c r="H14206"/>
      <c r="I14206"/>
      <c r="J14206"/>
      <c r="K14206" s="1"/>
      <c r="L14206" s="2"/>
    </row>
    <row r="14207" spans="1:12" x14ac:dyDescent="0.2">
      <c r="A14207"/>
      <c r="B14207"/>
      <c r="C14207"/>
      <c r="D14207"/>
      <c r="E14207"/>
      <c r="F14207"/>
      <c r="G14207"/>
      <c r="H14207"/>
      <c r="I14207"/>
      <c r="J14207"/>
      <c r="K14207" s="1"/>
      <c r="L14207" s="2"/>
    </row>
    <row r="14208" spans="1:12" x14ac:dyDescent="0.2">
      <c r="A14208"/>
      <c r="B14208"/>
      <c r="C14208"/>
      <c r="D14208"/>
      <c r="E14208"/>
      <c r="F14208"/>
      <c r="G14208"/>
      <c r="H14208"/>
      <c r="I14208"/>
      <c r="J14208"/>
      <c r="K14208" s="1"/>
      <c r="L14208" s="2"/>
    </row>
    <row r="14209" spans="1:12" x14ac:dyDescent="0.2">
      <c r="A14209"/>
      <c r="B14209"/>
      <c r="C14209"/>
      <c r="D14209"/>
      <c r="E14209"/>
      <c r="F14209"/>
      <c r="G14209"/>
      <c r="H14209"/>
      <c r="I14209"/>
      <c r="J14209"/>
      <c r="K14209" s="1"/>
      <c r="L14209" s="2"/>
    </row>
    <row r="14210" spans="1:12" x14ac:dyDescent="0.2">
      <c r="A14210"/>
      <c r="B14210"/>
      <c r="C14210"/>
      <c r="D14210"/>
      <c r="E14210"/>
      <c r="F14210"/>
      <c r="G14210"/>
      <c r="H14210"/>
      <c r="I14210"/>
      <c r="J14210"/>
      <c r="K14210" s="1"/>
      <c r="L14210" s="2"/>
    </row>
    <row r="14211" spans="1:12" x14ac:dyDescent="0.2">
      <c r="A14211"/>
      <c r="B14211"/>
      <c r="C14211"/>
      <c r="D14211"/>
      <c r="E14211"/>
      <c r="F14211"/>
      <c r="G14211"/>
      <c r="H14211"/>
      <c r="I14211"/>
      <c r="J14211"/>
      <c r="K14211" s="1"/>
      <c r="L14211" s="2"/>
    </row>
    <row r="14212" spans="1:12" x14ac:dyDescent="0.2">
      <c r="A14212"/>
      <c r="B14212"/>
      <c r="C14212"/>
      <c r="D14212"/>
      <c r="E14212"/>
      <c r="F14212"/>
      <c r="G14212"/>
      <c r="H14212"/>
      <c r="I14212"/>
      <c r="J14212"/>
      <c r="K14212" s="1"/>
      <c r="L14212" s="2"/>
    </row>
    <row r="14213" spans="1:12" x14ac:dyDescent="0.2">
      <c r="A14213"/>
      <c r="B14213"/>
      <c r="C14213"/>
      <c r="D14213"/>
      <c r="E14213"/>
      <c r="F14213"/>
      <c r="G14213"/>
      <c r="H14213"/>
      <c r="I14213"/>
      <c r="J14213"/>
      <c r="K14213" s="1"/>
      <c r="L14213" s="2"/>
    </row>
    <row r="14214" spans="1:12" x14ac:dyDescent="0.2">
      <c r="A14214"/>
      <c r="B14214"/>
      <c r="C14214"/>
      <c r="D14214"/>
      <c r="E14214"/>
      <c r="F14214"/>
      <c r="G14214"/>
      <c r="H14214"/>
      <c r="I14214"/>
      <c r="J14214"/>
      <c r="K14214" s="1"/>
      <c r="L14214" s="2"/>
    </row>
    <row r="14215" spans="1:12" x14ac:dyDescent="0.2">
      <c r="A14215"/>
      <c r="B14215"/>
      <c r="C14215"/>
      <c r="D14215"/>
      <c r="E14215"/>
      <c r="F14215"/>
      <c r="G14215"/>
      <c r="H14215"/>
      <c r="I14215"/>
      <c r="J14215"/>
      <c r="K14215" s="1"/>
      <c r="L14215" s="2"/>
    </row>
    <row r="14216" spans="1:12" x14ac:dyDescent="0.2">
      <c r="A14216"/>
      <c r="B14216"/>
      <c r="C14216"/>
      <c r="D14216"/>
      <c r="E14216"/>
      <c r="F14216"/>
      <c r="G14216"/>
      <c r="H14216"/>
      <c r="I14216"/>
      <c r="J14216"/>
      <c r="K14216" s="1"/>
      <c r="L14216" s="2"/>
    </row>
    <row r="14217" spans="1:12" x14ac:dyDescent="0.2">
      <c r="A14217"/>
      <c r="B14217"/>
      <c r="C14217"/>
      <c r="D14217"/>
      <c r="E14217"/>
      <c r="F14217"/>
      <c r="G14217"/>
      <c r="H14217"/>
      <c r="I14217"/>
      <c r="J14217"/>
      <c r="K14217" s="1"/>
      <c r="L14217" s="2"/>
    </row>
    <row r="14218" spans="1:12" x14ac:dyDescent="0.2">
      <c r="A14218"/>
      <c r="B14218"/>
      <c r="C14218"/>
      <c r="D14218"/>
      <c r="E14218"/>
      <c r="F14218"/>
      <c r="G14218"/>
      <c r="H14218"/>
      <c r="I14218"/>
      <c r="J14218"/>
      <c r="K14218" s="1"/>
      <c r="L14218" s="2"/>
    </row>
    <row r="14219" spans="1:12" x14ac:dyDescent="0.2">
      <c r="A14219"/>
      <c r="B14219"/>
      <c r="C14219"/>
      <c r="D14219"/>
      <c r="E14219"/>
      <c r="F14219"/>
      <c r="G14219"/>
      <c r="H14219"/>
      <c r="I14219"/>
      <c r="J14219"/>
      <c r="K14219" s="1"/>
      <c r="L14219" s="2"/>
    </row>
    <row r="14220" spans="1:12" x14ac:dyDescent="0.2">
      <c r="A14220"/>
      <c r="B14220"/>
      <c r="C14220"/>
      <c r="D14220"/>
      <c r="E14220"/>
      <c r="F14220"/>
      <c r="G14220"/>
      <c r="H14220"/>
      <c r="I14220"/>
      <c r="J14220"/>
      <c r="K14220" s="1"/>
      <c r="L14220" s="2"/>
    </row>
    <row r="14221" spans="1:12" x14ac:dyDescent="0.2">
      <c r="A14221"/>
      <c r="B14221"/>
      <c r="C14221"/>
      <c r="D14221"/>
      <c r="E14221"/>
      <c r="F14221"/>
      <c r="G14221"/>
      <c r="H14221"/>
      <c r="I14221"/>
      <c r="J14221"/>
      <c r="K14221" s="1"/>
      <c r="L14221" s="2"/>
    </row>
    <row r="14222" spans="1:12" x14ac:dyDescent="0.2">
      <c r="A14222"/>
      <c r="B14222"/>
      <c r="C14222"/>
      <c r="D14222"/>
      <c r="E14222"/>
      <c r="F14222"/>
      <c r="G14222"/>
      <c r="H14222"/>
      <c r="I14222"/>
      <c r="J14222"/>
      <c r="K14222" s="1"/>
      <c r="L14222" s="2"/>
    </row>
    <row r="14223" spans="1:12" x14ac:dyDescent="0.2">
      <c r="A14223"/>
      <c r="B14223"/>
      <c r="C14223"/>
      <c r="D14223"/>
      <c r="E14223"/>
      <c r="F14223"/>
      <c r="G14223"/>
      <c r="H14223"/>
      <c r="I14223"/>
      <c r="J14223"/>
      <c r="K14223" s="1"/>
      <c r="L14223" s="2"/>
    </row>
    <row r="14224" spans="1:12" x14ac:dyDescent="0.2">
      <c r="A14224"/>
      <c r="B14224"/>
      <c r="C14224"/>
      <c r="D14224"/>
      <c r="E14224"/>
      <c r="F14224"/>
      <c r="G14224"/>
      <c r="H14224"/>
      <c r="I14224"/>
      <c r="J14224"/>
      <c r="K14224" s="1"/>
      <c r="L14224" s="2"/>
    </row>
    <row r="14225" spans="1:12" x14ac:dyDescent="0.2">
      <c r="A14225"/>
      <c r="B14225"/>
      <c r="C14225"/>
      <c r="D14225"/>
      <c r="E14225"/>
      <c r="F14225"/>
      <c r="G14225"/>
      <c r="H14225"/>
      <c r="I14225"/>
      <c r="J14225"/>
      <c r="K14225" s="1"/>
      <c r="L14225" s="2"/>
    </row>
    <row r="14226" spans="1:12" x14ac:dyDescent="0.2">
      <c r="A14226"/>
      <c r="B14226"/>
      <c r="C14226"/>
      <c r="D14226"/>
      <c r="E14226"/>
      <c r="F14226"/>
      <c r="G14226"/>
      <c r="H14226"/>
      <c r="I14226"/>
      <c r="J14226"/>
      <c r="K14226" s="1"/>
      <c r="L14226" s="2"/>
    </row>
    <row r="14227" spans="1:12" x14ac:dyDescent="0.2">
      <c r="A14227"/>
      <c r="B14227"/>
      <c r="C14227"/>
      <c r="D14227"/>
      <c r="E14227"/>
      <c r="F14227"/>
      <c r="G14227"/>
      <c r="H14227"/>
      <c r="I14227"/>
      <c r="J14227"/>
      <c r="K14227" s="1"/>
      <c r="L14227" s="2"/>
    </row>
    <row r="14228" spans="1:12" x14ac:dyDescent="0.2">
      <c r="A14228"/>
      <c r="B14228"/>
      <c r="C14228"/>
      <c r="D14228"/>
      <c r="E14228"/>
      <c r="F14228"/>
      <c r="G14228"/>
      <c r="H14228"/>
      <c r="I14228"/>
      <c r="J14228"/>
      <c r="K14228" s="1"/>
      <c r="L14228" s="2"/>
    </row>
    <row r="14229" spans="1:12" x14ac:dyDescent="0.2">
      <c r="A14229"/>
      <c r="B14229"/>
      <c r="C14229"/>
      <c r="D14229"/>
      <c r="E14229"/>
      <c r="F14229"/>
      <c r="G14229"/>
      <c r="H14229"/>
      <c r="I14229"/>
      <c r="J14229"/>
      <c r="K14229" s="1"/>
      <c r="L14229" s="2"/>
    </row>
    <row r="14230" spans="1:12" x14ac:dyDescent="0.2">
      <c r="A14230"/>
      <c r="B14230"/>
      <c r="C14230"/>
      <c r="D14230"/>
      <c r="E14230"/>
      <c r="F14230"/>
      <c r="G14230"/>
      <c r="H14230"/>
      <c r="I14230"/>
      <c r="J14230"/>
      <c r="K14230" s="1"/>
      <c r="L14230" s="2"/>
    </row>
    <row r="14231" spans="1:12" x14ac:dyDescent="0.2">
      <c r="A14231"/>
      <c r="B14231"/>
      <c r="C14231"/>
      <c r="D14231"/>
      <c r="E14231"/>
      <c r="F14231"/>
      <c r="G14231"/>
      <c r="H14231"/>
      <c r="I14231"/>
      <c r="J14231"/>
      <c r="K14231" s="1"/>
      <c r="L14231" s="2"/>
    </row>
    <row r="14232" spans="1:12" x14ac:dyDescent="0.2">
      <c r="A14232"/>
      <c r="B14232"/>
      <c r="C14232"/>
      <c r="D14232"/>
      <c r="E14232"/>
      <c r="F14232"/>
      <c r="G14232"/>
      <c r="H14232"/>
      <c r="I14232"/>
      <c r="J14232"/>
      <c r="K14232" s="1"/>
      <c r="L14232" s="2"/>
    </row>
    <row r="14233" spans="1:12" x14ac:dyDescent="0.2">
      <c r="A14233"/>
      <c r="B14233"/>
      <c r="C14233"/>
      <c r="D14233"/>
      <c r="E14233"/>
      <c r="F14233"/>
      <c r="G14233"/>
      <c r="H14233"/>
      <c r="I14233"/>
      <c r="J14233"/>
      <c r="K14233" s="1"/>
      <c r="L14233" s="2"/>
    </row>
    <row r="14234" spans="1:12" x14ac:dyDescent="0.2">
      <c r="A14234"/>
      <c r="B14234"/>
      <c r="C14234"/>
      <c r="D14234"/>
      <c r="E14234"/>
      <c r="F14234"/>
      <c r="G14234"/>
      <c r="H14234"/>
      <c r="I14234"/>
      <c r="J14234"/>
      <c r="K14234" s="1"/>
      <c r="L14234" s="2"/>
    </row>
    <row r="14235" spans="1:12" x14ac:dyDescent="0.2">
      <c r="A14235"/>
      <c r="B14235"/>
      <c r="C14235"/>
      <c r="D14235"/>
      <c r="E14235"/>
      <c r="F14235"/>
      <c r="G14235"/>
      <c r="H14235"/>
      <c r="I14235"/>
      <c r="J14235"/>
      <c r="K14235" s="1"/>
      <c r="L14235" s="2"/>
    </row>
    <row r="14236" spans="1:12" x14ac:dyDescent="0.2">
      <c r="A14236"/>
      <c r="B14236"/>
      <c r="C14236"/>
      <c r="D14236"/>
      <c r="E14236"/>
      <c r="F14236"/>
      <c r="G14236"/>
      <c r="H14236"/>
      <c r="I14236"/>
      <c r="J14236"/>
      <c r="K14236" s="1"/>
      <c r="L14236" s="2"/>
    </row>
    <row r="14237" spans="1:12" x14ac:dyDescent="0.2">
      <c r="A14237"/>
      <c r="B14237"/>
      <c r="C14237"/>
      <c r="D14237"/>
      <c r="E14237"/>
      <c r="F14237"/>
      <c r="G14237"/>
      <c r="H14237"/>
      <c r="I14237"/>
      <c r="J14237"/>
      <c r="K14237" s="1"/>
      <c r="L14237" s="2"/>
    </row>
    <row r="14238" spans="1:12" x14ac:dyDescent="0.2">
      <c r="A14238"/>
      <c r="B14238"/>
      <c r="C14238"/>
      <c r="D14238"/>
      <c r="E14238"/>
      <c r="F14238"/>
      <c r="G14238"/>
      <c r="H14238"/>
      <c r="I14238"/>
      <c r="J14238"/>
      <c r="K14238" s="1"/>
      <c r="L14238" s="2"/>
    </row>
    <row r="14239" spans="1:12" x14ac:dyDescent="0.2">
      <c r="A14239"/>
      <c r="B14239"/>
      <c r="C14239"/>
      <c r="D14239"/>
      <c r="E14239"/>
      <c r="F14239"/>
      <c r="G14239"/>
      <c r="H14239"/>
      <c r="I14239"/>
      <c r="J14239"/>
      <c r="K14239" s="1"/>
      <c r="L14239" s="2"/>
    </row>
    <row r="14240" spans="1:12" x14ac:dyDescent="0.2">
      <c r="A14240"/>
      <c r="B14240"/>
      <c r="C14240"/>
      <c r="D14240"/>
      <c r="E14240"/>
      <c r="F14240"/>
      <c r="G14240"/>
      <c r="H14240"/>
      <c r="I14240"/>
      <c r="J14240"/>
      <c r="K14240" s="1"/>
      <c r="L14240" s="2"/>
    </row>
    <row r="14241" spans="1:12" x14ac:dyDescent="0.2">
      <c r="A14241"/>
      <c r="B14241"/>
      <c r="C14241"/>
      <c r="D14241"/>
      <c r="E14241"/>
      <c r="F14241"/>
      <c r="G14241"/>
      <c r="H14241"/>
      <c r="I14241"/>
      <c r="J14241"/>
      <c r="K14241" s="1"/>
      <c r="L14241" s="2"/>
    </row>
    <row r="14242" spans="1:12" x14ac:dyDescent="0.2">
      <c r="A14242"/>
      <c r="B14242"/>
      <c r="C14242"/>
      <c r="D14242"/>
      <c r="E14242"/>
      <c r="F14242"/>
      <c r="G14242"/>
      <c r="H14242"/>
      <c r="I14242"/>
      <c r="J14242"/>
      <c r="K14242" s="1"/>
      <c r="L14242" s="2"/>
    </row>
    <row r="14243" spans="1:12" x14ac:dyDescent="0.2">
      <c r="A14243"/>
      <c r="B14243"/>
      <c r="C14243"/>
      <c r="D14243"/>
      <c r="E14243"/>
      <c r="F14243"/>
      <c r="G14243"/>
      <c r="H14243"/>
      <c r="I14243"/>
      <c r="J14243"/>
      <c r="K14243" s="1"/>
      <c r="L14243" s="2"/>
    </row>
    <row r="14244" spans="1:12" x14ac:dyDescent="0.2">
      <c r="A14244"/>
      <c r="B14244"/>
      <c r="C14244"/>
      <c r="D14244"/>
      <c r="E14244"/>
      <c r="F14244"/>
      <c r="G14244"/>
      <c r="H14244"/>
      <c r="I14244"/>
      <c r="J14244"/>
      <c r="K14244" s="1"/>
      <c r="L14244" s="2"/>
    </row>
    <row r="14245" spans="1:12" x14ac:dyDescent="0.2">
      <c r="A14245"/>
      <c r="B14245"/>
      <c r="C14245"/>
      <c r="D14245"/>
      <c r="E14245"/>
      <c r="F14245"/>
      <c r="G14245"/>
      <c r="H14245"/>
      <c r="I14245"/>
      <c r="J14245"/>
      <c r="K14245" s="1"/>
      <c r="L14245" s="2"/>
    </row>
    <row r="14246" spans="1:12" x14ac:dyDescent="0.2">
      <c r="A14246"/>
      <c r="B14246"/>
      <c r="C14246"/>
      <c r="D14246"/>
      <c r="E14246"/>
      <c r="F14246"/>
      <c r="G14246"/>
      <c r="H14246"/>
      <c r="I14246"/>
      <c r="J14246"/>
      <c r="K14246" s="1"/>
      <c r="L14246" s="2"/>
    </row>
    <row r="14247" spans="1:12" x14ac:dyDescent="0.2">
      <c r="A14247"/>
      <c r="B14247"/>
      <c r="C14247"/>
      <c r="D14247"/>
      <c r="E14247"/>
      <c r="F14247"/>
      <c r="G14247"/>
      <c r="H14247"/>
      <c r="I14247"/>
      <c r="J14247"/>
      <c r="K14247" s="1"/>
      <c r="L14247" s="2"/>
    </row>
    <row r="14248" spans="1:12" x14ac:dyDescent="0.2">
      <c r="A14248"/>
      <c r="B14248"/>
      <c r="C14248"/>
      <c r="D14248"/>
      <c r="E14248"/>
      <c r="F14248"/>
      <c r="G14248"/>
      <c r="H14248"/>
      <c r="I14248"/>
      <c r="J14248"/>
      <c r="K14248" s="1"/>
      <c r="L14248" s="2"/>
    </row>
    <row r="14249" spans="1:12" x14ac:dyDescent="0.2">
      <c r="A14249"/>
      <c r="B14249"/>
      <c r="C14249"/>
      <c r="D14249"/>
      <c r="E14249"/>
      <c r="F14249"/>
      <c r="G14249"/>
      <c r="H14249"/>
      <c r="I14249"/>
      <c r="J14249"/>
      <c r="K14249" s="1"/>
      <c r="L14249" s="2"/>
    </row>
    <row r="14250" spans="1:12" x14ac:dyDescent="0.2">
      <c r="A14250"/>
      <c r="B14250"/>
      <c r="C14250"/>
      <c r="D14250"/>
      <c r="E14250"/>
      <c r="F14250"/>
      <c r="G14250"/>
      <c r="H14250"/>
      <c r="I14250"/>
      <c r="J14250"/>
      <c r="K14250" s="1"/>
      <c r="L14250" s="2"/>
    </row>
    <row r="14251" spans="1:12" x14ac:dyDescent="0.2">
      <c r="A14251"/>
      <c r="B14251"/>
      <c r="C14251"/>
      <c r="D14251"/>
      <c r="E14251"/>
      <c r="F14251"/>
      <c r="G14251"/>
      <c r="H14251"/>
      <c r="I14251"/>
      <c r="J14251"/>
      <c r="K14251" s="1"/>
      <c r="L14251" s="2"/>
    </row>
    <row r="14252" spans="1:12" x14ac:dyDescent="0.2">
      <c r="A14252"/>
      <c r="B14252"/>
      <c r="C14252"/>
      <c r="D14252"/>
      <c r="E14252"/>
      <c r="F14252"/>
      <c r="G14252"/>
      <c r="H14252"/>
      <c r="I14252"/>
      <c r="J14252"/>
      <c r="K14252" s="1"/>
      <c r="L14252" s="2"/>
    </row>
    <row r="14253" spans="1:12" x14ac:dyDescent="0.2">
      <c r="A14253"/>
      <c r="B14253"/>
      <c r="C14253"/>
      <c r="D14253"/>
      <c r="E14253"/>
      <c r="F14253"/>
      <c r="G14253"/>
      <c r="H14253"/>
      <c r="I14253"/>
      <c r="J14253"/>
      <c r="K14253" s="1"/>
      <c r="L14253" s="2"/>
    </row>
    <row r="14254" spans="1:12" x14ac:dyDescent="0.2">
      <c r="A14254"/>
      <c r="B14254"/>
      <c r="C14254"/>
      <c r="D14254"/>
      <c r="E14254"/>
      <c r="F14254"/>
      <c r="G14254"/>
      <c r="H14254"/>
      <c r="I14254"/>
      <c r="J14254"/>
      <c r="K14254" s="1"/>
      <c r="L14254" s="2"/>
    </row>
    <row r="14255" spans="1:12" x14ac:dyDescent="0.2">
      <c r="A14255"/>
      <c r="B14255"/>
      <c r="C14255"/>
      <c r="D14255"/>
      <c r="E14255"/>
      <c r="F14255"/>
      <c r="G14255"/>
      <c r="H14255"/>
      <c r="I14255"/>
      <c r="J14255"/>
      <c r="K14255" s="1"/>
      <c r="L14255" s="2"/>
    </row>
    <row r="14256" spans="1:12" x14ac:dyDescent="0.2">
      <c r="A14256"/>
      <c r="B14256"/>
      <c r="C14256"/>
      <c r="D14256"/>
      <c r="E14256"/>
      <c r="F14256"/>
      <c r="G14256"/>
      <c r="H14256"/>
      <c r="I14256"/>
      <c r="J14256"/>
      <c r="K14256" s="1"/>
      <c r="L14256" s="2"/>
    </row>
    <row r="14257" spans="1:12" x14ac:dyDescent="0.2">
      <c r="A14257"/>
      <c r="B14257"/>
      <c r="C14257"/>
      <c r="D14257"/>
      <c r="E14257"/>
      <c r="F14257"/>
      <c r="G14257"/>
      <c r="H14257"/>
      <c r="I14257"/>
      <c r="J14257"/>
      <c r="K14257" s="1"/>
      <c r="L14257" s="2"/>
    </row>
    <row r="14258" spans="1:12" x14ac:dyDescent="0.2">
      <c r="A14258"/>
      <c r="B14258"/>
      <c r="C14258"/>
      <c r="D14258"/>
      <c r="E14258"/>
      <c r="F14258"/>
      <c r="G14258"/>
      <c r="H14258"/>
      <c r="I14258"/>
      <c r="J14258"/>
      <c r="K14258" s="1"/>
      <c r="L14258" s="2"/>
    </row>
    <row r="14259" spans="1:12" x14ac:dyDescent="0.2">
      <c r="A14259"/>
      <c r="B14259"/>
      <c r="C14259"/>
      <c r="D14259"/>
      <c r="E14259"/>
      <c r="F14259"/>
      <c r="G14259"/>
      <c r="H14259"/>
      <c r="I14259"/>
      <c r="J14259"/>
      <c r="K14259" s="1"/>
      <c r="L14259" s="2"/>
    </row>
    <row r="14260" spans="1:12" x14ac:dyDescent="0.2">
      <c r="A14260"/>
      <c r="B14260"/>
      <c r="C14260"/>
      <c r="D14260"/>
      <c r="E14260"/>
      <c r="F14260"/>
      <c r="G14260"/>
      <c r="H14260"/>
      <c r="I14260"/>
      <c r="J14260"/>
      <c r="K14260" s="1"/>
      <c r="L14260" s="2"/>
    </row>
    <row r="14261" spans="1:12" x14ac:dyDescent="0.2">
      <c r="A14261"/>
      <c r="B14261"/>
      <c r="C14261"/>
      <c r="D14261"/>
      <c r="E14261"/>
      <c r="F14261"/>
      <c r="G14261"/>
      <c r="H14261"/>
      <c r="I14261"/>
      <c r="J14261"/>
      <c r="K14261" s="1"/>
      <c r="L14261" s="2"/>
    </row>
    <row r="14262" spans="1:12" x14ac:dyDescent="0.2">
      <c r="A14262"/>
      <c r="B14262"/>
      <c r="C14262"/>
      <c r="D14262"/>
      <c r="E14262"/>
      <c r="F14262"/>
      <c r="G14262"/>
      <c r="H14262"/>
      <c r="I14262"/>
      <c r="J14262"/>
      <c r="K14262" s="1"/>
      <c r="L14262" s="2"/>
    </row>
    <row r="14263" spans="1:12" x14ac:dyDescent="0.2">
      <c r="A14263"/>
      <c r="B14263"/>
      <c r="C14263"/>
      <c r="D14263"/>
      <c r="E14263"/>
      <c r="F14263"/>
      <c r="G14263"/>
      <c r="H14263"/>
      <c r="I14263"/>
      <c r="J14263"/>
      <c r="K14263" s="1"/>
      <c r="L14263" s="2"/>
    </row>
    <row r="14264" spans="1:12" x14ac:dyDescent="0.2">
      <c r="A14264"/>
      <c r="B14264"/>
      <c r="C14264"/>
      <c r="D14264"/>
      <c r="E14264"/>
      <c r="F14264"/>
      <c r="G14264"/>
      <c r="H14264"/>
      <c r="I14264"/>
      <c r="J14264"/>
      <c r="K14264" s="1"/>
      <c r="L14264" s="2"/>
    </row>
    <row r="14265" spans="1:12" x14ac:dyDescent="0.2">
      <c r="A14265"/>
      <c r="B14265"/>
      <c r="C14265"/>
      <c r="D14265"/>
      <c r="E14265"/>
      <c r="F14265"/>
      <c r="G14265"/>
      <c r="H14265"/>
      <c r="I14265"/>
      <c r="J14265"/>
      <c r="K14265" s="1"/>
      <c r="L14265" s="2"/>
    </row>
    <row r="14266" spans="1:12" x14ac:dyDescent="0.2">
      <c r="A14266"/>
      <c r="B14266"/>
      <c r="C14266"/>
      <c r="D14266"/>
      <c r="E14266"/>
      <c r="F14266"/>
      <c r="G14266"/>
      <c r="H14266"/>
      <c r="I14266"/>
      <c r="J14266"/>
      <c r="K14266" s="1"/>
      <c r="L14266" s="2"/>
    </row>
    <row r="14267" spans="1:12" x14ac:dyDescent="0.2">
      <c r="A14267"/>
      <c r="B14267"/>
      <c r="C14267"/>
      <c r="D14267"/>
      <c r="E14267"/>
      <c r="F14267"/>
      <c r="G14267"/>
      <c r="H14267"/>
      <c r="I14267"/>
      <c r="J14267"/>
      <c r="K14267" s="1"/>
      <c r="L14267" s="2"/>
    </row>
    <row r="14268" spans="1:12" x14ac:dyDescent="0.2">
      <c r="A14268"/>
      <c r="B14268"/>
      <c r="C14268"/>
      <c r="D14268"/>
      <c r="E14268"/>
      <c r="F14268"/>
      <c r="G14268"/>
      <c r="H14268"/>
      <c r="I14268"/>
      <c r="J14268"/>
      <c r="K14268" s="1"/>
      <c r="L14268" s="2"/>
    </row>
    <row r="14269" spans="1:12" x14ac:dyDescent="0.2">
      <c r="A14269"/>
      <c r="B14269"/>
      <c r="C14269"/>
      <c r="D14269"/>
      <c r="E14269"/>
      <c r="F14269"/>
      <c r="G14269"/>
      <c r="H14269"/>
      <c r="I14269"/>
      <c r="J14269"/>
      <c r="K14269" s="1"/>
      <c r="L14269" s="2"/>
    </row>
    <row r="14270" spans="1:12" x14ac:dyDescent="0.2">
      <c r="A14270"/>
      <c r="B14270"/>
      <c r="C14270"/>
      <c r="D14270"/>
      <c r="E14270"/>
      <c r="F14270"/>
      <c r="G14270"/>
      <c r="H14270"/>
      <c r="I14270"/>
      <c r="J14270"/>
      <c r="K14270" s="1"/>
      <c r="L14270" s="2"/>
    </row>
    <row r="14271" spans="1:12" x14ac:dyDescent="0.2">
      <c r="A14271"/>
      <c r="B14271"/>
      <c r="C14271"/>
      <c r="D14271"/>
      <c r="E14271"/>
      <c r="F14271"/>
      <c r="G14271"/>
      <c r="H14271"/>
      <c r="I14271"/>
      <c r="J14271"/>
      <c r="K14271" s="1"/>
      <c r="L14271" s="2"/>
    </row>
    <row r="14272" spans="1:12" x14ac:dyDescent="0.2">
      <c r="A14272"/>
      <c r="B14272"/>
      <c r="C14272"/>
      <c r="D14272"/>
      <c r="E14272"/>
      <c r="F14272"/>
      <c r="G14272"/>
      <c r="H14272"/>
      <c r="I14272"/>
      <c r="J14272"/>
      <c r="K14272" s="1"/>
      <c r="L14272" s="2"/>
    </row>
    <row r="14273" spans="1:12" x14ac:dyDescent="0.2">
      <c r="A14273"/>
      <c r="B14273"/>
      <c r="C14273"/>
      <c r="D14273"/>
      <c r="E14273"/>
      <c r="F14273"/>
      <c r="G14273"/>
      <c r="H14273"/>
      <c r="I14273"/>
      <c r="J14273"/>
      <c r="K14273" s="1"/>
      <c r="L14273" s="2"/>
    </row>
    <row r="14274" spans="1:12" x14ac:dyDescent="0.2">
      <c r="A14274"/>
      <c r="B14274"/>
      <c r="C14274"/>
      <c r="D14274"/>
      <c r="E14274"/>
      <c r="F14274"/>
      <c r="G14274"/>
      <c r="H14274"/>
      <c r="I14274"/>
      <c r="J14274"/>
      <c r="K14274" s="1"/>
      <c r="L14274" s="2"/>
    </row>
    <row r="14275" spans="1:12" x14ac:dyDescent="0.2">
      <c r="A14275"/>
      <c r="B14275"/>
      <c r="C14275"/>
      <c r="D14275"/>
      <c r="E14275"/>
      <c r="F14275"/>
      <c r="G14275"/>
      <c r="H14275"/>
      <c r="I14275"/>
      <c r="J14275"/>
      <c r="K14275" s="1"/>
      <c r="L14275" s="2"/>
    </row>
    <row r="14276" spans="1:12" x14ac:dyDescent="0.2">
      <c r="A14276"/>
      <c r="B14276"/>
      <c r="C14276"/>
      <c r="D14276"/>
      <c r="E14276"/>
      <c r="F14276"/>
      <c r="G14276"/>
      <c r="H14276"/>
      <c r="I14276"/>
      <c r="J14276"/>
      <c r="K14276" s="1"/>
      <c r="L14276" s="2"/>
    </row>
    <row r="14277" spans="1:12" x14ac:dyDescent="0.2">
      <c r="A14277"/>
      <c r="B14277"/>
      <c r="C14277"/>
      <c r="D14277"/>
      <c r="E14277"/>
      <c r="F14277"/>
      <c r="G14277"/>
      <c r="H14277"/>
      <c r="I14277"/>
      <c r="J14277"/>
      <c r="K14277" s="1"/>
      <c r="L14277" s="2"/>
    </row>
    <row r="14278" spans="1:12" x14ac:dyDescent="0.2">
      <c r="A14278"/>
      <c r="B14278"/>
      <c r="C14278"/>
      <c r="D14278"/>
      <c r="E14278"/>
      <c r="F14278"/>
      <c r="G14278"/>
      <c r="H14278"/>
      <c r="I14278"/>
      <c r="J14278"/>
      <c r="K14278" s="1"/>
      <c r="L14278" s="2"/>
    </row>
    <row r="14279" spans="1:12" x14ac:dyDescent="0.2">
      <c r="A14279"/>
      <c r="B14279"/>
      <c r="C14279"/>
      <c r="D14279"/>
      <c r="E14279"/>
      <c r="F14279"/>
      <c r="G14279"/>
      <c r="H14279"/>
      <c r="I14279"/>
      <c r="J14279"/>
      <c r="K14279" s="1"/>
      <c r="L14279" s="2"/>
    </row>
    <row r="14280" spans="1:12" x14ac:dyDescent="0.2">
      <c r="A14280"/>
      <c r="B14280"/>
      <c r="C14280"/>
      <c r="D14280"/>
      <c r="E14280"/>
      <c r="F14280"/>
      <c r="G14280"/>
      <c r="H14280"/>
      <c r="I14280"/>
      <c r="J14280"/>
      <c r="K14280" s="1"/>
      <c r="L14280" s="2"/>
    </row>
    <row r="14281" spans="1:12" x14ac:dyDescent="0.2">
      <c r="A14281"/>
      <c r="B14281"/>
      <c r="C14281"/>
      <c r="D14281"/>
      <c r="E14281"/>
      <c r="F14281"/>
      <c r="G14281"/>
      <c r="H14281"/>
      <c r="I14281"/>
      <c r="J14281"/>
      <c r="K14281" s="1"/>
      <c r="L14281" s="2"/>
    </row>
    <row r="14282" spans="1:12" x14ac:dyDescent="0.2">
      <c r="A14282"/>
      <c r="B14282"/>
      <c r="C14282"/>
      <c r="D14282"/>
      <c r="E14282"/>
      <c r="F14282"/>
      <c r="G14282"/>
      <c r="H14282"/>
      <c r="I14282"/>
      <c r="J14282"/>
      <c r="K14282" s="1"/>
      <c r="L14282" s="2"/>
    </row>
    <row r="14283" spans="1:12" x14ac:dyDescent="0.2">
      <c r="A14283"/>
      <c r="B14283"/>
      <c r="C14283"/>
      <c r="D14283"/>
      <c r="E14283"/>
      <c r="F14283"/>
      <c r="G14283"/>
      <c r="H14283"/>
      <c r="I14283"/>
      <c r="J14283"/>
      <c r="K14283" s="1"/>
      <c r="L14283" s="2"/>
    </row>
    <row r="14284" spans="1:12" x14ac:dyDescent="0.2">
      <c r="A14284"/>
      <c r="B14284"/>
      <c r="C14284"/>
      <c r="D14284"/>
      <c r="E14284"/>
      <c r="F14284"/>
      <c r="G14284"/>
      <c r="H14284"/>
      <c r="I14284"/>
      <c r="J14284"/>
      <c r="K14284" s="1"/>
      <c r="L14284" s="2"/>
    </row>
    <row r="14285" spans="1:12" x14ac:dyDescent="0.2">
      <c r="A14285"/>
      <c r="B14285"/>
      <c r="C14285"/>
      <c r="D14285"/>
      <c r="E14285"/>
      <c r="F14285"/>
      <c r="G14285"/>
      <c r="H14285"/>
      <c r="I14285"/>
      <c r="J14285"/>
      <c r="K14285" s="1"/>
      <c r="L14285" s="2"/>
    </row>
    <row r="14286" spans="1:12" x14ac:dyDescent="0.2">
      <c r="A14286"/>
      <c r="B14286"/>
      <c r="C14286"/>
      <c r="D14286"/>
      <c r="E14286"/>
      <c r="F14286"/>
      <c r="G14286"/>
      <c r="H14286"/>
      <c r="I14286"/>
      <c r="J14286"/>
      <c r="K14286" s="1"/>
      <c r="L14286" s="2"/>
    </row>
    <row r="14287" spans="1:12" x14ac:dyDescent="0.2">
      <c r="A14287"/>
      <c r="B14287"/>
      <c r="C14287"/>
      <c r="D14287"/>
      <c r="E14287"/>
      <c r="F14287"/>
      <c r="G14287"/>
      <c r="H14287"/>
      <c r="I14287"/>
      <c r="J14287"/>
      <c r="K14287" s="1"/>
      <c r="L14287" s="2"/>
    </row>
    <row r="14288" spans="1:12" x14ac:dyDescent="0.2">
      <c r="A14288"/>
      <c r="B14288"/>
      <c r="C14288"/>
      <c r="D14288"/>
      <c r="E14288"/>
      <c r="F14288"/>
      <c r="G14288"/>
      <c r="H14288"/>
      <c r="I14288"/>
      <c r="J14288"/>
      <c r="K14288" s="1"/>
      <c r="L14288" s="2"/>
    </row>
    <row r="14289" spans="1:12" x14ac:dyDescent="0.2">
      <c r="A14289"/>
      <c r="B14289"/>
      <c r="C14289"/>
      <c r="D14289"/>
      <c r="E14289"/>
      <c r="F14289"/>
      <c r="G14289"/>
      <c r="H14289"/>
      <c r="I14289"/>
      <c r="J14289"/>
      <c r="K14289" s="1"/>
      <c r="L14289" s="2"/>
    </row>
    <row r="14290" spans="1:12" x14ac:dyDescent="0.2">
      <c r="A14290"/>
      <c r="B14290"/>
      <c r="C14290"/>
      <c r="D14290"/>
      <c r="E14290"/>
      <c r="F14290"/>
      <c r="G14290"/>
      <c r="H14290"/>
      <c r="I14290"/>
      <c r="J14290"/>
      <c r="K14290" s="1"/>
      <c r="L14290" s="2"/>
    </row>
    <row r="14291" spans="1:12" x14ac:dyDescent="0.2">
      <c r="A14291"/>
      <c r="B14291"/>
      <c r="C14291"/>
      <c r="D14291"/>
      <c r="E14291"/>
      <c r="F14291"/>
      <c r="G14291"/>
      <c r="H14291"/>
      <c r="I14291"/>
      <c r="J14291"/>
      <c r="K14291" s="1"/>
      <c r="L14291" s="2"/>
    </row>
    <row r="14292" spans="1:12" x14ac:dyDescent="0.2">
      <c r="A14292"/>
      <c r="B14292"/>
      <c r="C14292"/>
      <c r="D14292"/>
      <c r="E14292"/>
      <c r="F14292"/>
      <c r="G14292"/>
      <c r="H14292"/>
      <c r="I14292"/>
      <c r="J14292"/>
      <c r="K14292" s="1"/>
      <c r="L14292" s="2"/>
    </row>
    <row r="14293" spans="1:12" x14ac:dyDescent="0.2">
      <c r="A14293"/>
      <c r="B14293"/>
      <c r="C14293"/>
      <c r="D14293"/>
      <c r="E14293"/>
      <c r="F14293"/>
      <c r="G14293"/>
      <c r="H14293"/>
      <c r="I14293"/>
      <c r="J14293"/>
      <c r="K14293" s="1"/>
      <c r="L14293" s="2"/>
    </row>
    <row r="14294" spans="1:12" x14ac:dyDescent="0.2">
      <c r="A14294"/>
      <c r="B14294"/>
      <c r="C14294"/>
      <c r="D14294"/>
      <c r="E14294"/>
      <c r="F14294"/>
      <c r="G14294"/>
      <c r="H14294"/>
      <c r="I14294"/>
      <c r="J14294"/>
      <c r="K14294" s="1"/>
      <c r="L14294" s="2"/>
    </row>
    <row r="14295" spans="1:12" x14ac:dyDescent="0.2">
      <c r="A14295"/>
      <c r="B14295"/>
      <c r="C14295"/>
      <c r="D14295"/>
      <c r="E14295"/>
      <c r="F14295"/>
      <c r="G14295"/>
      <c r="H14295"/>
      <c r="I14295"/>
      <c r="J14295"/>
      <c r="K14295" s="1"/>
      <c r="L14295" s="2"/>
    </row>
    <row r="14296" spans="1:12" x14ac:dyDescent="0.2">
      <c r="A14296"/>
      <c r="B14296"/>
      <c r="C14296"/>
      <c r="D14296"/>
      <c r="E14296"/>
      <c r="F14296"/>
      <c r="G14296"/>
      <c r="H14296"/>
      <c r="I14296"/>
      <c r="J14296"/>
      <c r="K14296" s="1"/>
      <c r="L14296" s="2"/>
    </row>
    <row r="14297" spans="1:12" x14ac:dyDescent="0.2">
      <c r="A14297"/>
      <c r="B14297"/>
      <c r="C14297"/>
      <c r="D14297"/>
      <c r="E14297"/>
      <c r="F14297"/>
      <c r="G14297"/>
      <c r="H14297"/>
      <c r="I14297"/>
      <c r="J14297"/>
      <c r="K14297" s="1"/>
      <c r="L14297" s="2"/>
    </row>
    <row r="14298" spans="1:12" x14ac:dyDescent="0.2">
      <c r="A14298"/>
      <c r="B14298"/>
      <c r="C14298"/>
      <c r="D14298"/>
      <c r="E14298"/>
      <c r="F14298"/>
      <c r="G14298"/>
      <c r="H14298"/>
      <c r="I14298"/>
      <c r="J14298"/>
      <c r="K14298" s="1"/>
      <c r="L14298" s="2"/>
    </row>
    <row r="14299" spans="1:12" x14ac:dyDescent="0.2">
      <c r="A14299"/>
      <c r="B14299"/>
      <c r="C14299"/>
      <c r="D14299"/>
      <c r="E14299"/>
      <c r="F14299"/>
      <c r="G14299"/>
      <c r="H14299"/>
      <c r="I14299"/>
      <c r="J14299"/>
      <c r="K14299" s="1"/>
      <c r="L14299" s="2"/>
    </row>
    <row r="14300" spans="1:12" x14ac:dyDescent="0.2">
      <c r="A14300"/>
      <c r="B14300"/>
      <c r="C14300"/>
      <c r="D14300"/>
      <c r="E14300"/>
      <c r="F14300"/>
      <c r="G14300"/>
      <c r="H14300"/>
      <c r="I14300"/>
      <c r="J14300"/>
      <c r="K14300" s="1"/>
      <c r="L14300" s="2"/>
    </row>
    <row r="14301" spans="1:12" x14ac:dyDescent="0.2">
      <c r="A14301"/>
      <c r="B14301"/>
      <c r="C14301"/>
      <c r="D14301"/>
      <c r="E14301"/>
      <c r="F14301"/>
      <c r="G14301"/>
      <c r="H14301"/>
      <c r="I14301"/>
      <c r="J14301"/>
      <c r="K14301" s="1"/>
      <c r="L14301" s="2"/>
    </row>
    <row r="14302" spans="1:12" x14ac:dyDescent="0.2">
      <c r="A14302"/>
      <c r="B14302"/>
      <c r="C14302"/>
      <c r="D14302"/>
      <c r="E14302"/>
      <c r="F14302"/>
      <c r="G14302"/>
      <c r="H14302"/>
      <c r="I14302"/>
      <c r="J14302"/>
      <c r="K14302" s="1"/>
      <c r="L14302" s="2"/>
    </row>
    <row r="14303" spans="1:12" x14ac:dyDescent="0.2">
      <c r="A14303"/>
      <c r="B14303"/>
      <c r="C14303"/>
      <c r="D14303"/>
      <c r="E14303"/>
      <c r="F14303"/>
      <c r="G14303"/>
      <c r="H14303"/>
      <c r="I14303"/>
      <c r="J14303"/>
      <c r="K14303" s="1"/>
      <c r="L14303" s="2"/>
    </row>
    <row r="14304" spans="1:12" x14ac:dyDescent="0.2">
      <c r="A14304"/>
      <c r="B14304"/>
      <c r="C14304"/>
      <c r="D14304"/>
      <c r="E14304"/>
      <c r="F14304"/>
      <c r="G14304"/>
      <c r="H14304"/>
      <c r="I14304"/>
      <c r="J14304"/>
      <c r="K14304" s="1"/>
      <c r="L14304" s="2"/>
    </row>
    <row r="14305" spans="1:12" x14ac:dyDescent="0.2">
      <c r="A14305"/>
      <c r="B14305"/>
      <c r="C14305"/>
      <c r="D14305"/>
      <c r="E14305"/>
      <c r="F14305"/>
      <c r="G14305"/>
      <c r="H14305"/>
      <c r="I14305"/>
      <c r="J14305"/>
      <c r="K14305" s="1"/>
      <c r="L14305" s="2"/>
    </row>
    <row r="14306" spans="1:12" x14ac:dyDescent="0.2">
      <c r="A14306"/>
      <c r="B14306"/>
      <c r="C14306"/>
      <c r="D14306"/>
      <c r="E14306"/>
      <c r="F14306"/>
      <c r="G14306"/>
      <c r="H14306"/>
      <c r="I14306"/>
      <c r="J14306"/>
      <c r="K14306" s="1"/>
      <c r="L14306" s="2"/>
    </row>
    <row r="14307" spans="1:12" x14ac:dyDescent="0.2">
      <c r="A14307"/>
      <c r="B14307"/>
      <c r="C14307"/>
      <c r="D14307"/>
      <c r="E14307"/>
      <c r="F14307"/>
      <c r="G14307"/>
      <c r="H14307"/>
      <c r="I14307"/>
      <c r="J14307"/>
      <c r="K14307" s="1"/>
      <c r="L14307" s="2"/>
    </row>
    <row r="14308" spans="1:12" x14ac:dyDescent="0.2">
      <c r="A14308"/>
      <c r="B14308"/>
      <c r="C14308"/>
      <c r="D14308"/>
      <c r="E14308"/>
      <c r="F14308"/>
      <c r="G14308"/>
      <c r="H14308"/>
      <c r="I14308"/>
      <c r="J14308"/>
      <c r="K14308" s="1"/>
      <c r="L14308" s="2"/>
    </row>
    <row r="14309" spans="1:12" x14ac:dyDescent="0.2">
      <c r="A14309"/>
      <c r="B14309"/>
      <c r="C14309"/>
      <c r="D14309"/>
      <c r="E14309"/>
      <c r="F14309"/>
      <c r="G14309"/>
      <c r="H14309"/>
      <c r="I14309"/>
      <c r="J14309"/>
      <c r="K14309" s="1"/>
      <c r="L14309" s="2"/>
    </row>
    <row r="14310" spans="1:12" x14ac:dyDescent="0.2">
      <c r="A14310"/>
      <c r="B14310"/>
      <c r="C14310"/>
      <c r="D14310"/>
      <c r="E14310"/>
      <c r="F14310"/>
      <c r="G14310"/>
      <c r="H14310"/>
      <c r="I14310"/>
      <c r="J14310"/>
      <c r="K14310" s="1"/>
      <c r="L14310" s="2"/>
    </row>
    <row r="14311" spans="1:12" x14ac:dyDescent="0.2">
      <c r="A14311"/>
      <c r="B14311"/>
      <c r="C14311"/>
      <c r="D14311"/>
      <c r="E14311"/>
      <c r="F14311"/>
      <c r="G14311"/>
      <c r="H14311"/>
      <c r="I14311"/>
      <c r="J14311"/>
      <c r="K14311" s="1"/>
      <c r="L14311" s="2"/>
    </row>
    <row r="14312" spans="1:12" x14ac:dyDescent="0.2">
      <c r="A14312"/>
      <c r="B14312"/>
      <c r="C14312"/>
      <c r="D14312"/>
      <c r="E14312"/>
      <c r="F14312"/>
      <c r="G14312"/>
      <c r="H14312"/>
      <c r="I14312"/>
      <c r="J14312"/>
      <c r="K14312" s="1"/>
      <c r="L14312" s="2"/>
    </row>
    <row r="14313" spans="1:12" x14ac:dyDescent="0.2">
      <c r="A14313"/>
      <c r="B14313"/>
      <c r="C14313"/>
      <c r="D14313"/>
      <c r="E14313"/>
      <c r="F14313"/>
      <c r="G14313"/>
      <c r="H14313"/>
      <c r="I14313"/>
      <c r="J14313"/>
      <c r="K14313" s="1"/>
      <c r="L14313" s="2"/>
    </row>
    <row r="14314" spans="1:12" x14ac:dyDescent="0.2">
      <c r="A14314"/>
      <c r="B14314"/>
      <c r="C14314"/>
      <c r="D14314"/>
      <c r="E14314"/>
      <c r="F14314"/>
      <c r="G14314"/>
      <c r="H14314"/>
      <c r="I14314"/>
      <c r="J14314"/>
      <c r="K14314" s="1"/>
      <c r="L14314" s="2"/>
    </row>
    <row r="14315" spans="1:12" x14ac:dyDescent="0.2">
      <c r="A14315"/>
      <c r="B14315"/>
      <c r="C14315"/>
      <c r="D14315"/>
      <c r="E14315"/>
      <c r="F14315"/>
      <c r="G14315"/>
      <c r="H14315"/>
      <c r="I14315"/>
      <c r="J14315"/>
      <c r="K14315" s="1"/>
      <c r="L14315" s="2"/>
    </row>
    <row r="14316" spans="1:12" x14ac:dyDescent="0.2">
      <c r="A14316"/>
      <c r="B14316"/>
      <c r="C14316"/>
      <c r="D14316"/>
      <c r="E14316"/>
      <c r="F14316"/>
      <c r="G14316"/>
      <c r="H14316"/>
      <c r="I14316"/>
      <c r="J14316"/>
      <c r="K14316" s="1"/>
      <c r="L14316" s="2"/>
    </row>
    <row r="14317" spans="1:12" x14ac:dyDescent="0.2">
      <c r="A14317"/>
      <c r="B14317"/>
      <c r="C14317"/>
      <c r="D14317"/>
      <c r="E14317"/>
      <c r="F14317"/>
      <c r="G14317"/>
      <c r="H14317"/>
      <c r="I14317"/>
      <c r="J14317"/>
      <c r="K14317" s="1"/>
      <c r="L14317" s="2"/>
    </row>
    <row r="14318" spans="1:12" x14ac:dyDescent="0.2">
      <c r="A14318"/>
      <c r="B14318"/>
      <c r="C14318"/>
      <c r="D14318"/>
      <c r="E14318"/>
      <c r="F14318"/>
      <c r="G14318"/>
      <c r="H14318"/>
      <c r="I14318"/>
      <c r="J14318"/>
      <c r="K14318" s="1"/>
      <c r="L14318" s="2"/>
    </row>
    <row r="14319" spans="1:12" x14ac:dyDescent="0.2">
      <c r="A14319"/>
      <c r="B14319"/>
      <c r="C14319"/>
      <c r="D14319"/>
      <c r="E14319"/>
      <c r="F14319"/>
      <c r="G14319"/>
      <c r="H14319"/>
      <c r="I14319"/>
      <c r="J14319"/>
      <c r="K14319" s="1"/>
      <c r="L14319" s="2"/>
    </row>
    <row r="14320" spans="1:12" x14ac:dyDescent="0.2">
      <c r="A14320"/>
      <c r="B14320"/>
      <c r="C14320"/>
      <c r="D14320"/>
      <c r="E14320"/>
      <c r="F14320"/>
      <c r="G14320"/>
      <c r="H14320"/>
      <c r="I14320"/>
      <c r="J14320"/>
      <c r="K14320" s="1"/>
      <c r="L14320" s="2"/>
    </row>
    <row r="14321" spans="1:12" x14ac:dyDescent="0.2">
      <c r="A14321"/>
      <c r="B14321"/>
      <c r="C14321"/>
      <c r="D14321"/>
      <c r="E14321"/>
      <c r="F14321"/>
      <c r="G14321"/>
      <c r="H14321"/>
      <c r="I14321"/>
      <c r="J14321"/>
      <c r="K14321" s="1"/>
      <c r="L14321" s="2"/>
    </row>
    <row r="14322" spans="1:12" x14ac:dyDescent="0.2">
      <c r="A14322"/>
      <c r="B14322"/>
      <c r="C14322"/>
      <c r="D14322"/>
      <c r="E14322"/>
      <c r="F14322"/>
      <c r="G14322"/>
      <c r="H14322"/>
      <c r="I14322"/>
      <c r="J14322"/>
      <c r="K14322" s="1"/>
      <c r="L14322" s="2"/>
    </row>
    <row r="14323" spans="1:12" x14ac:dyDescent="0.2">
      <c r="A14323"/>
      <c r="B14323"/>
      <c r="C14323"/>
      <c r="D14323"/>
      <c r="E14323"/>
      <c r="F14323"/>
      <c r="G14323"/>
      <c r="H14323"/>
      <c r="I14323"/>
      <c r="J14323"/>
      <c r="K14323" s="1"/>
      <c r="L14323" s="2"/>
    </row>
    <row r="14324" spans="1:12" x14ac:dyDescent="0.2">
      <c r="A14324"/>
      <c r="B14324"/>
      <c r="C14324"/>
      <c r="D14324"/>
      <c r="E14324"/>
      <c r="F14324"/>
      <c r="G14324"/>
      <c r="H14324"/>
      <c r="I14324"/>
      <c r="J14324"/>
      <c r="K14324" s="1"/>
      <c r="L14324" s="2"/>
    </row>
    <row r="14325" spans="1:12" x14ac:dyDescent="0.2">
      <c r="A14325"/>
      <c r="B14325"/>
      <c r="C14325"/>
      <c r="D14325"/>
      <c r="E14325"/>
      <c r="F14325"/>
      <c r="G14325"/>
      <c r="H14325"/>
      <c r="I14325"/>
      <c r="J14325"/>
      <c r="K14325" s="1"/>
      <c r="L14325" s="2"/>
    </row>
    <row r="14326" spans="1:12" x14ac:dyDescent="0.2">
      <c r="A14326"/>
      <c r="B14326"/>
      <c r="C14326"/>
      <c r="D14326"/>
      <c r="E14326"/>
      <c r="F14326"/>
      <c r="G14326"/>
      <c r="H14326"/>
      <c r="I14326"/>
      <c r="J14326"/>
      <c r="K14326" s="1"/>
      <c r="L14326" s="2"/>
    </row>
    <row r="14327" spans="1:12" x14ac:dyDescent="0.2">
      <c r="A14327"/>
      <c r="B14327"/>
      <c r="C14327"/>
      <c r="D14327"/>
      <c r="E14327"/>
      <c r="F14327"/>
      <c r="G14327"/>
      <c r="H14327"/>
      <c r="I14327"/>
      <c r="J14327"/>
      <c r="K14327" s="1"/>
      <c r="L14327" s="2"/>
    </row>
    <row r="14328" spans="1:12" x14ac:dyDescent="0.2">
      <c r="A14328"/>
      <c r="B14328"/>
      <c r="C14328"/>
      <c r="D14328"/>
      <c r="E14328"/>
      <c r="F14328"/>
      <c r="G14328"/>
      <c r="H14328"/>
      <c r="I14328"/>
      <c r="J14328"/>
      <c r="K14328" s="1"/>
      <c r="L14328" s="2"/>
    </row>
    <row r="14329" spans="1:12" x14ac:dyDescent="0.2">
      <c r="A14329"/>
      <c r="B14329"/>
      <c r="C14329"/>
      <c r="D14329"/>
      <c r="E14329"/>
      <c r="F14329"/>
      <c r="G14329"/>
      <c r="H14329"/>
      <c r="I14329"/>
      <c r="J14329"/>
      <c r="K14329" s="1"/>
      <c r="L14329" s="2"/>
    </row>
    <row r="14330" spans="1:12" x14ac:dyDescent="0.2">
      <c r="A14330"/>
      <c r="B14330"/>
      <c r="C14330"/>
      <c r="D14330"/>
      <c r="E14330"/>
      <c r="F14330"/>
      <c r="G14330"/>
      <c r="H14330"/>
      <c r="I14330"/>
      <c r="J14330"/>
      <c r="K14330" s="1"/>
      <c r="L14330" s="2"/>
    </row>
    <row r="14331" spans="1:12" x14ac:dyDescent="0.2">
      <c r="A14331"/>
      <c r="B14331"/>
      <c r="C14331"/>
      <c r="D14331"/>
      <c r="E14331"/>
      <c r="F14331"/>
      <c r="G14331"/>
      <c r="H14331"/>
      <c r="I14331"/>
      <c r="J14331"/>
      <c r="K14331" s="1"/>
      <c r="L14331" s="2"/>
    </row>
    <row r="14332" spans="1:12" x14ac:dyDescent="0.2">
      <c r="A14332"/>
      <c r="B14332"/>
      <c r="C14332"/>
      <c r="D14332"/>
      <c r="E14332"/>
      <c r="F14332"/>
      <c r="G14332"/>
      <c r="H14332"/>
      <c r="I14332"/>
      <c r="J14332"/>
      <c r="K14332" s="1"/>
      <c r="L14332" s="2"/>
    </row>
    <row r="14333" spans="1:12" x14ac:dyDescent="0.2">
      <c r="A14333"/>
      <c r="B14333"/>
      <c r="C14333"/>
      <c r="D14333"/>
      <c r="E14333"/>
      <c r="F14333"/>
      <c r="G14333"/>
      <c r="H14333"/>
      <c r="I14333"/>
      <c r="J14333"/>
      <c r="K14333" s="1"/>
      <c r="L14333" s="2"/>
    </row>
    <row r="14334" spans="1:12" x14ac:dyDescent="0.2">
      <c r="A14334"/>
      <c r="B14334"/>
      <c r="C14334"/>
      <c r="D14334"/>
      <c r="E14334"/>
      <c r="F14334"/>
      <c r="G14334"/>
      <c r="H14334"/>
      <c r="I14334"/>
      <c r="J14334"/>
      <c r="K14334" s="1"/>
      <c r="L14334" s="2"/>
    </row>
    <row r="14335" spans="1:12" x14ac:dyDescent="0.2">
      <c r="A14335"/>
      <c r="B14335"/>
      <c r="C14335"/>
      <c r="D14335"/>
      <c r="E14335"/>
      <c r="F14335"/>
      <c r="G14335"/>
      <c r="H14335"/>
      <c r="I14335"/>
      <c r="J14335"/>
      <c r="K14335" s="1"/>
      <c r="L14335" s="2"/>
    </row>
    <row r="14336" spans="1:12" x14ac:dyDescent="0.2">
      <c r="A14336"/>
      <c r="B14336"/>
      <c r="C14336"/>
      <c r="D14336"/>
      <c r="E14336"/>
      <c r="F14336"/>
      <c r="G14336"/>
      <c r="H14336"/>
      <c r="I14336"/>
      <c r="J14336"/>
      <c r="K14336" s="1"/>
      <c r="L14336" s="2"/>
    </row>
    <row r="14337" spans="1:12" x14ac:dyDescent="0.2">
      <c r="A14337"/>
      <c r="B14337"/>
      <c r="C14337"/>
      <c r="D14337"/>
      <c r="E14337"/>
      <c r="F14337"/>
      <c r="G14337"/>
      <c r="H14337"/>
      <c r="I14337"/>
      <c r="J14337"/>
      <c r="K14337" s="1"/>
      <c r="L14337" s="2"/>
    </row>
    <row r="14338" spans="1:12" x14ac:dyDescent="0.2">
      <c r="A14338"/>
      <c r="B14338"/>
      <c r="C14338"/>
      <c r="D14338"/>
      <c r="E14338"/>
      <c r="F14338"/>
      <c r="G14338"/>
      <c r="H14338"/>
      <c r="I14338"/>
      <c r="J14338"/>
      <c r="K14338" s="1"/>
      <c r="L14338" s="2"/>
    </row>
    <row r="14339" spans="1:12" x14ac:dyDescent="0.2">
      <c r="A14339"/>
      <c r="B14339"/>
      <c r="C14339"/>
      <c r="D14339"/>
      <c r="E14339"/>
      <c r="F14339"/>
      <c r="G14339"/>
      <c r="H14339"/>
      <c r="I14339"/>
      <c r="J14339"/>
      <c r="K14339" s="1"/>
      <c r="L14339" s="2"/>
    </row>
    <row r="14340" spans="1:12" x14ac:dyDescent="0.2">
      <c r="A14340"/>
      <c r="B14340"/>
      <c r="C14340"/>
      <c r="D14340"/>
      <c r="E14340"/>
      <c r="F14340"/>
      <c r="G14340"/>
      <c r="H14340"/>
      <c r="I14340"/>
      <c r="J14340"/>
      <c r="K14340" s="1"/>
      <c r="L14340" s="2"/>
    </row>
    <row r="14341" spans="1:12" x14ac:dyDescent="0.2">
      <c r="A14341"/>
      <c r="B14341"/>
      <c r="C14341"/>
      <c r="D14341"/>
      <c r="E14341"/>
      <c r="F14341"/>
      <c r="G14341"/>
      <c r="H14341"/>
      <c r="I14341"/>
      <c r="J14341"/>
      <c r="K14341" s="1"/>
      <c r="L14341" s="2"/>
    </row>
    <row r="14342" spans="1:12" x14ac:dyDescent="0.2">
      <c r="A14342"/>
      <c r="B14342"/>
      <c r="C14342"/>
      <c r="D14342"/>
      <c r="E14342"/>
      <c r="F14342"/>
      <c r="G14342"/>
      <c r="H14342"/>
      <c r="I14342"/>
      <c r="J14342"/>
      <c r="K14342" s="1"/>
      <c r="L14342" s="2"/>
    </row>
    <row r="14343" spans="1:12" x14ac:dyDescent="0.2">
      <c r="A14343"/>
      <c r="B14343"/>
      <c r="C14343"/>
      <c r="D14343"/>
      <c r="E14343"/>
      <c r="F14343"/>
      <c r="G14343"/>
      <c r="H14343"/>
      <c r="I14343"/>
      <c r="J14343"/>
      <c r="K14343" s="1"/>
      <c r="L14343" s="2"/>
    </row>
    <row r="14344" spans="1:12" x14ac:dyDescent="0.2">
      <c r="A14344"/>
      <c r="B14344"/>
      <c r="C14344"/>
      <c r="D14344"/>
      <c r="E14344"/>
      <c r="F14344"/>
      <c r="G14344"/>
      <c r="H14344"/>
      <c r="I14344"/>
      <c r="J14344"/>
      <c r="K14344" s="1"/>
      <c r="L14344" s="2"/>
    </row>
    <row r="14345" spans="1:12" x14ac:dyDescent="0.2">
      <c r="A14345"/>
      <c r="B14345"/>
      <c r="C14345"/>
      <c r="D14345"/>
      <c r="E14345"/>
      <c r="F14345"/>
      <c r="G14345"/>
      <c r="H14345"/>
      <c r="I14345"/>
      <c r="J14345"/>
      <c r="K14345" s="1"/>
      <c r="L14345" s="2"/>
    </row>
    <row r="14346" spans="1:12" x14ac:dyDescent="0.2">
      <c r="A14346"/>
      <c r="B14346"/>
      <c r="C14346"/>
      <c r="D14346"/>
      <c r="E14346"/>
      <c r="F14346"/>
      <c r="G14346"/>
      <c r="H14346"/>
      <c r="I14346"/>
      <c r="J14346"/>
      <c r="K14346" s="1"/>
      <c r="L14346" s="2"/>
    </row>
    <row r="14347" spans="1:12" x14ac:dyDescent="0.2">
      <c r="A14347"/>
      <c r="B14347"/>
      <c r="C14347"/>
      <c r="D14347"/>
      <c r="E14347"/>
      <c r="F14347"/>
      <c r="G14347"/>
      <c r="H14347"/>
      <c r="I14347"/>
      <c r="J14347"/>
      <c r="K14347" s="1"/>
      <c r="L14347" s="2"/>
    </row>
    <row r="14348" spans="1:12" x14ac:dyDescent="0.2">
      <c r="A14348"/>
      <c r="B14348"/>
      <c r="C14348"/>
      <c r="D14348"/>
      <c r="E14348"/>
      <c r="F14348"/>
      <c r="G14348"/>
      <c r="H14348"/>
      <c r="I14348"/>
      <c r="J14348"/>
      <c r="K14348" s="1"/>
      <c r="L14348" s="2"/>
    </row>
    <row r="14349" spans="1:12" x14ac:dyDescent="0.2">
      <c r="A14349"/>
      <c r="B14349"/>
      <c r="C14349"/>
      <c r="D14349"/>
      <c r="E14349"/>
      <c r="F14349"/>
      <c r="G14349"/>
      <c r="H14349"/>
      <c r="I14349"/>
      <c r="J14349"/>
      <c r="K14349" s="1"/>
      <c r="L14349" s="2"/>
    </row>
    <row r="14350" spans="1:12" x14ac:dyDescent="0.2">
      <c r="A14350"/>
      <c r="B14350"/>
      <c r="C14350"/>
      <c r="D14350"/>
      <c r="E14350"/>
      <c r="F14350"/>
      <c r="G14350"/>
      <c r="H14350"/>
      <c r="I14350"/>
      <c r="J14350"/>
      <c r="K14350" s="1"/>
      <c r="L14350" s="2"/>
    </row>
    <row r="14351" spans="1:12" x14ac:dyDescent="0.2">
      <c r="A14351"/>
      <c r="B14351"/>
      <c r="C14351"/>
      <c r="D14351"/>
      <c r="E14351"/>
      <c r="F14351"/>
      <c r="G14351"/>
      <c r="H14351"/>
      <c r="I14351"/>
      <c r="J14351"/>
      <c r="K14351" s="1"/>
      <c r="L14351" s="2"/>
    </row>
    <row r="14352" spans="1:12" x14ac:dyDescent="0.2">
      <c r="A14352"/>
      <c r="B14352"/>
      <c r="C14352"/>
      <c r="D14352"/>
      <c r="E14352"/>
      <c r="F14352"/>
      <c r="G14352"/>
      <c r="H14352"/>
      <c r="I14352"/>
      <c r="J14352"/>
      <c r="K14352" s="1"/>
      <c r="L14352" s="2"/>
    </row>
    <row r="14353" spans="1:12" x14ac:dyDescent="0.2">
      <c r="A14353"/>
      <c r="B14353"/>
      <c r="C14353"/>
      <c r="D14353"/>
      <c r="E14353"/>
      <c r="F14353"/>
      <c r="G14353"/>
      <c r="H14353"/>
      <c r="I14353"/>
      <c r="J14353"/>
      <c r="K14353" s="1"/>
      <c r="L14353" s="2"/>
    </row>
    <row r="14354" spans="1:12" x14ac:dyDescent="0.2">
      <c r="A14354"/>
      <c r="B14354"/>
      <c r="C14354"/>
      <c r="D14354"/>
      <c r="E14354"/>
      <c r="F14354"/>
      <c r="G14354"/>
      <c r="H14354"/>
      <c r="I14354"/>
      <c r="J14354"/>
      <c r="K14354" s="1"/>
      <c r="L14354" s="2"/>
    </row>
    <row r="14355" spans="1:12" x14ac:dyDescent="0.2">
      <c r="A14355"/>
      <c r="B14355"/>
      <c r="C14355"/>
      <c r="D14355"/>
      <c r="E14355"/>
      <c r="F14355"/>
      <c r="G14355"/>
      <c r="H14355"/>
      <c r="I14355"/>
      <c r="J14355"/>
      <c r="K14355" s="1"/>
      <c r="L14355" s="2"/>
    </row>
    <row r="14356" spans="1:12" x14ac:dyDescent="0.2">
      <c r="A14356"/>
      <c r="B14356"/>
      <c r="C14356"/>
      <c r="D14356"/>
      <c r="E14356"/>
      <c r="F14356"/>
      <c r="G14356"/>
      <c r="H14356"/>
      <c r="I14356"/>
      <c r="J14356"/>
      <c r="K14356" s="1"/>
      <c r="L14356" s="2"/>
    </row>
    <row r="14357" spans="1:12" x14ac:dyDescent="0.2">
      <c r="A14357"/>
      <c r="B14357"/>
      <c r="C14357"/>
      <c r="D14357"/>
      <c r="E14357"/>
      <c r="F14357"/>
      <c r="G14357"/>
      <c r="H14357"/>
      <c r="I14357"/>
      <c r="J14357"/>
      <c r="K14357" s="1"/>
      <c r="L14357" s="2"/>
    </row>
    <row r="14358" spans="1:12" x14ac:dyDescent="0.2">
      <c r="A14358"/>
      <c r="B14358"/>
      <c r="C14358"/>
      <c r="D14358"/>
      <c r="E14358"/>
      <c r="F14358"/>
      <c r="G14358"/>
      <c r="H14358"/>
      <c r="I14358"/>
      <c r="J14358"/>
      <c r="K14358" s="1"/>
      <c r="L14358" s="2"/>
    </row>
    <row r="14359" spans="1:12" x14ac:dyDescent="0.2">
      <c r="A14359"/>
      <c r="B14359"/>
      <c r="C14359"/>
      <c r="D14359"/>
      <c r="E14359"/>
      <c r="F14359"/>
      <c r="G14359"/>
      <c r="H14359"/>
      <c r="I14359"/>
      <c r="J14359"/>
      <c r="K14359" s="1"/>
      <c r="L14359" s="2"/>
    </row>
    <row r="14360" spans="1:12" x14ac:dyDescent="0.2">
      <c r="A14360"/>
      <c r="B14360"/>
      <c r="C14360"/>
      <c r="D14360"/>
      <c r="E14360"/>
      <c r="F14360"/>
      <c r="G14360"/>
      <c r="H14360"/>
      <c r="I14360"/>
      <c r="J14360"/>
      <c r="K14360" s="1"/>
      <c r="L14360" s="2"/>
    </row>
    <row r="14361" spans="1:12" x14ac:dyDescent="0.2">
      <c r="A14361"/>
      <c r="B14361"/>
      <c r="C14361"/>
      <c r="D14361"/>
      <c r="E14361"/>
      <c r="F14361"/>
      <c r="G14361"/>
      <c r="H14361"/>
      <c r="I14361"/>
      <c r="J14361"/>
      <c r="K14361" s="1"/>
      <c r="L14361" s="2"/>
    </row>
    <row r="14362" spans="1:12" x14ac:dyDescent="0.2">
      <c r="A14362"/>
      <c r="B14362"/>
      <c r="C14362"/>
      <c r="D14362"/>
      <c r="E14362"/>
      <c r="F14362"/>
      <c r="G14362"/>
      <c r="H14362"/>
      <c r="I14362"/>
      <c r="J14362"/>
      <c r="K14362" s="1"/>
      <c r="L14362" s="2"/>
    </row>
    <row r="14363" spans="1:12" x14ac:dyDescent="0.2">
      <c r="A14363"/>
      <c r="B14363"/>
      <c r="C14363"/>
      <c r="D14363"/>
      <c r="E14363"/>
      <c r="F14363"/>
      <c r="G14363"/>
      <c r="H14363"/>
      <c r="I14363"/>
      <c r="J14363"/>
      <c r="K14363" s="1"/>
      <c r="L14363" s="2"/>
    </row>
    <row r="14364" spans="1:12" x14ac:dyDescent="0.2">
      <c r="A14364"/>
      <c r="B14364"/>
      <c r="C14364"/>
      <c r="D14364"/>
      <c r="E14364"/>
      <c r="F14364"/>
      <c r="G14364"/>
      <c r="H14364"/>
      <c r="I14364"/>
      <c r="J14364"/>
      <c r="K14364" s="1"/>
      <c r="L14364" s="2"/>
    </row>
    <row r="14365" spans="1:12" x14ac:dyDescent="0.2">
      <c r="A14365"/>
      <c r="B14365"/>
      <c r="C14365"/>
      <c r="D14365"/>
      <c r="E14365"/>
      <c r="F14365"/>
      <c r="G14365"/>
      <c r="H14365"/>
      <c r="I14365"/>
      <c r="J14365"/>
      <c r="K14365" s="1"/>
      <c r="L14365" s="2"/>
    </row>
    <row r="14366" spans="1:12" x14ac:dyDescent="0.2">
      <c r="A14366"/>
      <c r="B14366"/>
      <c r="C14366"/>
      <c r="D14366"/>
      <c r="E14366"/>
      <c r="F14366"/>
      <c r="G14366"/>
      <c r="H14366"/>
      <c r="I14366"/>
      <c r="J14366"/>
      <c r="K14366" s="1"/>
      <c r="L14366" s="2"/>
    </row>
    <row r="14367" spans="1:12" x14ac:dyDescent="0.2">
      <c r="A14367"/>
      <c r="B14367"/>
      <c r="C14367"/>
      <c r="D14367"/>
      <c r="E14367"/>
      <c r="F14367"/>
      <c r="G14367"/>
      <c r="H14367"/>
      <c r="I14367"/>
      <c r="J14367"/>
      <c r="K14367" s="1"/>
      <c r="L14367" s="2"/>
    </row>
    <row r="14368" spans="1:12" x14ac:dyDescent="0.2">
      <c r="A14368"/>
      <c r="B14368"/>
      <c r="C14368"/>
      <c r="D14368"/>
      <c r="E14368"/>
      <c r="F14368"/>
      <c r="G14368"/>
      <c r="H14368"/>
      <c r="I14368"/>
      <c r="J14368"/>
      <c r="K14368" s="1"/>
      <c r="L14368" s="2"/>
    </row>
    <row r="14369" spans="1:12" x14ac:dyDescent="0.2">
      <c r="A14369"/>
      <c r="B14369"/>
      <c r="C14369"/>
      <c r="D14369"/>
      <c r="E14369"/>
      <c r="F14369"/>
      <c r="G14369"/>
      <c r="H14369"/>
      <c r="I14369"/>
      <c r="J14369"/>
      <c r="K14369" s="1"/>
      <c r="L14369" s="2"/>
    </row>
    <row r="14370" spans="1:12" x14ac:dyDescent="0.2">
      <c r="A14370"/>
      <c r="B14370"/>
      <c r="C14370"/>
      <c r="D14370"/>
      <c r="E14370"/>
      <c r="F14370"/>
      <c r="G14370"/>
      <c r="H14370"/>
      <c r="I14370"/>
      <c r="J14370"/>
      <c r="K14370" s="1"/>
      <c r="L14370" s="2"/>
    </row>
    <row r="14371" spans="1:12" x14ac:dyDescent="0.2">
      <c r="A14371"/>
      <c r="B14371"/>
      <c r="C14371"/>
      <c r="D14371"/>
      <c r="E14371"/>
      <c r="F14371"/>
      <c r="G14371"/>
      <c r="H14371"/>
      <c r="I14371"/>
      <c r="J14371"/>
      <c r="K14371" s="1"/>
      <c r="L14371" s="2"/>
    </row>
    <row r="14372" spans="1:12" x14ac:dyDescent="0.2">
      <c r="A14372"/>
      <c r="B14372"/>
      <c r="C14372"/>
      <c r="D14372"/>
      <c r="E14372"/>
      <c r="F14372"/>
      <c r="G14372"/>
      <c r="H14372"/>
      <c r="I14372"/>
      <c r="J14372"/>
      <c r="K14372" s="1"/>
      <c r="L14372" s="2"/>
    </row>
    <row r="14373" spans="1:12" x14ac:dyDescent="0.2">
      <c r="A14373"/>
      <c r="B14373"/>
      <c r="C14373"/>
      <c r="D14373"/>
      <c r="E14373"/>
      <c r="F14373"/>
      <c r="G14373"/>
      <c r="H14373"/>
      <c r="I14373"/>
      <c r="J14373"/>
      <c r="K14373" s="1"/>
      <c r="L14373" s="2"/>
    </row>
    <row r="14374" spans="1:12" x14ac:dyDescent="0.2">
      <c r="A14374"/>
      <c r="B14374"/>
      <c r="C14374"/>
      <c r="D14374"/>
      <c r="E14374"/>
      <c r="F14374"/>
      <c r="G14374"/>
      <c r="H14374"/>
      <c r="I14374"/>
      <c r="J14374"/>
      <c r="K14374" s="1"/>
      <c r="L14374" s="2"/>
    </row>
    <row r="14375" spans="1:12" x14ac:dyDescent="0.2">
      <c r="A14375"/>
      <c r="B14375"/>
      <c r="C14375"/>
      <c r="D14375"/>
      <c r="E14375"/>
      <c r="F14375"/>
      <c r="G14375"/>
      <c r="H14375"/>
      <c r="I14375"/>
      <c r="J14375"/>
      <c r="K14375" s="1"/>
      <c r="L14375" s="2"/>
    </row>
    <row r="14376" spans="1:12" x14ac:dyDescent="0.2">
      <c r="A14376"/>
      <c r="B14376"/>
      <c r="C14376"/>
      <c r="D14376"/>
      <c r="E14376"/>
      <c r="F14376"/>
      <c r="G14376"/>
      <c r="H14376"/>
      <c r="I14376"/>
      <c r="J14376"/>
      <c r="K14376" s="1"/>
      <c r="L14376" s="2"/>
    </row>
    <row r="14377" spans="1:12" x14ac:dyDescent="0.2">
      <c r="A14377"/>
      <c r="B14377"/>
      <c r="C14377"/>
      <c r="D14377"/>
      <c r="E14377"/>
      <c r="F14377"/>
      <c r="G14377"/>
      <c r="H14377"/>
      <c r="I14377"/>
      <c r="J14377"/>
      <c r="K14377" s="1"/>
      <c r="L14377" s="2"/>
    </row>
    <row r="14378" spans="1:12" x14ac:dyDescent="0.2">
      <c r="A14378"/>
      <c r="B14378"/>
      <c r="C14378"/>
      <c r="D14378"/>
      <c r="E14378"/>
      <c r="F14378"/>
      <c r="G14378"/>
      <c r="H14378"/>
      <c r="I14378"/>
      <c r="J14378"/>
      <c r="K14378" s="1"/>
      <c r="L14378" s="2"/>
    </row>
    <row r="14379" spans="1:12" x14ac:dyDescent="0.2">
      <c r="A14379"/>
      <c r="B14379"/>
      <c r="C14379"/>
      <c r="D14379"/>
      <c r="E14379"/>
      <c r="F14379"/>
      <c r="G14379"/>
      <c r="H14379"/>
      <c r="I14379"/>
      <c r="J14379"/>
      <c r="K14379" s="1"/>
      <c r="L14379" s="2"/>
    </row>
    <row r="14380" spans="1:12" x14ac:dyDescent="0.2">
      <c r="A14380"/>
      <c r="B14380"/>
      <c r="C14380"/>
      <c r="D14380"/>
      <c r="E14380"/>
      <c r="F14380"/>
      <c r="G14380"/>
      <c r="H14380"/>
      <c r="I14380"/>
      <c r="J14380"/>
      <c r="K14380" s="1"/>
      <c r="L14380" s="2"/>
    </row>
    <row r="14381" spans="1:12" x14ac:dyDescent="0.2">
      <c r="A14381"/>
      <c r="B14381"/>
      <c r="C14381"/>
      <c r="D14381"/>
      <c r="E14381"/>
      <c r="F14381"/>
      <c r="G14381"/>
      <c r="H14381"/>
      <c r="I14381"/>
      <c r="J14381"/>
      <c r="K14381" s="1"/>
      <c r="L14381" s="2"/>
    </row>
    <row r="14382" spans="1:12" x14ac:dyDescent="0.2">
      <c r="A14382"/>
      <c r="B14382"/>
      <c r="C14382"/>
      <c r="D14382"/>
      <c r="E14382"/>
      <c r="F14382"/>
      <c r="G14382"/>
      <c r="H14382"/>
      <c r="I14382"/>
      <c r="J14382"/>
      <c r="K14382" s="1"/>
      <c r="L14382" s="2"/>
    </row>
    <row r="14383" spans="1:12" x14ac:dyDescent="0.2">
      <c r="A14383"/>
      <c r="B14383"/>
      <c r="C14383"/>
      <c r="D14383"/>
      <c r="E14383"/>
      <c r="F14383"/>
      <c r="G14383"/>
      <c r="H14383"/>
      <c r="I14383"/>
      <c r="J14383"/>
      <c r="K14383" s="1"/>
      <c r="L14383" s="2"/>
    </row>
    <row r="14384" spans="1:12" x14ac:dyDescent="0.2">
      <c r="A14384"/>
      <c r="B14384"/>
      <c r="C14384"/>
      <c r="D14384"/>
      <c r="E14384"/>
      <c r="F14384"/>
      <c r="G14384"/>
      <c r="H14384"/>
      <c r="I14384"/>
      <c r="J14384"/>
      <c r="K14384" s="1"/>
      <c r="L14384" s="2"/>
    </row>
    <row r="14385" spans="1:12" x14ac:dyDescent="0.2">
      <c r="A14385"/>
      <c r="B14385"/>
      <c r="C14385"/>
      <c r="D14385"/>
      <c r="E14385"/>
      <c r="F14385"/>
      <c r="G14385"/>
      <c r="H14385"/>
      <c r="I14385"/>
      <c r="J14385"/>
      <c r="K14385" s="1"/>
      <c r="L14385" s="2"/>
    </row>
    <row r="14386" spans="1:12" x14ac:dyDescent="0.2">
      <c r="A14386"/>
      <c r="B14386"/>
      <c r="C14386"/>
      <c r="D14386"/>
      <c r="E14386"/>
      <c r="F14386"/>
      <c r="G14386"/>
      <c r="H14386"/>
      <c r="I14386"/>
      <c r="J14386"/>
      <c r="K14386" s="1"/>
      <c r="L14386" s="2"/>
    </row>
    <row r="14387" spans="1:12" x14ac:dyDescent="0.2">
      <c r="A14387"/>
      <c r="B14387"/>
      <c r="C14387"/>
      <c r="D14387"/>
      <c r="E14387"/>
      <c r="F14387"/>
      <c r="G14387"/>
      <c r="H14387"/>
      <c r="I14387"/>
      <c r="J14387"/>
      <c r="K14387" s="1"/>
      <c r="L14387" s="2"/>
    </row>
    <row r="14388" spans="1:12" x14ac:dyDescent="0.2">
      <c r="A14388"/>
      <c r="B14388"/>
      <c r="C14388"/>
      <c r="D14388"/>
      <c r="E14388"/>
      <c r="F14388"/>
      <c r="G14388"/>
      <c r="H14388"/>
      <c r="I14388"/>
      <c r="J14388"/>
      <c r="K14388" s="1"/>
      <c r="L14388" s="2"/>
    </row>
    <row r="14389" spans="1:12" x14ac:dyDescent="0.2">
      <c r="A14389"/>
      <c r="B14389"/>
      <c r="C14389"/>
      <c r="D14389"/>
      <c r="E14389"/>
      <c r="F14389"/>
      <c r="G14389"/>
      <c r="H14389"/>
      <c r="I14389"/>
      <c r="J14389"/>
      <c r="K14389" s="1"/>
      <c r="L14389" s="2"/>
    </row>
    <row r="14390" spans="1:12" x14ac:dyDescent="0.2">
      <c r="A14390"/>
      <c r="B14390"/>
      <c r="C14390"/>
      <c r="D14390"/>
      <c r="E14390"/>
      <c r="F14390"/>
      <c r="G14390"/>
      <c r="H14390"/>
      <c r="I14390"/>
      <c r="J14390"/>
      <c r="K14390" s="1"/>
      <c r="L14390" s="2"/>
    </row>
    <row r="14391" spans="1:12" x14ac:dyDescent="0.2">
      <c r="A14391"/>
      <c r="B14391"/>
      <c r="C14391"/>
      <c r="D14391"/>
      <c r="E14391"/>
      <c r="F14391"/>
      <c r="G14391"/>
      <c r="H14391"/>
      <c r="I14391"/>
      <c r="J14391"/>
      <c r="K14391" s="1"/>
      <c r="L14391" s="2"/>
    </row>
    <row r="14392" spans="1:12" x14ac:dyDescent="0.2">
      <c r="A14392"/>
      <c r="B14392"/>
      <c r="C14392"/>
      <c r="D14392"/>
      <c r="E14392"/>
      <c r="F14392"/>
      <c r="G14392"/>
      <c r="H14392"/>
      <c r="I14392"/>
      <c r="J14392"/>
      <c r="K14392" s="1"/>
      <c r="L14392" s="2"/>
    </row>
    <row r="14393" spans="1:12" x14ac:dyDescent="0.2">
      <c r="A14393"/>
      <c r="B14393"/>
      <c r="C14393"/>
      <c r="D14393"/>
      <c r="E14393"/>
      <c r="F14393"/>
      <c r="G14393"/>
      <c r="H14393"/>
      <c r="I14393"/>
      <c r="J14393"/>
      <c r="K14393" s="1"/>
      <c r="L14393" s="2"/>
    </row>
    <row r="14394" spans="1:12" x14ac:dyDescent="0.2">
      <c r="A14394"/>
      <c r="B14394"/>
      <c r="C14394"/>
      <c r="D14394"/>
      <c r="E14394"/>
      <c r="F14394"/>
      <c r="G14394"/>
      <c r="H14394"/>
      <c r="I14394"/>
      <c r="J14394"/>
      <c r="K14394" s="1"/>
      <c r="L14394" s="2"/>
    </row>
    <row r="14395" spans="1:12" x14ac:dyDescent="0.2">
      <c r="A14395"/>
      <c r="B14395"/>
      <c r="C14395"/>
      <c r="D14395"/>
      <c r="E14395"/>
      <c r="F14395"/>
      <c r="G14395"/>
      <c r="H14395"/>
      <c r="I14395"/>
      <c r="J14395"/>
      <c r="K14395" s="1"/>
      <c r="L14395" s="2"/>
    </row>
    <row r="14396" spans="1:12" x14ac:dyDescent="0.2">
      <c r="A14396"/>
      <c r="B14396"/>
      <c r="C14396"/>
      <c r="D14396"/>
      <c r="E14396"/>
      <c r="F14396"/>
      <c r="G14396"/>
      <c r="H14396"/>
      <c r="I14396"/>
      <c r="J14396"/>
      <c r="K14396" s="1"/>
      <c r="L14396" s="2"/>
    </row>
    <row r="14397" spans="1:12" x14ac:dyDescent="0.2">
      <c r="A14397"/>
      <c r="B14397"/>
      <c r="C14397"/>
      <c r="D14397"/>
      <c r="E14397"/>
      <c r="F14397"/>
      <c r="G14397"/>
      <c r="H14397"/>
      <c r="I14397"/>
      <c r="J14397"/>
      <c r="K14397" s="1"/>
      <c r="L14397" s="2"/>
    </row>
    <row r="14398" spans="1:12" x14ac:dyDescent="0.2">
      <c r="A14398"/>
      <c r="B14398"/>
      <c r="C14398"/>
      <c r="D14398"/>
      <c r="E14398"/>
      <c r="F14398"/>
      <c r="G14398"/>
      <c r="H14398"/>
      <c r="I14398"/>
      <c r="J14398"/>
      <c r="K14398" s="1"/>
      <c r="L14398" s="2"/>
    </row>
    <row r="14399" spans="1:12" x14ac:dyDescent="0.2">
      <c r="A14399"/>
      <c r="B14399"/>
      <c r="C14399"/>
      <c r="D14399"/>
      <c r="E14399"/>
      <c r="F14399"/>
      <c r="G14399"/>
      <c r="H14399"/>
      <c r="I14399"/>
      <c r="J14399"/>
      <c r="K14399" s="1"/>
      <c r="L14399" s="2"/>
    </row>
    <row r="14400" spans="1:12" x14ac:dyDescent="0.2">
      <c r="A14400"/>
      <c r="B14400"/>
      <c r="C14400"/>
      <c r="D14400"/>
      <c r="E14400"/>
      <c r="F14400"/>
      <c r="G14400"/>
      <c r="H14400"/>
      <c r="I14400"/>
      <c r="J14400"/>
      <c r="K14400" s="1"/>
      <c r="L14400" s="2"/>
    </row>
    <row r="14401" spans="1:12" x14ac:dyDescent="0.2">
      <c r="A14401"/>
      <c r="B14401"/>
      <c r="C14401"/>
      <c r="D14401"/>
      <c r="E14401"/>
      <c r="F14401"/>
      <c r="G14401"/>
      <c r="H14401"/>
      <c r="I14401"/>
      <c r="J14401"/>
      <c r="K14401" s="1"/>
      <c r="L14401" s="2"/>
    </row>
    <row r="14402" spans="1:12" x14ac:dyDescent="0.2">
      <c r="A14402"/>
      <c r="B14402"/>
      <c r="C14402"/>
      <c r="D14402"/>
      <c r="E14402"/>
      <c r="F14402"/>
      <c r="G14402"/>
      <c r="H14402"/>
      <c r="I14402"/>
      <c r="J14402"/>
      <c r="K14402" s="1"/>
      <c r="L14402" s="2"/>
    </row>
    <row r="14403" spans="1:12" x14ac:dyDescent="0.2">
      <c r="A14403"/>
      <c r="B14403"/>
      <c r="C14403"/>
      <c r="D14403"/>
      <c r="E14403"/>
      <c r="F14403"/>
      <c r="G14403"/>
      <c r="H14403"/>
      <c r="I14403"/>
      <c r="J14403"/>
      <c r="K14403" s="1"/>
      <c r="L14403" s="2"/>
    </row>
    <row r="14404" spans="1:12" x14ac:dyDescent="0.2">
      <c r="A14404"/>
      <c r="B14404"/>
      <c r="C14404"/>
      <c r="D14404"/>
      <c r="E14404"/>
      <c r="F14404"/>
      <c r="G14404"/>
      <c r="H14404"/>
      <c r="I14404"/>
      <c r="J14404"/>
      <c r="K14404" s="1"/>
      <c r="L14404" s="2"/>
    </row>
    <row r="14405" spans="1:12" x14ac:dyDescent="0.2">
      <c r="A14405"/>
      <c r="B14405"/>
      <c r="C14405"/>
      <c r="D14405"/>
      <c r="E14405"/>
      <c r="F14405"/>
      <c r="G14405"/>
      <c r="H14405"/>
      <c r="I14405"/>
      <c r="J14405"/>
      <c r="K14405" s="1"/>
      <c r="L14405" s="2"/>
    </row>
    <row r="14406" spans="1:12" x14ac:dyDescent="0.2">
      <c r="A14406"/>
      <c r="B14406"/>
      <c r="C14406"/>
      <c r="D14406"/>
      <c r="E14406"/>
      <c r="F14406"/>
      <c r="G14406"/>
      <c r="H14406"/>
      <c r="I14406"/>
      <c r="J14406"/>
      <c r="K14406" s="1"/>
      <c r="L14406" s="2"/>
    </row>
    <row r="14407" spans="1:12" x14ac:dyDescent="0.2">
      <c r="A14407"/>
      <c r="B14407"/>
      <c r="C14407"/>
      <c r="D14407"/>
      <c r="E14407"/>
      <c r="F14407"/>
      <c r="G14407"/>
      <c r="H14407"/>
      <c r="I14407"/>
      <c r="J14407"/>
      <c r="K14407" s="1"/>
      <c r="L14407" s="2"/>
    </row>
    <row r="14408" spans="1:12" x14ac:dyDescent="0.2">
      <c r="A14408"/>
      <c r="B14408"/>
      <c r="C14408"/>
      <c r="D14408"/>
      <c r="E14408"/>
      <c r="F14408"/>
      <c r="G14408"/>
      <c r="H14408"/>
      <c r="I14408"/>
      <c r="J14408"/>
      <c r="K14408" s="1"/>
      <c r="L14408" s="2"/>
    </row>
    <row r="14409" spans="1:12" x14ac:dyDescent="0.2">
      <c r="A14409"/>
      <c r="B14409"/>
      <c r="C14409"/>
      <c r="D14409"/>
      <c r="E14409"/>
      <c r="F14409"/>
      <c r="G14409"/>
      <c r="H14409"/>
      <c r="I14409"/>
      <c r="J14409"/>
      <c r="K14409" s="1"/>
      <c r="L14409" s="2"/>
    </row>
    <row r="14410" spans="1:12" x14ac:dyDescent="0.2">
      <c r="A14410"/>
      <c r="B14410"/>
      <c r="C14410"/>
      <c r="D14410"/>
      <c r="E14410"/>
      <c r="F14410"/>
      <c r="G14410"/>
      <c r="H14410"/>
      <c r="I14410"/>
      <c r="J14410"/>
      <c r="K14410" s="1"/>
      <c r="L14410" s="2"/>
    </row>
    <row r="14411" spans="1:12" x14ac:dyDescent="0.2">
      <c r="A14411"/>
      <c r="B14411"/>
      <c r="C14411"/>
      <c r="D14411"/>
      <c r="E14411"/>
      <c r="F14411"/>
      <c r="G14411"/>
      <c r="H14411"/>
      <c r="I14411"/>
      <c r="J14411"/>
      <c r="K14411" s="1"/>
      <c r="L14411" s="2"/>
    </row>
    <row r="14412" spans="1:12" x14ac:dyDescent="0.2">
      <c r="A14412"/>
      <c r="B14412"/>
      <c r="C14412"/>
      <c r="D14412"/>
      <c r="E14412"/>
      <c r="F14412"/>
      <c r="G14412"/>
      <c r="H14412"/>
      <c r="I14412"/>
      <c r="J14412"/>
      <c r="K14412" s="1"/>
      <c r="L14412" s="2"/>
    </row>
    <row r="14413" spans="1:12" x14ac:dyDescent="0.2">
      <c r="A14413"/>
      <c r="B14413"/>
      <c r="C14413"/>
      <c r="D14413"/>
      <c r="E14413"/>
      <c r="F14413"/>
      <c r="G14413"/>
      <c r="H14413"/>
      <c r="I14413"/>
      <c r="J14413"/>
      <c r="K14413" s="1"/>
      <c r="L14413" s="2"/>
    </row>
    <row r="14414" spans="1:12" x14ac:dyDescent="0.2">
      <c r="A14414"/>
      <c r="B14414"/>
      <c r="C14414"/>
      <c r="D14414"/>
      <c r="E14414"/>
      <c r="F14414"/>
      <c r="G14414"/>
      <c r="H14414"/>
      <c r="I14414"/>
      <c r="J14414"/>
      <c r="K14414" s="1"/>
      <c r="L14414" s="2"/>
    </row>
    <row r="14415" spans="1:12" x14ac:dyDescent="0.2">
      <c r="A14415"/>
      <c r="B14415"/>
      <c r="C14415"/>
      <c r="D14415"/>
      <c r="E14415"/>
      <c r="F14415"/>
      <c r="G14415"/>
      <c r="H14415"/>
      <c r="I14415"/>
      <c r="J14415"/>
      <c r="K14415" s="1"/>
      <c r="L14415" s="2"/>
    </row>
    <row r="14416" spans="1:12" x14ac:dyDescent="0.2">
      <c r="A14416"/>
      <c r="B14416"/>
      <c r="C14416"/>
      <c r="D14416"/>
      <c r="E14416"/>
      <c r="F14416"/>
      <c r="G14416"/>
      <c r="H14416"/>
      <c r="I14416"/>
      <c r="J14416"/>
      <c r="K14416" s="1"/>
      <c r="L14416" s="2"/>
    </row>
    <row r="14417" spans="1:12" x14ac:dyDescent="0.2">
      <c r="A14417"/>
      <c r="B14417"/>
      <c r="C14417"/>
      <c r="D14417"/>
      <c r="E14417"/>
      <c r="F14417"/>
      <c r="G14417"/>
      <c r="H14417"/>
      <c r="I14417"/>
      <c r="J14417"/>
      <c r="K14417" s="1"/>
      <c r="L14417" s="2"/>
    </row>
    <row r="14418" spans="1:12" x14ac:dyDescent="0.2">
      <c r="A14418"/>
      <c r="B14418"/>
      <c r="C14418"/>
      <c r="D14418"/>
      <c r="E14418"/>
      <c r="F14418"/>
      <c r="G14418"/>
      <c r="H14418"/>
      <c r="I14418"/>
      <c r="J14418"/>
      <c r="K14418" s="1"/>
      <c r="L14418" s="2"/>
    </row>
    <row r="14419" spans="1:12" x14ac:dyDescent="0.2">
      <c r="A14419"/>
      <c r="B14419"/>
      <c r="C14419"/>
      <c r="D14419"/>
      <c r="E14419"/>
      <c r="F14419"/>
      <c r="G14419"/>
      <c r="H14419"/>
      <c r="I14419"/>
      <c r="J14419"/>
      <c r="K14419" s="1"/>
      <c r="L14419" s="2"/>
    </row>
    <row r="14420" spans="1:12" x14ac:dyDescent="0.2">
      <c r="A14420"/>
      <c r="B14420"/>
      <c r="C14420"/>
      <c r="D14420"/>
      <c r="E14420"/>
      <c r="F14420"/>
      <c r="G14420"/>
      <c r="H14420"/>
      <c r="I14420"/>
      <c r="J14420"/>
      <c r="K14420" s="1"/>
      <c r="L14420" s="2"/>
    </row>
    <row r="14421" spans="1:12" x14ac:dyDescent="0.2">
      <c r="A14421"/>
      <c r="B14421"/>
      <c r="C14421"/>
      <c r="D14421"/>
      <c r="E14421"/>
      <c r="F14421"/>
      <c r="G14421"/>
      <c r="H14421"/>
      <c r="I14421"/>
      <c r="J14421"/>
      <c r="K14421" s="1"/>
      <c r="L14421" s="2"/>
    </row>
    <row r="14422" spans="1:12" x14ac:dyDescent="0.2">
      <c r="A14422"/>
      <c r="B14422"/>
      <c r="C14422"/>
      <c r="D14422"/>
      <c r="E14422"/>
      <c r="F14422"/>
      <c r="G14422"/>
      <c r="H14422"/>
      <c r="I14422"/>
      <c r="J14422"/>
      <c r="K14422" s="1"/>
      <c r="L14422" s="2"/>
    </row>
    <row r="14423" spans="1:12" x14ac:dyDescent="0.2">
      <c r="A14423"/>
      <c r="B14423"/>
      <c r="C14423"/>
      <c r="D14423"/>
      <c r="E14423"/>
      <c r="F14423"/>
      <c r="G14423"/>
      <c r="H14423"/>
      <c r="I14423"/>
      <c r="J14423"/>
      <c r="K14423" s="1"/>
      <c r="L14423" s="2"/>
    </row>
    <row r="14424" spans="1:12" x14ac:dyDescent="0.2">
      <c r="A14424"/>
      <c r="B14424"/>
      <c r="C14424"/>
      <c r="D14424"/>
      <c r="E14424"/>
      <c r="F14424"/>
      <c r="G14424"/>
      <c r="H14424"/>
      <c r="I14424"/>
      <c r="J14424"/>
      <c r="K14424" s="1"/>
      <c r="L14424" s="2"/>
    </row>
    <row r="14425" spans="1:12" x14ac:dyDescent="0.2">
      <c r="A14425"/>
      <c r="B14425"/>
      <c r="C14425"/>
      <c r="D14425"/>
      <c r="E14425"/>
      <c r="F14425"/>
      <c r="G14425"/>
      <c r="H14425"/>
      <c r="I14425"/>
      <c r="J14425"/>
      <c r="K14425" s="1"/>
      <c r="L14425" s="2"/>
    </row>
    <row r="14426" spans="1:12" x14ac:dyDescent="0.2">
      <c r="A14426"/>
      <c r="B14426"/>
      <c r="C14426"/>
      <c r="D14426"/>
      <c r="E14426"/>
      <c r="F14426"/>
      <c r="G14426"/>
      <c r="H14426"/>
      <c r="I14426"/>
      <c r="J14426"/>
      <c r="K14426" s="1"/>
      <c r="L14426" s="2"/>
    </row>
    <row r="14427" spans="1:12" x14ac:dyDescent="0.2">
      <c r="A14427"/>
      <c r="B14427"/>
      <c r="C14427"/>
      <c r="D14427"/>
      <c r="E14427"/>
      <c r="F14427"/>
      <c r="G14427"/>
      <c r="H14427"/>
      <c r="I14427"/>
      <c r="J14427"/>
      <c r="K14427" s="1"/>
      <c r="L14427" s="2"/>
    </row>
    <row r="14428" spans="1:12" x14ac:dyDescent="0.2">
      <c r="A14428"/>
      <c r="B14428"/>
      <c r="C14428"/>
      <c r="D14428"/>
      <c r="E14428"/>
      <c r="F14428"/>
      <c r="G14428"/>
      <c r="H14428"/>
      <c r="I14428"/>
      <c r="J14428"/>
      <c r="K14428" s="1"/>
      <c r="L14428" s="2"/>
    </row>
    <row r="14429" spans="1:12" x14ac:dyDescent="0.2">
      <c r="A14429"/>
      <c r="B14429"/>
      <c r="C14429"/>
      <c r="D14429"/>
      <c r="E14429"/>
      <c r="F14429"/>
      <c r="G14429"/>
      <c r="H14429"/>
      <c r="I14429"/>
      <c r="J14429"/>
      <c r="K14429" s="1"/>
      <c r="L14429" s="2"/>
    </row>
    <row r="14430" spans="1:12" x14ac:dyDescent="0.2">
      <c r="A14430"/>
      <c r="B14430"/>
      <c r="C14430"/>
      <c r="D14430"/>
      <c r="E14430"/>
      <c r="F14430"/>
      <c r="G14430"/>
      <c r="H14430"/>
      <c r="I14430"/>
      <c r="J14430"/>
      <c r="K14430" s="1"/>
      <c r="L14430" s="2"/>
    </row>
    <row r="14431" spans="1:12" x14ac:dyDescent="0.2">
      <c r="A14431"/>
      <c r="B14431"/>
      <c r="C14431"/>
      <c r="D14431"/>
      <c r="E14431"/>
      <c r="F14431"/>
      <c r="G14431"/>
      <c r="H14431"/>
      <c r="I14431"/>
      <c r="J14431"/>
      <c r="K14431" s="1"/>
      <c r="L14431" s="2"/>
    </row>
    <row r="14432" spans="1:12" x14ac:dyDescent="0.2">
      <c r="A14432"/>
      <c r="B14432"/>
      <c r="C14432"/>
      <c r="D14432"/>
      <c r="E14432"/>
      <c r="F14432"/>
      <c r="G14432"/>
      <c r="H14432"/>
      <c r="I14432"/>
      <c r="J14432"/>
      <c r="K14432" s="1"/>
      <c r="L14432" s="2"/>
    </row>
    <row r="14433" spans="1:12" x14ac:dyDescent="0.2">
      <c r="A14433"/>
      <c r="B14433"/>
      <c r="C14433"/>
      <c r="D14433"/>
      <c r="E14433"/>
      <c r="F14433"/>
      <c r="G14433"/>
      <c r="H14433"/>
      <c r="I14433"/>
      <c r="J14433"/>
      <c r="K14433" s="1"/>
      <c r="L14433" s="2"/>
    </row>
    <row r="14434" spans="1:12" x14ac:dyDescent="0.2">
      <c r="A14434"/>
      <c r="B14434"/>
      <c r="C14434"/>
      <c r="D14434"/>
      <c r="E14434"/>
      <c r="F14434"/>
      <c r="G14434"/>
      <c r="H14434"/>
      <c r="I14434"/>
      <c r="J14434"/>
      <c r="K14434" s="1"/>
      <c r="L14434" s="2"/>
    </row>
    <row r="14435" spans="1:12" x14ac:dyDescent="0.2">
      <c r="A14435"/>
      <c r="B14435"/>
      <c r="C14435"/>
      <c r="D14435"/>
      <c r="E14435"/>
      <c r="F14435"/>
      <c r="G14435"/>
      <c r="H14435"/>
      <c r="I14435"/>
      <c r="J14435"/>
      <c r="K14435" s="1"/>
      <c r="L14435" s="2"/>
    </row>
    <row r="14436" spans="1:12" x14ac:dyDescent="0.2">
      <c r="A14436"/>
      <c r="B14436"/>
      <c r="C14436"/>
      <c r="D14436"/>
      <c r="E14436"/>
      <c r="F14436"/>
      <c r="G14436"/>
      <c r="H14436"/>
      <c r="I14436"/>
      <c r="J14436"/>
      <c r="K14436" s="1"/>
      <c r="L14436" s="2"/>
    </row>
    <row r="14437" spans="1:12" x14ac:dyDescent="0.2">
      <c r="A14437"/>
      <c r="B14437"/>
      <c r="C14437"/>
      <c r="D14437"/>
      <c r="E14437"/>
      <c r="F14437"/>
      <c r="G14437"/>
      <c r="H14437"/>
      <c r="I14437"/>
      <c r="J14437"/>
      <c r="K14437" s="1"/>
      <c r="L14437" s="2"/>
    </row>
    <row r="14438" spans="1:12" x14ac:dyDescent="0.2">
      <c r="A14438"/>
      <c r="B14438"/>
      <c r="C14438"/>
      <c r="D14438"/>
      <c r="E14438"/>
      <c r="F14438"/>
      <c r="G14438"/>
      <c r="H14438"/>
      <c r="I14438"/>
      <c r="J14438"/>
      <c r="K14438" s="1"/>
      <c r="L14438" s="2"/>
    </row>
    <row r="14439" spans="1:12" x14ac:dyDescent="0.2">
      <c r="A14439"/>
      <c r="B14439"/>
      <c r="C14439"/>
      <c r="D14439"/>
      <c r="E14439"/>
      <c r="F14439"/>
      <c r="G14439"/>
      <c r="H14439"/>
      <c r="I14439"/>
      <c r="J14439"/>
      <c r="K14439" s="1"/>
      <c r="L14439" s="2"/>
    </row>
    <row r="14440" spans="1:12" x14ac:dyDescent="0.2">
      <c r="A14440"/>
      <c r="B14440"/>
      <c r="C14440"/>
      <c r="D14440"/>
      <c r="E14440"/>
      <c r="F14440"/>
      <c r="G14440"/>
      <c r="H14440"/>
      <c r="I14440"/>
      <c r="J14440"/>
      <c r="K14440" s="1"/>
      <c r="L14440" s="2"/>
    </row>
    <row r="14441" spans="1:12" x14ac:dyDescent="0.2">
      <c r="A14441"/>
      <c r="B14441"/>
      <c r="C14441"/>
      <c r="D14441"/>
      <c r="E14441"/>
      <c r="F14441"/>
      <c r="G14441"/>
      <c r="H14441"/>
      <c r="I14441"/>
      <c r="J14441"/>
      <c r="K14441" s="1"/>
      <c r="L14441" s="2"/>
    </row>
    <row r="14442" spans="1:12" x14ac:dyDescent="0.2">
      <c r="A14442"/>
      <c r="B14442"/>
      <c r="C14442"/>
      <c r="D14442"/>
      <c r="E14442"/>
      <c r="F14442"/>
      <c r="G14442"/>
      <c r="H14442"/>
      <c r="I14442"/>
      <c r="J14442"/>
      <c r="K14442" s="1"/>
      <c r="L14442" s="2"/>
    </row>
    <row r="14443" spans="1:12" x14ac:dyDescent="0.2">
      <c r="A14443"/>
      <c r="B14443"/>
      <c r="C14443"/>
      <c r="D14443"/>
      <c r="E14443"/>
      <c r="F14443"/>
      <c r="G14443"/>
      <c r="H14443"/>
      <c r="I14443"/>
      <c r="J14443"/>
      <c r="K14443" s="1"/>
      <c r="L14443" s="2"/>
    </row>
    <row r="14444" spans="1:12" x14ac:dyDescent="0.2">
      <c r="A14444"/>
      <c r="B14444"/>
      <c r="C14444"/>
      <c r="D14444"/>
      <c r="E14444"/>
      <c r="F14444"/>
      <c r="G14444"/>
      <c r="H14444"/>
      <c r="I14444"/>
      <c r="J14444"/>
      <c r="K14444" s="1"/>
      <c r="L14444" s="2"/>
    </row>
    <row r="14445" spans="1:12" x14ac:dyDescent="0.2">
      <c r="A14445"/>
      <c r="B14445"/>
      <c r="C14445"/>
      <c r="D14445"/>
      <c r="E14445"/>
      <c r="F14445"/>
      <c r="G14445"/>
      <c r="H14445"/>
      <c r="I14445"/>
      <c r="J14445"/>
      <c r="K14445" s="1"/>
      <c r="L14445" s="2"/>
    </row>
    <row r="14446" spans="1:12" x14ac:dyDescent="0.2">
      <c r="A14446"/>
      <c r="B14446"/>
      <c r="C14446"/>
      <c r="D14446"/>
      <c r="E14446"/>
      <c r="F14446"/>
      <c r="G14446"/>
      <c r="H14446"/>
      <c r="I14446"/>
      <c r="J14446"/>
      <c r="K14446" s="1"/>
      <c r="L14446" s="2"/>
    </row>
    <row r="14447" spans="1:12" x14ac:dyDescent="0.2">
      <c r="A14447"/>
      <c r="B14447"/>
      <c r="C14447"/>
      <c r="D14447"/>
      <c r="E14447"/>
      <c r="F14447"/>
      <c r="G14447"/>
      <c r="H14447"/>
      <c r="I14447"/>
      <c r="J14447"/>
      <c r="K14447" s="1"/>
      <c r="L14447" s="2"/>
    </row>
    <row r="14448" spans="1:12" x14ac:dyDescent="0.2">
      <c r="A14448"/>
      <c r="B14448"/>
      <c r="C14448"/>
      <c r="D14448"/>
      <c r="E14448"/>
      <c r="F14448"/>
      <c r="G14448"/>
      <c r="H14448"/>
      <c r="I14448"/>
      <c r="J14448"/>
      <c r="K14448" s="1"/>
      <c r="L14448" s="2"/>
    </row>
    <row r="14449" spans="1:12" x14ac:dyDescent="0.2">
      <c r="A14449"/>
      <c r="B14449"/>
      <c r="C14449"/>
      <c r="D14449"/>
      <c r="E14449"/>
      <c r="F14449"/>
      <c r="G14449"/>
      <c r="H14449"/>
      <c r="I14449"/>
      <c r="J14449"/>
      <c r="K14449" s="1"/>
      <c r="L14449" s="2"/>
    </row>
    <row r="14450" spans="1:12" x14ac:dyDescent="0.2">
      <c r="A14450"/>
      <c r="B14450"/>
      <c r="C14450"/>
      <c r="D14450"/>
      <c r="E14450"/>
      <c r="F14450"/>
      <c r="G14450"/>
      <c r="H14450"/>
      <c r="I14450"/>
      <c r="J14450"/>
      <c r="K14450" s="1"/>
      <c r="L14450" s="2"/>
    </row>
    <row r="14451" spans="1:12" x14ac:dyDescent="0.2">
      <c r="A14451"/>
      <c r="B14451"/>
      <c r="C14451"/>
      <c r="D14451"/>
      <c r="E14451"/>
      <c r="F14451"/>
      <c r="G14451"/>
      <c r="H14451"/>
      <c r="I14451"/>
      <c r="J14451"/>
      <c r="K14451" s="1"/>
      <c r="L14451" s="2"/>
    </row>
    <row r="14452" spans="1:12" x14ac:dyDescent="0.2">
      <c r="A14452"/>
      <c r="B14452"/>
      <c r="C14452"/>
      <c r="D14452"/>
      <c r="E14452"/>
      <c r="F14452"/>
      <c r="G14452"/>
      <c r="H14452"/>
      <c r="I14452"/>
      <c r="J14452"/>
      <c r="K14452" s="1"/>
      <c r="L14452" s="2"/>
    </row>
    <row r="14453" spans="1:12" x14ac:dyDescent="0.2">
      <c r="A14453"/>
      <c r="B14453"/>
      <c r="C14453"/>
      <c r="D14453"/>
      <c r="E14453"/>
      <c r="F14453"/>
      <c r="G14453"/>
      <c r="H14453"/>
      <c r="I14453"/>
      <c r="J14453"/>
      <c r="K14453" s="1"/>
      <c r="L14453" s="2"/>
    </row>
    <row r="14454" spans="1:12" x14ac:dyDescent="0.2">
      <c r="A14454"/>
      <c r="B14454"/>
      <c r="C14454"/>
      <c r="D14454"/>
      <c r="E14454"/>
      <c r="F14454"/>
      <c r="G14454"/>
      <c r="H14454"/>
      <c r="I14454"/>
      <c r="J14454"/>
      <c r="K14454" s="1"/>
      <c r="L14454" s="2"/>
    </row>
    <row r="14455" spans="1:12" x14ac:dyDescent="0.2">
      <c r="A14455"/>
      <c r="B14455"/>
      <c r="C14455"/>
      <c r="D14455"/>
      <c r="E14455"/>
      <c r="F14455"/>
      <c r="G14455"/>
      <c r="H14455"/>
      <c r="I14455"/>
      <c r="J14455"/>
      <c r="K14455" s="1"/>
      <c r="L14455" s="2"/>
    </row>
    <row r="14456" spans="1:12" x14ac:dyDescent="0.2">
      <c r="A14456"/>
      <c r="B14456"/>
      <c r="C14456"/>
      <c r="D14456"/>
      <c r="E14456"/>
      <c r="F14456"/>
      <c r="G14456"/>
      <c r="H14456"/>
      <c r="I14456"/>
      <c r="J14456"/>
      <c r="K14456" s="1"/>
      <c r="L14456" s="2"/>
    </row>
    <row r="14457" spans="1:12" x14ac:dyDescent="0.2">
      <c r="A14457"/>
      <c r="B14457"/>
      <c r="C14457"/>
      <c r="D14457"/>
      <c r="E14457"/>
      <c r="F14457"/>
      <c r="G14457"/>
      <c r="H14457"/>
      <c r="I14457"/>
      <c r="J14457"/>
      <c r="K14457" s="1"/>
      <c r="L14457" s="2"/>
    </row>
    <row r="14458" spans="1:12" x14ac:dyDescent="0.2">
      <c r="A14458"/>
      <c r="B14458"/>
      <c r="C14458"/>
      <c r="D14458"/>
      <c r="E14458"/>
      <c r="F14458"/>
      <c r="G14458"/>
      <c r="H14458"/>
      <c r="I14458"/>
      <c r="J14458"/>
      <c r="K14458" s="1"/>
      <c r="L14458" s="2"/>
    </row>
    <row r="14459" spans="1:12" x14ac:dyDescent="0.2">
      <c r="A14459"/>
      <c r="B14459"/>
      <c r="C14459"/>
      <c r="D14459"/>
      <c r="E14459"/>
      <c r="F14459"/>
      <c r="G14459"/>
      <c r="H14459"/>
      <c r="I14459"/>
      <c r="J14459"/>
      <c r="K14459" s="1"/>
      <c r="L14459" s="2"/>
    </row>
    <row r="14460" spans="1:12" x14ac:dyDescent="0.2">
      <c r="A14460"/>
      <c r="B14460"/>
      <c r="C14460"/>
      <c r="D14460"/>
      <c r="E14460"/>
      <c r="F14460"/>
      <c r="G14460"/>
      <c r="H14460"/>
      <c r="I14460"/>
      <c r="J14460"/>
      <c r="K14460" s="1"/>
      <c r="L14460" s="2"/>
    </row>
    <row r="14461" spans="1:12" x14ac:dyDescent="0.2">
      <c r="A14461"/>
      <c r="B14461"/>
      <c r="C14461"/>
      <c r="D14461"/>
      <c r="E14461"/>
      <c r="F14461"/>
      <c r="G14461"/>
      <c r="H14461"/>
      <c r="I14461"/>
      <c r="J14461"/>
      <c r="K14461" s="1"/>
      <c r="L14461" s="2"/>
    </row>
    <row r="14462" spans="1:12" x14ac:dyDescent="0.2">
      <c r="A14462"/>
      <c r="B14462"/>
      <c r="C14462"/>
      <c r="D14462"/>
      <c r="E14462"/>
      <c r="F14462"/>
      <c r="G14462"/>
      <c r="H14462"/>
      <c r="I14462"/>
      <c r="J14462"/>
      <c r="K14462" s="1"/>
      <c r="L14462" s="2"/>
    </row>
    <row r="14463" spans="1:12" x14ac:dyDescent="0.2">
      <c r="A14463"/>
      <c r="B14463"/>
      <c r="C14463"/>
      <c r="D14463"/>
      <c r="E14463"/>
      <c r="F14463"/>
      <c r="G14463"/>
      <c r="H14463"/>
      <c r="I14463"/>
      <c r="J14463"/>
      <c r="K14463" s="1"/>
      <c r="L14463" s="2"/>
    </row>
    <row r="14464" spans="1:12" x14ac:dyDescent="0.2">
      <c r="A14464"/>
      <c r="B14464"/>
      <c r="C14464"/>
      <c r="D14464"/>
      <c r="E14464"/>
      <c r="F14464"/>
      <c r="G14464"/>
      <c r="H14464"/>
      <c r="I14464"/>
      <c r="J14464"/>
      <c r="K14464" s="1"/>
      <c r="L14464" s="2"/>
    </row>
    <row r="14465" spans="1:12" x14ac:dyDescent="0.2">
      <c r="A14465"/>
      <c r="B14465"/>
      <c r="C14465"/>
      <c r="D14465"/>
      <c r="E14465"/>
      <c r="F14465"/>
      <c r="G14465"/>
      <c r="H14465"/>
      <c r="I14465"/>
      <c r="J14465"/>
      <c r="K14465" s="1"/>
      <c r="L14465" s="2"/>
    </row>
    <row r="14466" spans="1:12" x14ac:dyDescent="0.2">
      <c r="A14466"/>
      <c r="B14466"/>
      <c r="C14466"/>
      <c r="D14466"/>
      <c r="E14466"/>
      <c r="F14466"/>
      <c r="G14466"/>
      <c r="H14466"/>
      <c r="I14466"/>
      <c r="J14466"/>
      <c r="K14466" s="1"/>
      <c r="L14466" s="2"/>
    </row>
    <row r="14467" spans="1:12" x14ac:dyDescent="0.2">
      <c r="A14467"/>
      <c r="B14467"/>
      <c r="C14467"/>
      <c r="D14467"/>
      <c r="E14467"/>
      <c r="F14467"/>
      <c r="G14467"/>
      <c r="H14467"/>
      <c r="I14467"/>
      <c r="J14467"/>
      <c r="K14467" s="1"/>
      <c r="L14467" s="2"/>
    </row>
    <row r="14468" spans="1:12" x14ac:dyDescent="0.2">
      <c r="A14468"/>
      <c r="B14468"/>
      <c r="C14468"/>
      <c r="D14468"/>
      <c r="E14468"/>
      <c r="F14468"/>
      <c r="G14468"/>
      <c r="H14468"/>
      <c r="I14468"/>
      <c r="J14468"/>
      <c r="K14468" s="1"/>
      <c r="L14468" s="2"/>
    </row>
    <row r="14469" spans="1:12" x14ac:dyDescent="0.2">
      <c r="A14469"/>
      <c r="B14469"/>
      <c r="C14469"/>
      <c r="D14469"/>
      <c r="E14469"/>
      <c r="F14469"/>
      <c r="G14469"/>
      <c r="H14469"/>
      <c r="I14469"/>
      <c r="J14469"/>
      <c r="K14469" s="1"/>
      <c r="L14469" s="2"/>
    </row>
    <row r="14470" spans="1:12" x14ac:dyDescent="0.2">
      <c r="A14470"/>
      <c r="B14470"/>
      <c r="C14470"/>
      <c r="D14470"/>
      <c r="E14470"/>
      <c r="F14470"/>
      <c r="G14470"/>
      <c r="H14470"/>
      <c r="I14470"/>
      <c r="J14470"/>
      <c r="K14470" s="1"/>
      <c r="L14470" s="2"/>
    </row>
    <row r="14471" spans="1:12" x14ac:dyDescent="0.2">
      <c r="A14471"/>
      <c r="B14471"/>
      <c r="C14471"/>
      <c r="D14471"/>
      <c r="E14471"/>
      <c r="F14471"/>
      <c r="G14471"/>
      <c r="H14471"/>
      <c r="I14471"/>
      <c r="J14471"/>
      <c r="K14471" s="1"/>
      <c r="L14471" s="2"/>
    </row>
    <row r="14472" spans="1:12" x14ac:dyDescent="0.2">
      <c r="A14472"/>
      <c r="B14472"/>
      <c r="C14472"/>
      <c r="D14472"/>
      <c r="E14472"/>
      <c r="F14472"/>
      <c r="G14472"/>
      <c r="H14472"/>
      <c r="I14472"/>
      <c r="J14472"/>
      <c r="K14472" s="1"/>
      <c r="L14472" s="2"/>
    </row>
    <row r="14473" spans="1:12" x14ac:dyDescent="0.2">
      <c r="A14473"/>
      <c r="B14473"/>
      <c r="C14473"/>
      <c r="D14473"/>
      <c r="E14473"/>
      <c r="F14473"/>
      <c r="G14473"/>
      <c r="H14473"/>
      <c r="I14473"/>
      <c r="J14473"/>
      <c r="K14473" s="1"/>
      <c r="L14473" s="2"/>
    </row>
    <row r="14474" spans="1:12" x14ac:dyDescent="0.2">
      <c r="A14474"/>
      <c r="B14474"/>
      <c r="C14474"/>
      <c r="D14474"/>
      <c r="E14474"/>
      <c r="F14474"/>
      <c r="G14474"/>
      <c r="H14474"/>
      <c r="I14474"/>
      <c r="J14474"/>
      <c r="K14474" s="1"/>
      <c r="L14474" s="2"/>
    </row>
    <row r="14475" spans="1:12" x14ac:dyDescent="0.2">
      <c r="A14475"/>
      <c r="B14475"/>
      <c r="C14475"/>
      <c r="D14475"/>
      <c r="E14475"/>
      <c r="F14475"/>
      <c r="G14475"/>
      <c r="H14475"/>
      <c r="I14475"/>
      <c r="J14475"/>
      <c r="K14475" s="1"/>
      <c r="L14475" s="2"/>
    </row>
    <row r="14476" spans="1:12" x14ac:dyDescent="0.2">
      <c r="A14476"/>
      <c r="B14476"/>
      <c r="C14476"/>
      <c r="D14476"/>
      <c r="E14476"/>
      <c r="F14476"/>
      <c r="G14476"/>
      <c r="H14476"/>
      <c r="I14476"/>
      <c r="J14476"/>
      <c r="K14476" s="1"/>
      <c r="L14476" s="2"/>
    </row>
    <row r="14477" spans="1:12" x14ac:dyDescent="0.2">
      <c r="A14477"/>
      <c r="B14477"/>
      <c r="C14477"/>
      <c r="D14477"/>
      <c r="E14477"/>
      <c r="F14477"/>
      <c r="G14477"/>
      <c r="H14477"/>
      <c r="I14477"/>
      <c r="J14477"/>
      <c r="K14477" s="1"/>
      <c r="L14477" s="2"/>
    </row>
    <row r="14478" spans="1:12" x14ac:dyDescent="0.2">
      <c r="A14478"/>
      <c r="B14478"/>
      <c r="C14478"/>
      <c r="D14478"/>
      <c r="E14478"/>
      <c r="F14478"/>
      <c r="G14478"/>
      <c r="H14478"/>
      <c r="I14478"/>
      <c r="J14478"/>
      <c r="K14478" s="1"/>
      <c r="L14478" s="2"/>
    </row>
    <row r="14479" spans="1:12" x14ac:dyDescent="0.2">
      <c r="A14479"/>
      <c r="B14479"/>
      <c r="C14479"/>
      <c r="D14479"/>
      <c r="E14479"/>
      <c r="F14479"/>
      <c r="G14479"/>
      <c r="H14479"/>
      <c r="I14479"/>
      <c r="J14479"/>
      <c r="K14479" s="1"/>
      <c r="L14479" s="2"/>
    </row>
    <row r="14480" spans="1:12" x14ac:dyDescent="0.2">
      <c r="A14480"/>
      <c r="B14480"/>
      <c r="C14480"/>
      <c r="D14480"/>
      <c r="E14480"/>
      <c r="F14480"/>
      <c r="G14480"/>
      <c r="H14480"/>
      <c r="I14480"/>
      <c r="J14480"/>
      <c r="K14480" s="1"/>
      <c r="L14480" s="2"/>
    </row>
    <row r="14481" spans="1:12" x14ac:dyDescent="0.2">
      <c r="A14481"/>
      <c r="B14481"/>
      <c r="C14481"/>
      <c r="D14481"/>
      <c r="E14481"/>
      <c r="F14481"/>
      <c r="G14481"/>
      <c r="H14481"/>
      <c r="I14481"/>
      <c r="J14481"/>
      <c r="K14481" s="1"/>
      <c r="L14481" s="2"/>
    </row>
    <row r="14482" spans="1:12" x14ac:dyDescent="0.2">
      <c r="A14482"/>
      <c r="B14482"/>
      <c r="C14482"/>
      <c r="D14482"/>
      <c r="E14482"/>
      <c r="F14482"/>
      <c r="G14482"/>
      <c r="H14482"/>
      <c r="I14482"/>
      <c r="J14482"/>
      <c r="K14482" s="1"/>
      <c r="L14482" s="2"/>
    </row>
    <row r="14483" spans="1:12" x14ac:dyDescent="0.2">
      <c r="A14483"/>
      <c r="B14483"/>
      <c r="C14483"/>
      <c r="D14483"/>
      <c r="E14483"/>
      <c r="F14483"/>
      <c r="G14483"/>
      <c r="H14483"/>
      <c r="I14483"/>
      <c r="J14483"/>
      <c r="K14483" s="1"/>
      <c r="L14483" s="2"/>
    </row>
    <row r="14484" spans="1:12" x14ac:dyDescent="0.2">
      <c r="A14484"/>
      <c r="B14484"/>
      <c r="C14484"/>
      <c r="D14484"/>
      <c r="E14484"/>
      <c r="F14484"/>
      <c r="G14484"/>
      <c r="H14484"/>
      <c r="I14484"/>
      <c r="J14484"/>
      <c r="K14484" s="1"/>
      <c r="L14484" s="2"/>
    </row>
    <row r="14485" spans="1:12" x14ac:dyDescent="0.2">
      <c r="A14485"/>
      <c r="B14485"/>
      <c r="C14485"/>
      <c r="D14485"/>
      <c r="E14485"/>
      <c r="F14485"/>
      <c r="G14485"/>
      <c r="H14485"/>
      <c r="I14485"/>
      <c r="J14485"/>
      <c r="K14485" s="1"/>
      <c r="L14485" s="2"/>
    </row>
    <row r="14486" spans="1:12" x14ac:dyDescent="0.2">
      <c r="A14486"/>
      <c r="B14486"/>
      <c r="C14486"/>
      <c r="D14486"/>
      <c r="E14486"/>
      <c r="F14486"/>
      <c r="G14486"/>
      <c r="H14486"/>
      <c r="I14486"/>
      <c r="J14486"/>
      <c r="K14486" s="1"/>
      <c r="L14486" s="2"/>
    </row>
    <row r="14487" spans="1:12" x14ac:dyDescent="0.2">
      <c r="A14487"/>
      <c r="B14487"/>
      <c r="C14487"/>
      <c r="D14487"/>
      <c r="E14487"/>
      <c r="F14487"/>
      <c r="G14487"/>
      <c r="H14487"/>
      <c r="I14487"/>
      <c r="J14487"/>
      <c r="K14487" s="1"/>
      <c r="L14487" s="2"/>
    </row>
    <row r="14488" spans="1:12" x14ac:dyDescent="0.2">
      <c r="A14488"/>
      <c r="B14488"/>
      <c r="C14488"/>
      <c r="D14488"/>
      <c r="E14488"/>
      <c r="F14488"/>
      <c r="G14488"/>
      <c r="H14488"/>
      <c r="I14488"/>
      <c r="J14488"/>
      <c r="K14488" s="1"/>
      <c r="L14488" s="2"/>
    </row>
    <row r="14489" spans="1:12" x14ac:dyDescent="0.2">
      <c r="A14489"/>
      <c r="B14489"/>
      <c r="C14489"/>
      <c r="D14489"/>
      <c r="E14489"/>
      <c r="F14489"/>
      <c r="G14489"/>
      <c r="H14489"/>
      <c r="I14489"/>
      <c r="J14489"/>
      <c r="K14489" s="1"/>
      <c r="L14489" s="2"/>
    </row>
    <row r="14490" spans="1:12" x14ac:dyDescent="0.2">
      <c r="A14490"/>
      <c r="B14490"/>
      <c r="C14490"/>
      <c r="D14490"/>
      <c r="E14490"/>
      <c r="F14490"/>
      <c r="G14490"/>
      <c r="H14490"/>
      <c r="I14490"/>
      <c r="J14490"/>
      <c r="K14490" s="1"/>
      <c r="L14490" s="2"/>
    </row>
    <row r="14491" spans="1:12" x14ac:dyDescent="0.2">
      <c r="A14491"/>
      <c r="B14491"/>
      <c r="C14491"/>
      <c r="D14491"/>
      <c r="E14491"/>
      <c r="F14491"/>
      <c r="G14491"/>
      <c r="H14491"/>
      <c r="I14491"/>
      <c r="J14491"/>
      <c r="K14491" s="1"/>
      <c r="L14491" s="2"/>
    </row>
    <row r="14492" spans="1:12" x14ac:dyDescent="0.2">
      <c r="A14492"/>
      <c r="B14492"/>
      <c r="C14492"/>
      <c r="D14492"/>
      <c r="E14492"/>
      <c r="F14492"/>
      <c r="G14492"/>
      <c r="H14492"/>
      <c r="I14492"/>
      <c r="J14492"/>
      <c r="K14492" s="1"/>
      <c r="L14492" s="2"/>
    </row>
    <row r="14493" spans="1:12" x14ac:dyDescent="0.2">
      <c r="A14493"/>
      <c r="B14493"/>
      <c r="C14493"/>
      <c r="D14493"/>
      <c r="E14493"/>
      <c r="F14493"/>
      <c r="G14493"/>
      <c r="H14493"/>
      <c r="I14493"/>
      <c r="J14493"/>
      <c r="K14493" s="1"/>
      <c r="L14493" s="2"/>
    </row>
    <row r="14494" spans="1:12" x14ac:dyDescent="0.2">
      <c r="A14494"/>
      <c r="B14494"/>
      <c r="C14494"/>
      <c r="D14494"/>
      <c r="E14494"/>
      <c r="F14494"/>
      <c r="G14494"/>
      <c r="H14494"/>
      <c r="I14494"/>
      <c r="J14494"/>
      <c r="K14494" s="1"/>
      <c r="L14494" s="2"/>
    </row>
    <row r="14495" spans="1:12" x14ac:dyDescent="0.2">
      <c r="A14495"/>
      <c r="B14495"/>
      <c r="C14495"/>
      <c r="D14495"/>
      <c r="E14495"/>
      <c r="F14495"/>
      <c r="G14495"/>
      <c r="H14495"/>
      <c r="I14495"/>
      <c r="J14495"/>
      <c r="K14495" s="1"/>
      <c r="L14495" s="2"/>
    </row>
    <row r="14496" spans="1:12" x14ac:dyDescent="0.2">
      <c r="A14496"/>
      <c r="B14496"/>
      <c r="C14496"/>
      <c r="D14496"/>
      <c r="E14496"/>
      <c r="F14496"/>
      <c r="G14496"/>
      <c r="H14496"/>
      <c r="I14496"/>
      <c r="J14496"/>
      <c r="K14496" s="1"/>
      <c r="L14496" s="2"/>
    </row>
    <row r="14497" spans="1:12" x14ac:dyDescent="0.2">
      <c r="A14497"/>
      <c r="B14497"/>
      <c r="C14497"/>
      <c r="D14497"/>
      <c r="E14497"/>
      <c r="F14497"/>
      <c r="G14497"/>
      <c r="H14497"/>
      <c r="I14497"/>
      <c r="J14497"/>
      <c r="K14497" s="1"/>
      <c r="L14497" s="2"/>
    </row>
    <row r="14498" spans="1:12" x14ac:dyDescent="0.2">
      <c r="A14498"/>
      <c r="B14498"/>
      <c r="C14498"/>
      <c r="D14498"/>
      <c r="E14498"/>
      <c r="F14498"/>
      <c r="G14498"/>
      <c r="H14498"/>
      <c r="I14498"/>
      <c r="J14498"/>
      <c r="K14498" s="1"/>
      <c r="L14498" s="2"/>
    </row>
    <row r="14499" spans="1:12" x14ac:dyDescent="0.2">
      <c r="A14499"/>
      <c r="B14499"/>
      <c r="C14499"/>
      <c r="D14499"/>
      <c r="E14499"/>
      <c r="F14499"/>
      <c r="G14499"/>
      <c r="H14499"/>
      <c r="I14499"/>
      <c r="J14499"/>
      <c r="K14499" s="1"/>
      <c r="L14499" s="2"/>
    </row>
    <row r="14500" spans="1:12" x14ac:dyDescent="0.2">
      <c r="A14500"/>
      <c r="B14500"/>
      <c r="C14500"/>
      <c r="D14500"/>
      <c r="E14500"/>
      <c r="F14500"/>
      <c r="G14500"/>
      <c r="H14500"/>
      <c r="I14500"/>
      <c r="J14500"/>
      <c r="K14500" s="1"/>
      <c r="L14500" s="2"/>
    </row>
    <row r="14501" spans="1:12" x14ac:dyDescent="0.2">
      <c r="A14501"/>
      <c r="B14501"/>
      <c r="C14501"/>
      <c r="D14501"/>
      <c r="E14501"/>
      <c r="F14501"/>
      <c r="G14501"/>
      <c r="H14501"/>
      <c r="I14501"/>
      <c r="J14501"/>
      <c r="K14501" s="1"/>
      <c r="L14501" s="2"/>
    </row>
    <row r="14502" spans="1:12" x14ac:dyDescent="0.2">
      <c r="A14502"/>
      <c r="B14502"/>
      <c r="C14502"/>
      <c r="D14502"/>
      <c r="E14502"/>
      <c r="F14502"/>
      <c r="G14502"/>
      <c r="H14502"/>
      <c r="I14502"/>
      <c r="J14502"/>
      <c r="K14502" s="1"/>
      <c r="L14502" s="2"/>
    </row>
    <row r="14503" spans="1:12" x14ac:dyDescent="0.2">
      <c r="A14503"/>
      <c r="B14503"/>
      <c r="C14503"/>
      <c r="D14503"/>
      <c r="E14503"/>
      <c r="F14503"/>
      <c r="G14503"/>
      <c r="H14503"/>
      <c r="I14503"/>
      <c r="J14503"/>
      <c r="K14503" s="1"/>
      <c r="L14503" s="2"/>
    </row>
    <row r="14504" spans="1:12" x14ac:dyDescent="0.2">
      <c r="A14504"/>
      <c r="B14504"/>
      <c r="C14504"/>
      <c r="D14504"/>
      <c r="E14504"/>
      <c r="F14504"/>
      <c r="G14504"/>
      <c r="H14504"/>
      <c r="I14504"/>
      <c r="J14504"/>
      <c r="K14504" s="1"/>
      <c r="L14504" s="2"/>
    </row>
    <row r="14505" spans="1:12" x14ac:dyDescent="0.2">
      <c r="A14505"/>
      <c r="B14505"/>
      <c r="C14505"/>
      <c r="D14505"/>
      <c r="E14505"/>
      <c r="F14505"/>
      <c r="G14505"/>
      <c r="H14505"/>
      <c r="I14505"/>
      <c r="J14505"/>
      <c r="K14505" s="1"/>
      <c r="L14505" s="2"/>
    </row>
    <row r="14506" spans="1:12" x14ac:dyDescent="0.2">
      <c r="A14506"/>
      <c r="B14506"/>
      <c r="C14506"/>
      <c r="D14506"/>
      <c r="E14506"/>
      <c r="F14506"/>
      <c r="G14506"/>
      <c r="H14506"/>
      <c r="I14506"/>
      <c r="J14506"/>
      <c r="K14506" s="1"/>
      <c r="L14506" s="2"/>
    </row>
    <row r="14507" spans="1:12" x14ac:dyDescent="0.2">
      <c r="A14507"/>
      <c r="B14507"/>
      <c r="C14507"/>
      <c r="D14507"/>
      <c r="E14507"/>
      <c r="F14507"/>
      <c r="G14507"/>
      <c r="H14507"/>
      <c r="I14507"/>
      <c r="J14507"/>
      <c r="K14507" s="1"/>
      <c r="L14507" s="2"/>
    </row>
    <row r="14508" spans="1:12" x14ac:dyDescent="0.2">
      <c r="A14508"/>
      <c r="B14508"/>
      <c r="C14508"/>
      <c r="D14508"/>
      <c r="E14508"/>
      <c r="F14508"/>
      <c r="G14508"/>
      <c r="H14508"/>
      <c r="I14508"/>
      <c r="J14508"/>
      <c r="K14508" s="1"/>
      <c r="L14508" s="2"/>
    </row>
    <row r="14509" spans="1:12" x14ac:dyDescent="0.2">
      <c r="A14509"/>
      <c r="B14509"/>
      <c r="C14509"/>
      <c r="D14509"/>
      <c r="E14509"/>
      <c r="F14509"/>
      <c r="G14509"/>
      <c r="H14509"/>
      <c r="I14509"/>
      <c r="J14509"/>
      <c r="K14509" s="1"/>
      <c r="L14509" s="2"/>
    </row>
    <row r="14510" spans="1:12" x14ac:dyDescent="0.2">
      <c r="A14510"/>
      <c r="B14510"/>
      <c r="C14510"/>
      <c r="D14510"/>
      <c r="E14510"/>
      <c r="F14510"/>
      <c r="G14510"/>
      <c r="H14510"/>
      <c r="I14510"/>
      <c r="J14510"/>
      <c r="K14510" s="1"/>
      <c r="L14510" s="2"/>
    </row>
    <row r="14511" spans="1:12" x14ac:dyDescent="0.2">
      <c r="A14511"/>
      <c r="B14511"/>
      <c r="C14511"/>
      <c r="D14511"/>
      <c r="E14511"/>
      <c r="F14511"/>
      <c r="G14511"/>
      <c r="H14511"/>
      <c r="I14511"/>
      <c r="J14511"/>
      <c r="K14511" s="1"/>
      <c r="L14511" s="2"/>
    </row>
    <row r="14512" spans="1:12" x14ac:dyDescent="0.2">
      <c r="A14512"/>
      <c r="B14512"/>
      <c r="C14512"/>
      <c r="D14512"/>
      <c r="E14512"/>
      <c r="F14512"/>
      <c r="G14512"/>
      <c r="H14512"/>
      <c r="I14512"/>
      <c r="J14512"/>
      <c r="K14512" s="1"/>
      <c r="L14512" s="2"/>
    </row>
    <row r="14513" spans="1:12" x14ac:dyDescent="0.2">
      <c r="A14513"/>
      <c r="B14513"/>
      <c r="C14513"/>
      <c r="D14513"/>
      <c r="E14513"/>
      <c r="F14513"/>
      <c r="G14513"/>
      <c r="H14513"/>
      <c r="I14513"/>
      <c r="J14513"/>
      <c r="K14513" s="1"/>
      <c r="L14513" s="2"/>
    </row>
    <row r="14514" spans="1:12" x14ac:dyDescent="0.2">
      <c r="A14514"/>
      <c r="B14514"/>
      <c r="C14514"/>
      <c r="D14514"/>
      <c r="E14514"/>
      <c r="F14514"/>
      <c r="G14514"/>
      <c r="H14514"/>
      <c r="I14514"/>
      <c r="J14514"/>
      <c r="K14514" s="1"/>
      <c r="L14514" s="2"/>
    </row>
    <row r="14515" spans="1:12" x14ac:dyDescent="0.2">
      <c r="A14515"/>
      <c r="B14515"/>
      <c r="C14515"/>
      <c r="D14515"/>
      <c r="E14515"/>
      <c r="F14515"/>
      <c r="G14515"/>
      <c r="H14515"/>
      <c r="I14515"/>
      <c r="J14515"/>
      <c r="K14515" s="1"/>
      <c r="L14515" s="2"/>
    </row>
    <row r="14516" spans="1:12" x14ac:dyDescent="0.2">
      <c r="A14516"/>
      <c r="B14516"/>
      <c r="C14516"/>
      <c r="D14516"/>
      <c r="E14516"/>
      <c r="F14516"/>
      <c r="G14516"/>
      <c r="H14516"/>
      <c r="I14516"/>
      <c r="J14516"/>
      <c r="K14516" s="1"/>
      <c r="L14516" s="2"/>
    </row>
    <row r="14517" spans="1:12" x14ac:dyDescent="0.2">
      <c r="A14517"/>
      <c r="B14517"/>
      <c r="C14517"/>
      <c r="D14517"/>
      <c r="E14517"/>
      <c r="F14517"/>
      <c r="G14517"/>
      <c r="H14517"/>
      <c r="I14517"/>
      <c r="J14517"/>
      <c r="K14517" s="1"/>
      <c r="L14517" s="2"/>
    </row>
    <row r="14518" spans="1:12" x14ac:dyDescent="0.2">
      <c r="A14518"/>
      <c r="B14518"/>
      <c r="C14518"/>
      <c r="D14518"/>
      <c r="E14518"/>
      <c r="F14518"/>
      <c r="G14518"/>
      <c r="H14518"/>
      <c r="I14518"/>
      <c r="J14518"/>
      <c r="K14518" s="1"/>
      <c r="L14518" s="2"/>
    </row>
    <row r="14519" spans="1:12" x14ac:dyDescent="0.2">
      <c r="A14519"/>
      <c r="B14519"/>
      <c r="C14519"/>
      <c r="D14519"/>
      <c r="E14519"/>
      <c r="F14519"/>
      <c r="G14519"/>
      <c r="H14519"/>
      <c r="I14519"/>
      <c r="J14519"/>
      <c r="K14519" s="1"/>
      <c r="L14519" s="2"/>
    </row>
    <row r="14520" spans="1:12" x14ac:dyDescent="0.2">
      <c r="A14520"/>
      <c r="B14520"/>
      <c r="C14520"/>
      <c r="D14520"/>
      <c r="E14520"/>
      <c r="F14520"/>
      <c r="G14520"/>
      <c r="H14520"/>
      <c r="I14520"/>
      <c r="J14520"/>
      <c r="K14520" s="1"/>
      <c r="L14520" s="2"/>
    </row>
    <row r="14521" spans="1:12" x14ac:dyDescent="0.2">
      <c r="A14521"/>
      <c r="B14521"/>
      <c r="C14521"/>
      <c r="D14521"/>
      <c r="E14521"/>
      <c r="F14521"/>
      <c r="G14521"/>
      <c r="H14521"/>
      <c r="I14521"/>
      <c r="J14521"/>
      <c r="K14521" s="1"/>
      <c r="L14521" s="2"/>
    </row>
    <row r="14522" spans="1:12" x14ac:dyDescent="0.2">
      <c r="A14522"/>
      <c r="B14522"/>
      <c r="C14522"/>
      <c r="D14522"/>
      <c r="E14522"/>
      <c r="F14522"/>
      <c r="G14522"/>
      <c r="H14522"/>
      <c r="I14522"/>
      <c r="J14522"/>
      <c r="K14522" s="1"/>
      <c r="L14522" s="2"/>
    </row>
    <row r="14523" spans="1:12" x14ac:dyDescent="0.2">
      <c r="A14523"/>
      <c r="B14523"/>
      <c r="C14523"/>
      <c r="D14523"/>
      <c r="E14523"/>
      <c r="F14523"/>
      <c r="G14523"/>
      <c r="H14523"/>
      <c r="I14523"/>
      <c r="J14523"/>
      <c r="K14523" s="1"/>
      <c r="L14523" s="2"/>
    </row>
    <row r="14524" spans="1:12" x14ac:dyDescent="0.2">
      <c r="A14524"/>
      <c r="B14524"/>
      <c r="C14524"/>
      <c r="D14524"/>
      <c r="E14524"/>
      <c r="F14524"/>
      <c r="G14524"/>
      <c r="H14524"/>
      <c r="I14524"/>
      <c r="J14524"/>
      <c r="K14524" s="1"/>
      <c r="L14524" s="2"/>
    </row>
    <row r="14525" spans="1:12" x14ac:dyDescent="0.2">
      <c r="A14525"/>
      <c r="B14525"/>
      <c r="C14525"/>
      <c r="D14525"/>
      <c r="E14525"/>
      <c r="F14525"/>
      <c r="G14525"/>
      <c r="H14525"/>
      <c r="I14525"/>
      <c r="J14525"/>
      <c r="K14525" s="1"/>
      <c r="L14525" s="2"/>
    </row>
    <row r="14526" spans="1:12" x14ac:dyDescent="0.2">
      <c r="A14526"/>
      <c r="B14526"/>
      <c r="C14526"/>
      <c r="D14526"/>
      <c r="E14526"/>
      <c r="F14526"/>
      <c r="G14526"/>
      <c r="H14526"/>
      <c r="I14526"/>
      <c r="J14526"/>
      <c r="K14526" s="1"/>
      <c r="L14526" s="2"/>
    </row>
    <row r="14527" spans="1:12" x14ac:dyDescent="0.2">
      <c r="A14527"/>
      <c r="B14527"/>
      <c r="C14527"/>
      <c r="D14527"/>
      <c r="E14527"/>
      <c r="F14527"/>
      <c r="G14527"/>
      <c r="H14527"/>
      <c r="I14527"/>
      <c r="J14527"/>
      <c r="K14527" s="1"/>
      <c r="L14527" s="2"/>
    </row>
    <row r="14528" spans="1:12" x14ac:dyDescent="0.2">
      <c r="A14528"/>
      <c r="B14528"/>
      <c r="C14528"/>
      <c r="D14528"/>
      <c r="E14528"/>
      <c r="F14528"/>
      <c r="G14528"/>
      <c r="H14528"/>
      <c r="I14528"/>
      <c r="J14528"/>
      <c r="K14528" s="1"/>
      <c r="L14528" s="2"/>
    </row>
    <row r="14529" spans="1:12" x14ac:dyDescent="0.2">
      <c r="A14529"/>
      <c r="B14529"/>
      <c r="C14529"/>
      <c r="D14529"/>
      <c r="E14529"/>
      <c r="F14529"/>
      <c r="G14529"/>
      <c r="H14529"/>
      <c r="I14529"/>
      <c r="J14529"/>
      <c r="K14529" s="1"/>
      <c r="L14529" s="2"/>
    </row>
    <row r="14530" spans="1:12" x14ac:dyDescent="0.2">
      <c r="A14530"/>
      <c r="B14530"/>
      <c r="C14530"/>
      <c r="D14530"/>
      <c r="E14530"/>
      <c r="F14530"/>
      <c r="G14530"/>
      <c r="H14530"/>
      <c r="I14530"/>
      <c r="J14530"/>
      <c r="K14530" s="1"/>
      <c r="L14530" s="2"/>
    </row>
    <row r="14531" spans="1:12" x14ac:dyDescent="0.2">
      <c r="A14531"/>
      <c r="B14531"/>
      <c r="C14531"/>
      <c r="D14531"/>
      <c r="E14531"/>
      <c r="F14531"/>
      <c r="G14531"/>
      <c r="H14531"/>
      <c r="I14531"/>
      <c r="J14531"/>
      <c r="K14531" s="1"/>
      <c r="L14531" s="2"/>
    </row>
    <row r="14532" spans="1:12" x14ac:dyDescent="0.2">
      <c r="A14532"/>
      <c r="B14532"/>
      <c r="C14532"/>
      <c r="D14532"/>
      <c r="E14532"/>
      <c r="F14532"/>
      <c r="G14532"/>
      <c r="H14532"/>
      <c r="I14532"/>
      <c r="J14532"/>
      <c r="K14532" s="1"/>
      <c r="L14532" s="2"/>
    </row>
    <row r="14533" spans="1:12" x14ac:dyDescent="0.2">
      <c r="A14533"/>
      <c r="B14533"/>
      <c r="C14533"/>
      <c r="D14533"/>
      <c r="E14533"/>
      <c r="F14533"/>
      <c r="G14533"/>
      <c r="H14533"/>
      <c r="I14533"/>
      <c r="J14533"/>
      <c r="K14533" s="1"/>
      <c r="L14533" s="2"/>
    </row>
    <row r="14534" spans="1:12" x14ac:dyDescent="0.2">
      <c r="A14534"/>
      <c r="B14534"/>
      <c r="C14534"/>
      <c r="D14534"/>
      <c r="E14534"/>
      <c r="F14534"/>
      <c r="G14534"/>
      <c r="H14534"/>
      <c r="I14534"/>
      <c r="J14534"/>
      <c r="K14534" s="1"/>
      <c r="L14534" s="2"/>
    </row>
    <row r="14535" spans="1:12" x14ac:dyDescent="0.2">
      <c r="A14535"/>
      <c r="B14535"/>
      <c r="C14535"/>
      <c r="D14535"/>
      <c r="E14535"/>
      <c r="F14535"/>
      <c r="G14535"/>
      <c r="H14535"/>
      <c r="I14535"/>
      <c r="J14535"/>
      <c r="K14535" s="1"/>
      <c r="L14535" s="2"/>
    </row>
    <row r="14536" spans="1:12" x14ac:dyDescent="0.2">
      <c r="A14536"/>
      <c r="B14536"/>
      <c r="C14536"/>
      <c r="D14536"/>
      <c r="E14536"/>
      <c r="F14536"/>
      <c r="G14536"/>
      <c r="H14536"/>
      <c r="I14536"/>
      <c r="J14536"/>
      <c r="K14536" s="1"/>
      <c r="L14536" s="2"/>
    </row>
    <row r="14537" spans="1:12" x14ac:dyDescent="0.2">
      <c r="A14537"/>
      <c r="B14537"/>
      <c r="C14537"/>
      <c r="D14537"/>
      <c r="E14537"/>
      <c r="F14537"/>
      <c r="G14537"/>
      <c r="H14537"/>
      <c r="I14537"/>
      <c r="J14537"/>
      <c r="K14537" s="1"/>
      <c r="L14537" s="2"/>
    </row>
    <row r="14538" spans="1:12" x14ac:dyDescent="0.2">
      <c r="A14538"/>
      <c r="B14538"/>
      <c r="C14538"/>
      <c r="D14538"/>
      <c r="E14538"/>
      <c r="F14538"/>
      <c r="G14538"/>
      <c r="H14538"/>
      <c r="I14538"/>
      <c r="J14538"/>
      <c r="K14538" s="1"/>
      <c r="L14538" s="2"/>
    </row>
    <row r="14539" spans="1:12" x14ac:dyDescent="0.2">
      <c r="A14539"/>
      <c r="B14539"/>
      <c r="C14539"/>
      <c r="D14539"/>
      <c r="E14539"/>
      <c r="F14539"/>
      <c r="G14539"/>
      <c r="H14539"/>
      <c r="I14539"/>
      <c r="J14539"/>
      <c r="K14539" s="1"/>
      <c r="L14539" s="2"/>
    </row>
    <row r="14540" spans="1:12" x14ac:dyDescent="0.2">
      <c r="A14540"/>
      <c r="B14540"/>
      <c r="C14540"/>
      <c r="D14540"/>
      <c r="E14540"/>
      <c r="F14540"/>
      <c r="G14540"/>
      <c r="H14540"/>
      <c r="I14540"/>
      <c r="J14540"/>
      <c r="K14540" s="1"/>
      <c r="L14540" s="2"/>
    </row>
    <row r="14541" spans="1:12" x14ac:dyDescent="0.2">
      <c r="A14541"/>
      <c r="B14541"/>
      <c r="C14541"/>
      <c r="D14541"/>
      <c r="E14541"/>
      <c r="F14541"/>
      <c r="G14541"/>
      <c r="H14541"/>
      <c r="I14541"/>
      <c r="J14541"/>
      <c r="K14541" s="1"/>
      <c r="L14541" s="2"/>
    </row>
    <row r="14542" spans="1:12" x14ac:dyDescent="0.2">
      <c r="A14542"/>
      <c r="B14542"/>
      <c r="C14542"/>
      <c r="D14542"/>
      <c r="E14542"/>
      <c r="F14542"/>
      <c r="G14542"/>
      <c r="H14542"/>
      <c r="I14542"/>
      <c r="J14542"/>
      <c r="K14542" s="1"/>
      <c r="L14542" s="2"/>
    </row>
    <row r="14543" spans="1:12" x14ac:dyDescent="0.2">
      <c r="A14543"/>
      <c r="B14543"/>
      <c r="C14543"/>
      <c r="D14543"/>
      <c r="E14543"/>
      <c r="F14543"/>
      <c r="G14543"/>
      <c r="H14543"/>
      <c r="I14543"/>
      <c r="J14543"/>
      <c r="K14543" s="1"/>
      <c r="L14543" s="2"/>
    </row>
    <row r="14544" spans="1:12" x14ac:dyDescent="0.2">
      <c r="A14544"/>
      <c r="B14544"/>
      <c r="C14544"/>
      <c r="D14544"/>
      <c r="E14544"/>
      <c r="F14544"/>
      <c r="G14544"/>
      <c r="H14544"/>
      <c r="I14544"/>
      <c r="J14544"/>
      <c r="K14544" s="1"/>
      <c r="L14544" s="2"/>
    </row>
    <row r="14545" spans="1:12" x14ac:dyDescent="0.2">
      <c r="A14545"/>
      <c r="B14545"/>
      <c r="C14545"/>
      <c r="D14545"/>
      <c r="E14545"/>
      <c r="F14545"/>
      <c r="G14545"/>
      <c r="H14545"/>
      <c r="I14545"/>
      <c r="J14545"/>
      <c r="K14545" s="1"/>
      <c r="L14545" s="2"/>
    </row>
    <row r="14546" spans="1:12" x14ac:dyDescent="0.2">
      <c r="A14546"/>
      <c r="B14546"/>
      <c r="C14546"/>
      <c r="D14546"/>
      <c r="E14546"/>
      <c r="F14546"/>
      <c r="G14546"/>
      <c r="H14546"/>
      <c r="I14546"/>
      <c r="J14546"/>
      <c r="K14546" s="1"/>
      <c r="L14546" s="2"/>
    </row>
    <row r="14547" spans="1:12" x14ac:dyDescent="0.2">
      <c r="A14547"/>
      <c r="B14547"/>
      <c r="C14547"/>
      <c r="D14547"/>
      <c r="E14547"/>
      <c r="F14547"/>
      <c r="G14547"/>
      <c r="H14547"/>
      <c r="I14547"/>
      <c r="J14547"/>
      <c r="K14547" s="1"/>
      <c r="L14547" s="2"/>
    </row>
    <row r="14548" spans="1:12" x14ac:dyDescent="0.2">
      <c r="A14548"/>
      <c r="B14548"/>
      <c r="C14548"/>
      <c r="D14548"/>
      <c r="E14548"/>
      <c r="F14548"/>
      <c r="G14548"/>
      <c r="H14548"/>
      <c r="I14548"/>
      <c r="J14548"/>
      <c r="K14548" s="1"/>
      <c r="L14548" s="2"/>
    </row>
    <row r="14549" spans="1:12" x14ac:dyDescent="0.2">
      <c r="A14549"/>
      <c r="B14549"/>
      <c r="C14549"/>
      <c r="D14549"/>
      <c r="E14549"/>
      <c r="F14549"/>
      <c r="G14549"/>
      <c r="H14549"/>
      <c r="I14549"/>
      <c r="J14549"/>
      <c r="K14549" s="1"/>
      <c r="L14549" s="2"/>
    </row>
    <row r="14550" spans="1:12" x14ac:dyDescent="0.2">
      <c r="A14550"/>
      <c r="B14550"/>
      <c r="C14550"/>
      <c r="D14550"/>
      <c r="E14550"/>
      <c r="F14550"/>
      <c r="G14550"/>
      <c r="H14550"/>
      <c r="I14550"/>
      <c r="J14550"/>
      <c r="K14550" s="1"/>
      <c r="L14550" s="2"/>
    </row>
    <row r="14551" spans="1:12" x14ac:dyDescent="0.2">
      <c r="A14551"/>
      <c r="B14551"/>
      <c r="C14551"/>
      <c r="D14551"/>
      <c r="E14551"/>
      <c r="F14551"/>
      <c r="G14551"/>
      <c r="H14551"/>
      <c r="I14551"/>
      <c r="J14551"/>
      <c r="K14551" s="1"/>
      <c r="L14551" s="2"/>
    </row>
    <row r="14552" spans="1:12" x14ac:dyDescent="0.2">
      <c r="A14552"/>
      <c r="B14552"/>
      <c r="C14552"/>
      <c r="D14552"/>
      <c r="E14552"/>
      <c r="F14552"/>
      <c r="G14552"/>
      <c r="H14552"/>
      <c r="I14552"/>
      <c r="J14552"/>
      <c r="K14552" s="1"/>
      <c r="L14552" s="2"/>
    </row>
    <row r="14553" spans="1:12" x14ac:dyDescent="0.2">
      <c r="A14553"/>
      <c r="B14553"/>
      <c r="C14553"/>
      <c r="D14553"/>
      <c r="E14553"/>
      <c r="F14553"/>
      <c r="G14553"/>
      <c r="H14553"/>
      <c r="I14553"/>
      <c r="J14553"/>
      <c r="K14553" s="1"/>
      <c r="L14553" s="2"/>
    </row>
    <row r="14554" spans="1:12" x14ac:dyDescent="0.2">
      <c r="A14554"/>
      <c r="B14554"/>
      <c r="C14554"/>
      <c r="D14554"/>
      <c r="E14554"/>
      <c r="F14554"/>
      <c r="G14554"/>
      <c r="H14554"/>
      <c r="I14554"/>
      <c r="J14554"/>
      <c r="K14554" s="1"/>
      <c r="L14554" s="2"/>
    </row>
    <row r="14555" spans="1:12" x14ac:dyDescent="0.2">
      <c r="A14555"/>
      <c r="B14555"/>
      <c r="C14555"/>
      <c r="D14555"/>
      <c r="E14555"/>
      <c r="F14555"/>
      <c r="G14555"/>
      <c r="H14555"/>
      <c r="I14555"/>
      <c r="J14555"/>
      <c r="K14555" s="1"/>
      <c r="L14555" s="2"/>
    </row>
    <row r="14556" spans="1:12" x14ac:dyDescent="0.2">
      <c r="A14556"/>
      <c r="B14556"/>
      <c r="C14556"/>
      <c r="D14556"/>
      <c r="E14556"/>
      <c r="F14556"/>
      <c r="G14556"/>
      <c r="H14556"/>
      <c r="I14556"/>
      <c r="J14556"/>
      <c r="K14556" s="1"/>
      <c r="L14556" s="2"/>
    </row>
    <row r="14557" spans="1:12" x14ac:dyDescent="0.2">
      <c r="A14557"/>
      <c r="B14557"/>
      <c r="C14557"/>
      <c r="D14557"/>
      <c r="E14557"/>
      <c r="F14557"/>
      <c r="G14557"/>
      <c r="H14557"/>
      <c r="I14557"/>
      <c r="J14557"/>
      <c r="K14557" s="1"/>
      <c r="L14557" s="2"/>
    </row>
    <row r="14558" spans="1:12" x14ac:dyDescent="0.2">
      <c r="A14558"/>
      <c r="B14558"/>
      <c r="C14558"/>
      <c r="D14558"/>
      <c r="E14558"/>
      <c r="F14558"/>
      <c r="G14558"/>
      <c r="H14558"/>
      <c r="I14558"/>
      <c r="J14558"/>
      <c r="K14558" s="1"/>
      <c r="L14558" s="2"/>
    </row>
    <row r="14559" spans="1:12" x14ac:dyDescent="0.2">
      <c r="A14559"/>
      <c r="B14559"/>
      <c r="C14559"/>
      <c r="D14559"/>
      <c r="E14559"/>
      <c r="F14559"/>
      <c r="G14559"/>
      <c r="H14559"/>
      <c r="I14559"/>
      <c r="J14559"/>
      <c r="K14559" s="1"/>
      <c r="L14559" s="2"/>
    </row>
    <row r="14560" spans="1:12" x14ac:dyDescent="0.2">
      <c r="A14560"/>
      <c r="B14560"/>
      <c r="C14560"/>
      <c r="D14560"/>
      <c r="E14560"/>
      <c r="F14560"/>
      <c r="G14560"/>
      <c r="H14560"/>
      <c r="I14560"/>
      <c r="J14560"/>
      <c r="K14560" s="1"/>
      <c r="L14560" s="2"/>
    </row>
    <row r="14561" spans="1:12" x14ac:dyDescent="0.2">
      <c r="A14561"/>
      <c r="B14561"/>
      <c r="C14561"/>
      <c r="D14561"/>
      <c r="E14561"/>
      <c r="F14561"/>
      <c r="G14561"/>
      <c r="H14561"/>
      <c r="I14561"/>
      <c r="J14561"/>
      <c r="K14561" s="1"/>
      <c r="L14561" s="2"/>
    </row>
    <row r="14562" spans="1:12" x14ac:dyDescent="0.2">
      <c r="A14562"/>
      <c r="B14562"/>
      <c r="C14562"/>
      <c r="D14562"/>
      <c r="E14562"/>
      <c r="F14562"/>
      <c r="G14562"/>
      <c r="H14562"/>
      <c r="I14562"/>
      <c r="J14562"/>
      <c r="K14562" s="1"/>
      <c r="L14562" s="2"/>
    </row>
    <row r="14563" spans="1:12" x14ac:dyDescent="0.2">
      <c r="A14563"/>
      <c r="B14563"/>
      <c r="C14563"/>
      <c r="D14563"/>
      <c r="E14563"/>
      <c r="F14563"/>
      <c r="G14563"/>
      <c r="H14563"/>
      <c r="I14563"/>
      <c r="J14563"/>
      <c r="K14563" s="1"/>
      <c r="L14563" s="2"/>
    </row>
    <row r="14564" spans="1:12" x14ac:dyDescent="0.2">
      <c r="A14564"/>
      <c r="B14564"/>
      <c r="C14564"/>
      <c r="D14564"/>
      <c r="E14564"/>
      <c r="F14564"/>
      <c r="G14564"/>
      <c r="H14564"/>
      <c r="I14564"/>
      <c r="J14564"/>
      <c r="K14564" s="1"/>
      <c r="L14564" s="2"/>
    </row>
    <row r="14565" spans="1:12" x14ac:dyDescent="0.2">
      <c r="A14565"/>
      <c r="B14565"/>
      <c r="C14565"/>
      <c r="D14565"/>
      <c r="E14565"/>
      <c r="F14565"/>
      <c r="G14565"/>
      <c r="H14565"/>
      <c r="I14565"/>
      <c r="J14565"/>
      <c r="K14565" s="1"/>
      <c r="L14565" s="2"/>
    </row>
    <row r="14566" spans="1:12" x14ac:dyDescent="0.2">
      <c r="A14566"/>
      <c r="B14566"/>
      <c r="C14566"/>
      <c r="D14566"/>
      <c r="E14566"/>
      <c r="F14566"/>
      <c r="G14566"/>
      <c r="H14566"/>
      <c r="I14566"/>
      <c r="J14566"/>
      <c r="K14566" s="1"/>
      <c r="L14566" s="2"/>
    </row>
    <row r="14567" spans="1:12" x14ac:dyDescent="0.2">
      <c r="A14567"/>
      <c r="B14567"/>
      <c r="C14567"/>
      <c r="D14567"/>
      <c r="E14567"/>
      <c r="F14567"/>
      <c r="G14567"/>
      <c r="H14567"/>
      <c r="I14567"/>
      <c r="J14567"/>
      <c r="K14567" s="1"/>
      <c r="L14567" s="2"/>
    </row>
    <row r="14568" spans="1:12" x14ac:dyDescent="0.2">
      <c r="A14568"/>
      <c r="B14568"/>
      <c r="C14568"/>
      <c r="D14568"/>
      <c r="E14568"/>
      <c r="F14568"/>
      <c r="G14568"/>
      <c r="H14568"/>
      <c r="I14568"/>
      <c r="J14568"/>
      <c r="K14568" s="1"/>
      <c r="L14568" s="2"/>
    </row>
    <row r="14569" spans="1:12" x14ac:dyDescent="0.2">
      <c r="A14569"/>
      <c r="B14569"/>
      <c r="C14569"/>
      <c r="D14569"/>
      <c r="E14569"/>
      <c r="F14569"/>
      <c r="G14569"/>
      <c r="H14569"/>
      <c r="I14569"/>
      <c r="J14569"/>
      <c r="K14569" s="1"/>
      <c r="L14569" s="2"/>
    </row>
    <row r="14570" spans="1:12" x14ac:dyDescent="0.2">
      <c r="A14570"/>
      <c r="B14570"/>
      <c r="C14570"/>
      <c r="D14570"/>
      <c r="E14570"/>
      <c r="F14570"/>
      <c r="G14570"/>
      <c r="H14570"/>
      <c r="I14570"/>
      <c r="J14570"/>
      <c r="K14570" s="1"/>
      <c r="L14570" s="2"/>
    </row>
    <row r="14571" spans="1:12" x14ac:dyDescent="0.2">
      <c r="A14571"/>
      <c r="B14571"/>
      <c r="C14571"/>
      <c r="D14571"/>
      <c r="E14571"/>
      <c r="F14571"/>
      <c r="G14571"/>
      <c r="H14571"/>
      <c r="I14571"/>
      <c r="J14571"/>
      <c r="K14571" s="1"/>
      <c r="L14571" s="2"/>
    </row>
    <row r="14572" spans="1:12" x14ac:dyDescent="0.2">
      <c r="A14572"/>
      <c r="B14572"/>
      <c r="C14572"/>
      <c r="D14572"/>
      <c r="E14572"/>
      <c r="F14572"/>
      <c r="G14572"/>
      <c r="H14572"/>
      <c r="I14572"/>
      <c r="J14572"/>
      <c r="K14572" s="1"/>
      <c r="L14572" s="2"/>
    </row>
    <row r="14573" spans="1:12" x14ac:dyDescent="0.2">
      <c r="A14573"/>
      <c r="B14573"/>
      <c r="C14573"/>
      <c r="D14573"/>
      <c r="E14573"/>
      <c r="F14573"/>
      <c r="G14573"/>
      <c r="H14573"/>
      <c r="I14573"/>
      <c r="J14573"/>
      <c r="K14573" s="1"/>
      <c r="L14573" s="2"/>
    </row>
    <row r="14574" spans="1:12" x14ac:dyDescent="0.2">
      <c r="A14574"/>
      <c r="B14574"/>
      <c r="C14574"/>
      <c r="D14574"/>
      <c r="E14574"/>
      <c r="F14574"/>
      <c r="G14574"/>
      <c r="H14574"/>
      <c r="I14574"/>
      <c r="J14574"/>
      <c r="K14574" s="1"/>
      <c r="L14574" s="2"/>
    </row>
    <row r="14575" spans="1:12" x14ac:dyDescent="0.2">
      <c r="A14575"/>
      <c r="B14575"/>
      <c r="C14575"/>
      <c r="D14575"/>
      <c r="E14575"/>
      <c r="F14575"/>
      <c r="G14575"/>
      <c r="H14575"/>
      <c r="I14575"/>
      <c r="J14575"/>
      <c r="K14575" s="1"/>
      <c r="L14575" s="2"/>
    </row>
    <row r="14576" spans="1:12" x14ac:dyDescent="0.2">
      <c r="A14576"/>
      <c r="B14576"/>
      <c r="C14576"/>
      <c r="D14576"/>
      <c r="E14576"/>
      <c r="F14576"/>
      <c r="G14576"/>
      <c r="H14576"/>
      <c r="I14576"/>
      <c r="J14576"/>
      <c r="K14576" s="1"/>
      <c r="L14576" s="2"/>
    </row>
    <row r="14577" spans="1:12" x14ac:dyDescent="0.2">
      <c r="A14577"/>
      <c r="B14577"/>
      <c r="C14577"/>
      <c r="D14577"/>
      <c r="E14577"/>
      <c r="F14577"/>
      <c r="G14577"/>
      <c r="H14577"/>
      <c r="I14577"/>
      <c r="J14577"/>
      <c r="K14577" s="1"/>
      <c r="L14577" s="2"/>
    </row>
    <row r="14578" spans="1:12" x14ac:dyDescent="0.2">
      <c r="A14578"/>
      <c r="B14578"/>
      <c r="C14578"/>
      <c r="D14578"/>
      <c r="E14578"/>
      <c r="F14578"/>
      <c r="G14578"/>
      <c r="H14578"/>
      <c r="I14578"/>
      <c r="J14578"/>
      <c r="K14578" s="1"/>
      <c r="L14578" s="2"/>
    </row>
    <row r="14579" spans="1:12" x14ac:dyDescent="0.2">
      <c r="A14579"/>
      <c r="B14579"/>
      <c r="C14579"/>
      <c r="D14579"/>
      <c r="E14579"/>
      <c r="F14579"/>
      <c r="G14579"/>
      <c r="H14579"/>
      <c r="I14579"/>
      <c r="J14579"/>
      <c r="K14579" s="1"/>
      <c r="L14579" s="2"/>
    </row>
    <row r="14580" spans="1:12" x14ac:dyDescent="0.2">
      <c r="A14580"/>
      <c r="B14580"/>
      <c r="C14580"/>
      <c r="D14580"/>
      <c r="E14580"/>
      <c r="F14580"/>
      <c r="G14580"/>
      <c r="H14580"/>
      <c r="I14580"/>
      <c r="J14580"/>
      <c r="K14580" s="1"/>
      <c r="L14580" s="2"/>
    </row>
    <row r="14581" spans="1:12" x14ac:dyDescent="0.2">
      <c r="A14581"/>
      <c r="B14581"/>
      <c r="C14581"/>
      <c r="D14581"/>
      <c r="E14581"/>
      <c r="F14581"/>
      <c r="G14581"/>
      <c r="H14581"/>
      <c r="I14581"/>
      <c r="J14581"/>
      <c r="K14581" s="1"/>
      <c r="L14581" s="2"/>
    </row>
    <row r="14582" spans="1:12" x14ac:dyDescent="0.2">
      <c r="A14582"/>
      <c r="B14582"/>
      <c r="C14582"/>
      <c r="D14582"/>
      <c r="E14582"/>
      <c r="F14582"/>
      <c r="G14582"/>
      <c r="H14582"/>
      <c r="I14582"/>
      <c r="J14582"/>
      <c r="K14582" s="1"/>
      <c r="L14582" s="2"/>
    </row>
    <row r="14583" spans="1:12" x14ac:dyDescent="0.2">
      <c r="A14583"/>
      <c r="B14583"/>
      <c r="C14583"/>
      <c r="D14583"/>
      <c r="E14583"/>
      <c r="F14583"/>
      <c r="G14583"/>
      <c r="H14583"/>
      <c r="I14583"/>
      <c r="J14583"/>
      <c r="K14583" s="1"/>
      <c r="L14583" s="2"/>
    </row>
    <row r="14584" spans="1:12" x14ac:dyDescent="0.2">
      <c r="A14584"/>
      <c r="B14584"/>
      <c r="C14584"/>
      <c r="D14584"/>
      <c r="E14584"/>
      <c r="F14584"/>
      <c r="G14584"/>
      <c r="H14584"/>
      <c r="I14584"/>
      <c r="J14584"/>
      <c r="K14584" s="1"/>
      <c r="L14584" s="2"/>
    </row>
    <row r="14585" spans="1:12" x14ac:dyDescent="0.2">
      <c r="A14585"/>
      <c r="B14585"/>
      <c r="C14585"/>
      <c r="D14585"/>
      <c r="E14585"/>
      <c r="F14585"/>
      <c r="G14585"/>
      <c r="H14585"/>
      <c r="I14585"/>
      <c r="J14585"/>
      <c r="K14585" s="1"/>
      <c r="L14585" s="2"/>
    </row>
    <row r="14586" spans="1:12" x14ac:dyDescent="0.2">
      <c r="A14586"/>
      <c r="B14586"/>
      <c r="C14586"/>
      <c r="D14586"/>
      <c r="E14586"/>
      <c r="F14586"/>
      <c r="G14586"/>
      <c r="H14586"/>
      <c r="I14586"/>
      <c r="J14586"/>
      <c r="K14586" s="1"/>
      <c r="L14586" s="2"/>
    </row>
    <row r="14587" spans="1:12" x14ac:dyDescent="0.2">
      <c r="A14587"/>
      <c r="B14587"/>
      <c r="C14587"/>
      <c r="D14587"/>
      <c r="E14587"/>
      <c r="F14587"/>
      <c r="G14587"/>
      <c r="H14587"/>
      <c r="I14587"/>
      <c r="J14587"/>
      <c r="K14587" s="1"/>
      <c r="L14587" s="2"/>
    </row>
    <row r="14588" spans="1:12" x14ac:dyDescent="0.2">
      <c r="A14588"/>
      <c r="B14588"/>
      <c r="C14588"/>
      <c r="D14588"/>
      <c r="E14588"/>
      <c r="F14588"/>
      <c r="G14588"/>
      <c r="H14588"/>
      <c r="I14588"/>
      <c r="J14588"/>
      <c r="K14588" s="1"/>
      <c r="L14588" s="2"/>
    </row>
    <row r="14589" spans="1:12" x14ac:dyDescent="0.2">
      <c r="A14589"/>
      <c r="B14589"/>
      <c r="C14589"/>
      <c r="D14589"/>
      <c r="E14589"/>
      <c r="F14589"/>
      <c r="G14589"/>
      <c r="H14589"/>
      <c r="I14589"/>
      <c r="J14589"/>
      <c r="K14589" s="1"/>
      <c r="L14589" s="2"/>
    </row>
    <row r="14590" spans="1:12" x14ac:dyDescent="0.2">
      <c r="A14590"/>
      <c r="B14590"/>
      <c r="C14590"/>
      <c r="D14590"/>
      <c r="E14590"/>
      <c r="F14590"/>
      <c r="G14590"/>
      <c r="H14590"/>
      <c r="I14590"/>
      <c r="J14590"/>
      <c r="K14590" s="1"/>
      <c r="L14590" s="2"/>
    </row>
    <row r="14591" spans="1:12" x14ac:dyDescent="0.2">
      <c r="A14591"/>
      <c r="B14591"/>
      <c r="C14591"/>
      <c r="D14591"/>
      <c r="E14591"/>
      <c r="F14591"/>
      <c r="G14591"/>
      <c r="H14591"/>
      <c r="I14591"/>
      <c r="J14591"/>
      <c r="K14591" s="1"/>
      <c r="L14591" s="2"/>
    </row>
    <row r="14592" spans="1:12" x14ac:dyDescent="0.2">
      <c r="A14592"/>
      <c r="B14592"/>
      <c r="C14592"/>
      <c r="D14592"/>
      <c r="E14592"/>
      <c r="F14592"/>
      <c r="G14592"/>
      <c r="H14592"/>
      <c r="I14592"/>
      <c r="J14592"/>
      <c r="K14592" s="1"/>
      <c r="L14592" s="2"/>
    </row>
    <row r="14593" spans="1:12" x14ac:dyDescent="0.2">
      <c r="A14593"/>
      <c r="B14593"/>
      <c r="C14593"/>
      <c r="D14593"/>
      <c r="E14593"/>
      <c r="F14593"/>
      <c r="G14593"/>
      <c r="H14593"/>
      <c r="I14593"/>
      <c r="J14593"/>
      <c r="K14593" s="1"/>
      <c r="L14593" s="2"/>
    </row>
    <row r="14594" spans="1:12" x14ac:dyDescent="0.2">
      <c r="A14594"/>
      <c r="B14594"/>
      <c r="C14594"/>
      <c r="D14594"/>
      <c r="E14594"/>
      <c r="F14594"/>
      <c r="G14594"/>
      <c r="H14594"/>
      <c r="I14594"/>
      <c r="J14594"/>
      <c r="K14594" s="1"/>
      <c r="L14594" s="2"/>
    </row>
    <row r="14595" spans="1:12" x14ac:dyDescent="0.2">
      <c r="A14595"/>
      <c r="B14595"/>
      <c r="C14595"/>
      <c r="D14595"/>
      <c r="E14595"/>
      <c r="F14595"/>
      <c r="G14595"/>
      <c r="H14595"/>
      <c r="I14595"/>
      <c r="J14595"/>
      <c r="K14595" s="1"/>
      <c r="L14595" s="2"/>
    </row>
    <row r="14596" spans="1:12" x14ac:dyDescent="0.2">
      <c r="A14596"/>
      <c r="B14596"/>
      <c r="C14596"/>
      <c r="D14596"/>
      <c r="E14596"/>
      <c r="F14596"/>
      <c r="G14596"/>
      <c r="H14596"/>
      <c r="I14596"/>
      <c r="J14596"/>
      <c r="K14596" s="1"/>
      <c r="L14596" s="2"/>
    </row>
    <row r="14597" spans="1:12" x14ac:dyDescent="0.2">
      <c r="A14597"/>
      <c r="B14597"/>
      <c r="C14597"/>
      <c r="D14597"/>
      <c r="E14597"/>
      <c r="F14597"/>
      <c r="G14597"/>
      <c r="H14597"/>
      <c r="I14597"/>
      <c r="J14597"/>
      <c r="K14597" s="1"/>
      <c r="L14597" s="2"/>
    </row>
    <row r="14598" spans="1:12" x14ac:dyDescent="0.2">
      <c r="A14598"/>
      <c r="B14598"/>
      <c r="C14598"/>
      <c r="D14598"/>
      <c r="E14598"/>
      <c r="F14598"/>
      <c r="G14598"/>
      <c r="H14598"/>
      <c r="I14598"/>
      <c r="J14598"/>
      <c r="K14598" s="1"/>
      <c r="L14598" s="2"/>
    </row>
    <row r="14599" spans="1:12" x14ac:dyDescent="0.2">
      <c r="A14599"/>
      <c r="B14599"/>
      <c r="C14599"/>
      <c r="D14599"/>
      <c r="E14599"/>
      <c r="F14599"/>
      <c r="G14599"/>
      <c r="H14599"/>
      <c r="I14599"/>
      <c r="J14599"/>
      <c r="K14599" s="1"/>
      <c r="L14599" s="2"/>
    </row>
    <row r="14600" spans="1:12" x14ac:dyDescent="0.2">
      <c r="A14600"/>
      <c r="B14600"/>
      <c r="C14600"/>
      <c r="D14600"/>
      <c r="E14600"/>
      <c r="F14600"/>
      <c r="G14600"/>
      <c r="H14600"/>
      <c r="I14600"/>
      <c r="J14600"/>
      <c r="K14600" s="1"/>
      <c r="L14600" s="2"/>
    </row>
    <row r="14601" spans="1:12" x14ac:dyDescent="0.2">
      <c r="A14601"/>
      <c r="B14601"/>
      <c r="C14601"/>
      <c r="D14601"/>
      <c r="E14601"/>
      <c r="F14601"/>
      <c r="G14601"/>
      <c r="H14601"/>
      <c r="I14601"/>
      <c r="J14601"/>
      <c r="K14601" s="1"/>
      <c r="L14601" s="2"/>
    </row>
    <row r="14602" spans="1:12" x14ac:dyDescent="0.2">
      <c r="A14602"/>
      <c r="B14602"/>
      <c r="C14602"/>
      <c r="D14602"/>
      <c r="E14602"/>
      <c r="F14602"/>
      <c r="G14602"/>
      <c r="H14602"/>
      <c r="I14602"/>
      <c r="J14602"/>
      <c r="K14602" s="1"/>
      <c r="L14602" s="2"/>
    </row>
    <row r="14603" spans="1:12" x14ac:dyDescent="0.2">
      <c r="A14603"/>
      <c r="B14603"/>
      <c r="C14603"/>
      <c r="D14603"/>
      <c r="E14603"/>
      <c r="F14603"/>
      <c r="G14603"/>
      <c r="H14603"/>
      <c r="I14603"/>
      <c r="J14603"/>
      <c r="K14603" s="1"/>
      <c r="L14603" s="2"/>
    </row>
    <row r="14604" spans="1:12" x14ac:dyDescent="0.2">
      <c r="A14604"/>
      <c r="B14604"/>
      <c r="C14604"/>
      <c r="D14604"/>
      <c r="E14604"/>
      <c r="F14604"/>
      <c r="G14604"/>
      <c r="H14604"/>
      <c r="I14604"/>
      <c r="J14604"/>
      <c r="K14604" s="1"/>
      <c r="L14604" s="2"/>
    </row>
    <row r="14605" spans="1:12" x14ac:dyDescent="0.2">
      <c r="A14605"/>
      <c r="B14605"/>
      <c r="C14605"/>
      <c r="D14605"/>
      <c r="E14605"/>
      <c r="F14605"/>
      <c r="G14605"/>
      <c r="H14605"/>
      <c r="I14605"/>
      <c r="J14605"/>
      <c r="K14605" s="1"/>
      <c r="L14605" s="2"/>
    </row>
    <row r="14606" spans="1:12" x14ac:dyDescent="0.2">
      <c r="A14606"/>
      <c r="B14606"/>
      <c r="C14606"/>
      <c r="D14606"/>
      <c r="E14606"/>
      <c r="F14606"/>
      <c r="G14606"/>
      <c r="H14606"/>
      <c r="I14606"/>
      <c r="J14606"/>
      <c r="K14606" s="1"/>
      <c r="L14606" s="2"/>
    </row>
    <row r="14607" spans="1:12" x14ac:dyDescent="0.2">
      <c r="A14607"/>
      <c r="B14607"/>
      <c r="C14607"/>
      <c r="D14607"/>
      <c r="E14607"/>
      <c r="F14607"/>
      <c r="G14607"/>
      <c r="H14607"/>
      <c r="I14607"/>
      <c r="J14607"/>
      <c r="K14607" s="1"/>
      <c r="L14607" s="2"/>
    </row>
    <row r="14608" spans="1:12" x14ac:dyDescent="0.2">
      <c r="A14608"/>
      <c r="B14608"/>
      <c r="C14608"/>
      <c r="D14608"/>
      <c r="E14608"/>
      <c r="F14608"/>
      <c r="G14608"/>
      <c r="H14608"/>
      <c r="I14608"/>
      <c r="J14608"/>
      <c r="K14608" s="1"/>
      <c r="L14608" s="2"/>
    </row>
    <row r="14609" spans="1:12" x14ac:dyDescent="0.2">
      <c r="A14609"/>
      <c r="B14609"/>
      <c r="C14609"/>
      <c r="D14609"/>
      <c r="E14609"/>
      <c r="F14609"/>
      <c r="G14609"/>
      <c r="H14609"/>
      <c r="I14609"/>
      <c r="J14609"/>
      <c r="K14609" s="1"/>
      <c r="L14609" s="2"/>
    </row>
    <row r="14610" spans="1:12" x14ac:dyDescent="0.2">
      <c r="A14610"/>
      <c r="B14610"/>
      <c r="C14610"/>
      <c r="D14610"/>
      <c r="E14610"/>
      <c r="F14610"/>
      <c r="G14610"/>
      <c r="H14610"/>
      <c r="I14610"/>
      <c r="J14610"/>
      <c r="K14610" s="1"/>
      <c r="L14610" s="2"/>
    </row>
    <row r="14611" spans="1:12" x14ac:dyDescent="0.2">
      <c r="A14611"/>
      <c r="B14611"/>
      <c r="C14611"/>
      <c r="D14611"/>
      <c r="E14611"/>
      <c r="F14611"/>
      <c r="G14611"/>
      <c r="H14611"/>
      <c r="I14611"/>
      <c r="J14611"/>
      <c r="K14611" s="1"/>
      <c r="L14611" s="2"/>
    </row>
    <row r="14612" spans="1:12" x14ac:dyDescent="0.2">
      <c r="A14612"/>
      <c r="B14612"/>
      <c r="C14612"/>
      <c r="D14612"/>
      <c r="E14612"/>
      <c r="F14612"/>
      <c r="G14612"/>
      <c r="H14612"/>
      <c r="I14612"/>
      <c r="J14612"/>
      <c r="K14612" s="1"/>
      <c r="L14612" s="2"/>
    </row>
    <row r="14613" spans="1:12" x14ac:dyDescent="0.2">
      <c r="A14613"/>
      <c r="B14613"/>
      <c r="C14613"/>
      <c r="D14613"/>
      <c r="E14613"/>
      <c r="F14613"/>
      <c r="G14613"/>
      <c r="H14613"/>
      <c r="I14613"/>
      <c r="J14613"/>
      <c r="K14613" s="1"/>
      <c r="L14613" s="2"/>
    </row>
    <row r="14614" spans="1:12" x14ac:dyDescent="0.2">
      <c r="A14614"/>
      <c r="B14614"/>
      <c r="C14614"/>
      <c r="D14614"/>
      <c r="E14614"/>
      <c r="F14614"/>
      <c r="G14614"/>
      <c r="H14614"/>
      <c r="I14614"/>
      <c r="J14614"/>
      <c r="K14614" s="1"/>
      <c r="L14614" s="2"/>
    </row>
    <row r="14615" spans="1:12" x14ac:dyDescent="0.2">
      <c r="A14615"/>
      <c r="B14615"/>
      <c r="C14615"/>
      <c r="D14615"/>
      <c r="E14615"/>
      <c r="F14615"/>
      <c r="G14615"/>
      <c r="H14615"/>
      <c r="I14615"/>
      <c r="J14615"/>
      <c r="K14615" s="1"/>
      <c r="L14615" s="2"/>
    </row>
    <row r="14616" spans="1:12" x14ac:dyDescent="0.2">
      <c r="A14616"/>
      <c r="B14616"/>
      <c r="C14616"/>
      <c r="D14616"/>
      <c r="E14616"/>
      <c r="F14616"/>
      <c r="G14616"/>
      <c r="H14616"/>
      <c r="I14616"/>
      <c r="J14616"/>
      <c r="K14616" s="1"/>
      <c r="L14616" s="2"/>
    </row>
    <row r="14617" spans="1:12" x14ac:dyDescent="0.2">
      <c r="A14617"/>
      <c r="B14617"/>
      <c r="C14617"/>
      <c r="D14617"/>
      <c r="E14617"/>
      <c r="F14617"/>
      <c r="G14617"/>
      <c r="H14617"/>
      <c r="I14617"/>
      <c r="J14617"/>
      <c r="K14617" s="1"/>
      <c r="L14617" s="2"/>
    </row>
    <row r="14618" spans="1:12" x14ac:dyDescent="0.2">
      <c r="A14618"/>
      <c r="B14618"/>
      <c r="C14618"/>
      <c r="D14618"/>
      <c r="E14618"/>
      <c r="F14618"/>
      <c r="G14618"/>
      <c r="H14618"/>
      <c r="I14618"/>
      <c r="J14618"/>
      <c r="K14618" s="1"/>
      <c r="L14618" s="2"/>
    </row>
    <row r="14619" spans="1:12" x14ac:dyDescent="0.2">
      <c r="A14619"/>
      <c r="B14619"/>
      <c r="C14619"/>
      <c r="D14619"/>
      <c r="E14619"/>
      <c r="F14619"/>
      <c r="G14619"/>
      <c r="H14619"/>
      <c r="I14619"/>
      <c r="J14619"/>
      <c r="K14619" s="1"/>
      <c r="L14619" s="2"/>
    </row>
    <row r="14620" spans="1:12" x14ac:dyDescent="0.2">
      <c r="A14620"/>
      <c r="B14620"/>
      <c r="C14620"/>
      <c r="D14620"/>
      <c r="E14620"/>
      <c r="F14620"/>
      <c r="G14620"/>
      <c r="H14620"/>
      <c r="I14620"/>
      <c r="J14620"/>
      <c r="K14620" s="1"/>
      <c r="L14620" s="2"/>
    </row>
    <row r="14621" spans="1:12" x14ac:dyDescent="0.2">
      <c r="A14621"/>
      <c r="B14621"/>
      <c r="C14621"/>
      <c r="D14621"/>
      <c r="E14621"/>
      <c r="F14621"/>
      <c r="G14621"/>
      <c r="H14621"/>
      <c r="I14621"/>
      <c r="J14621"/>
      <c r="K14621" s="1"/>
      <c r="L14621" s="2"/>
    </row>
    <row r="14622" spans="1:12" x14ac:dyDescent="0.2">
      <c r="A14622"/>
      <c r="B14622"/>
      <c r="C14622"/>
      <c r="D14622"/>
      <c r="E14622"/>
      <c r="F14622"/>
      <c r="G14622"/>
      <c r="H14622"/>
      <c r="I14622"/>
      <c r="J14622"/>
      <c r="K14622" s="1"/>
      <c r="L14622" s="2"/>
    </row>
    <row r="14623" spans="1:12" x14ac:dyDescent="0.2">
      <c r="A14623"/>
      <c r="B14623"/>
      <c r="C14623"/>
      <c r="D14623"/>
      <c r="E14623"/>
      <c r="F14623"/>
      <c r="G14623"/>
      <c r="H14623"/>
      <c r="I14623"/>
      <c r="J14623"/>
      <c r="K14623" s="1"/>
      <c r="L14623" s="2"/>
    </row>
    <row r="14624" spans="1:12" x14ac:dyDescent="0.2">
      <c r="A14624"/>
      <c r="B14624"/>
      <c r="C14624"/>
      <c r="D14624"/>
      <c r="E14624"/>
      <c r="F14624"/>
      <c r="G14624"/>
      <c r="H14624"/>
      <c r="I14624"/>
      <c r="J14624"/>
      <c r="K14624" s="1"/>
      <c r="L14624" s="2"/>
    </row>
    <row r="14625" spans="1:12" x14ac:dyDescent="0.2">
      <c r="A14625"/>
      <c r="B14625"/>
      <c r="C14625"/>
      <c r="D14625"/>
      <c r="E14625"/>
      <c r="F14625"/>
      <c r="G14625"/>
      <c r="H14625"/>
      <c r="I14625"/>
      <c r="J14625"/>
      <c r="K14625" s="1"/>
      <c r="L14625" s="2"/>
    </row>
    <row r="14626" spans="1:12" x14ac:dyDescent="0.2">
      <c r="A14626"/>
      <c r="B14626"/>
      <c r="C14626"/>
      <c r="D14626"/>
      <c r="E14626"/>
      <c r="F14626"/>
      <c r="G14626"/>
      <c r="H14626"/>
      <c r="I14626"/>
      <c r="J14626"/>
      <c r="K14626" s="1"/>
      <c r="L14626" s="2"/>
    </row>
    <row r="14627" spans="1:12" x14ac:dyDescent="0.2">
      <c r="A14627"/>
      <c r="B14627"/>
      <c r="C14627"/>
      <c r="D14627"/>
      <c r="E14627"/>
      <c r="F14627"/>
      <c r="G14627"/>
      <c r="H14627"/>
      <c r="I14627"/>
      <c r="J14627"/>
      <c r="K14627" s="1"/>
      <c r="L14627" s="2"/>
    </row>
    <row r="14628" spans="1:12" x14ac:dyDescent="0.2">
      <c r="A14628"/>
      <c r="B14628"/>
      <c r="C14628"/>
      <c r="D14628"/>
      <c r="E14628"/>
      <c r="F14628"/>
      <c r="G14628"/>
      <c r="H14628"/>
      <c r="I14628"/>
      <c r="J14628"/>
      <c r="K14628" s="1"/>
      <c r="L14628" s="2"/>
    </row>
    <row r="14629" spans="1:12" x14ac:dyDescent="0.2">
      <c r="A14629"/>
      <c r="B14629"/>
      <c r="C14629"/>
      <c r="D14629"/>
      <c r="E14629"/>
      <c r="F14629"/>
      <c r="G14629"/>
      <c r="H14629"/>
      <c r="I14629"/>
      <c r="J14629"/>
      <c r="K14629" s="1"/>
      <c r="L14629" s="2"/>
    </row>
    <row r="14630" spans="1:12" x14ac:dyDescent="0.2">
      <c r="A14630"/>
      <c r="B14630"/>
      <c r="C14630"/>
      <c r="D14630"/>
      <c r="E14630"/>
      <c r="F14630"/>
      <c r="G14630"/>
      <c r="H14630"/>
      <c r="I14630"/>
      <c r="J14630"/>
      <c r="K14630" s="1"/>
      <c r="L14630" s="2"/>
    </row>
    <row r="14631" spans="1:12" x14ac:dyDescent="0.2">
      <c r="A14631"/>
      <c r="B14631"/>
      <c r="C14631"/>
      <c r="D14631"/>
      <c r="E14631"/>
      <c r="F14631"/>
      <c r="G14631"/>
      <c r="H14631"/>
      <c r="I14631"/>
      <c r="J14631"/>
      <c r="K14631" s="1"/>
      <c r="L14631" s="2"/>
    </row>
    <row r="14632" spans="1:12" x14ac:dyDescent="0.2">
      <c r="A14632"/>
      <c r="B14632"/>
      <c r="C14632"/>
      <c r="D14632"/>
      <c r="E14632"/>
      <c r="F14632"/>
      <c r="G14632"/>
      <c r="H14632"/>
      <c r="I14632"/>
      <c r="J14632"/>
      <c r="K14632" s="1"/>
      <c r="L14632" s="2"/>
    </row>
    <row r="14633" spans="1:12" x14ac:dyDescent="0.2">
      <c r="A14633"/>
      <c r="B14633"/>
      <c r="C14633"/>
      <c r="D14633"/>
      <c r="E14633"/>
      <c r="F14633"/>
      <c r="G14633"/>
      <c r="H14633"/>
      <c r="I14633"/>
      <c r="J14633"/>
      <c r="K14633" s="1"/>
      <c r="L14633" s="2"/>
    </row>
    <row r="14634" spans="1:12" x14ac:dyDescent="0.2">
      <c r="A14634"/>
      <c r="B14634"/>
      <c r="C14634"/>
      <c r="D14634"/>
      <c r="E14634"/>
      <c r="F14634"/>
      <c r="G14634"/>
      <c r="H14634"/>
      <c r="I14634"/>
      <c r="J14634"/>
      <c r="K14634" s="1"/>
      <c r="L14634" s="2"/>
    </row>
    <row r="14635" spans="1:12" x14ac:dyDescent="0.2">
      <c r="A14635"/>
      <c r="B14635"/>
      <c r="C14635"/>
      <c r="D14635"/>
      <c r="E14635"/>
      <c r="F14635"/>
      <c r="G14635"/>
      <c r="H14635"/>
      <c r="I14635"/>
      <c r="J14635"/>
      <c r="K14635" s="1"/>
      <c r="L14635" s="2"/>
    </row>
    <row r="14636" spans="1:12" x14ac:dyDescent="0.2">
      <c r="A14636"/>
      <c r="B14636"/>
      <c r="C14636"/>
      <c r="D14636"/>
      <c r="E14636"/>
      <c r="F14636"/>
      <c r="G14636"/>
      <c r="H14636"/>
      <c r="I14636"/>
      <c r="J14636"/>
      <c r="K14636" s="1"/>
      <c r="L14636" s="2"/>
    </row>
    <row r="14637" spans="1:12" x14ac:dyDescent="0.2">
      <c r="A14637"/>
      <c r="B14637"/>
      <c r="C14637"/>
      <c r="D14637"/>
      <c r="E14637"/>
      <c r="F14637"/>
      <c r="G14637"/>
      <c r="H14637"/>
      <c r="I14637"/>
      <c r="J14637"/>
      <c r="K14637" s="1"/>
      <c r="L14637" s="2"/>
    </row>
    <row r="14638" spans="1:12" x14ac:dyDescent="0.2">
      <c r="A14638"/>
      <c r="B14638"/>
      <c r="C14638"/>
      <c r="D14638"/>
      <c r="E14638"/>
      <c r="F14638"/>
      <c r="G14638"/>
      <c r="H14638"/>
      <c r="I14638"/>
      <c r="J14638"/>
      <c r="K14638" s="1"/>
      <c r="L14638" s="2"/>
    </row>
    <row r="14639" spans="1:12" x14ac:dyDescent="0.2">
      <c r="A14639"/>
      <c r="B14639"/>
      <c r="C14639"/>
      <c r="D14639"/>
      <c r="E14639"/>
      <c r="F14639"/>
      <c r="G14639"/>
      <c r="H14639"/>
      <c r="I14639"/>
      <c r="J14639"/>
      <c r="K14639" s="1"/>
      <c r="L14639" s="2"/>
    </row>
    <row r="14640" spans="1:12" x14ac:dyDescent="0.2">
      <c r="A14640"/>
      <c r="B14640"/>
      <c r="C14640"/>
      <c r="D14640"/>
      <c r="E14640"/>
      <c r="F14640"/>
      <c r="G14640"/>
      <c r="H14640"/>
      <c r="I14640"/>
      <c r="J14640"/>
      <c r="K14640" s="1"/>
      <c r="L14640" s="2"/>
    </row>
    <row r="14641" spans="1:12" x14ac:dyDescent="0.2">
      <c r="A14641"/>
      <c r="B14641"/>
      <c r="C14641"/>
      <c r="D14641"/>
      <c r="E14641"/>
      <c r="F14641"/>
      <c r="G14641"/>
      <c r="H14641"/>
      <c r="I14641"/>
      <c r="J14641"/>
      <c r="K14641" s="1"/>
      <c r="L14641" s="2"/>
    </row>
    <row r="14642" spans="1:12" x14ac:dyDescent="0.2">
      <c r="A14642"/>
      <c r="B14642"/>
      <c r="C14642"/>
      <c r="D14642"/>
      <c r="E14642"/>
      <c r="F14642"/>
      <c r="G14642"/>
      <c r="H14642"/>
      <c r="I14642"/>
      <c r="J14642"/>
      <c r="K14642" s="1"/>
      <c r="L14642" s="2"/>
    </row>
    <row r="14643" spans="1:12" x14ac:dyDescent="0.2">
      <c r="A14643"/>
      <c r="B14643"/>
      <c r="C14643"/>
      <c r="D14643"/>
      <c r="E14643"/>
      <c r="F14643"/>
      <c r="G14643"/>
      <c r="H14643"/>
      <c r="I14643"/>
      <c r="J14643"/>
      <c r="K14643" s="1"/>
      <c r="L14643" s="2"/>
    </row>
    <row r="14644" spans="1:12" x14ac:dyDescent="0.2">
      <c r="A14644"/>
      <c r="B14644"/>
      <c r="C14644"/>
      <c r="D14644"/>
      <c r="E14644"/>
      <c r="F14644"/>
      <c r="G14644"/>
      <c r="H14644"/>
      <c r="I14644"/>
      <c r="J14644"/>
      <c r="K14644" s="1"/>
      <c r="L14644" s="2"/>
    </row>
    <row r="14645" spans="1:12" x14ac:dyDescent="0.2">
      <c r="A14645"/>
      <c r="B14645"/>
      <c r="C14645"/>
      <c r="D14645"/>
      <c r="E14645"/>
      <c r="F14645"/>
      <c r="G14645"/>
      <c r="H14645"/>
      <c r="I14645"/>
      <c r="J14645"/>
      <c r="K14645" s="1"/>
      <c r="L14645" s="2"/>
    </row>
    <row r="14646" spans="1:12" x14ac:dyDescent="0.2">
      <c r="A14646"/>
      <c r="B14646"/>
      <c r="C14646"/>
      <c r="D14646"/>
      <c r="E14646"/>
      <c r="F14646"/>
      <c r="G14646"/>
      <c r="H14646"/>
      <c r="I14646"/>
      <c r="J14646"/>
      <c r="K14646" s="1"/>
      <c r="L14646" s="2"/>
    </row>
    <row r="14647" spans="1:12" x14ac:dyDescent="0.2">
      <c r="A14647"/>
      <c r="B14647"/>
      <c r="C14647"/>
      <c r="D14647"/>
      <c r="E14647"/>
      <c r="F14647"/>
      <c r="G14647"/>
      <c r="H14647"/>
      <c r="I14647"/>
      <c r="J14647"/>
      <c r="K14647" s="1"/>
      <c r="L14647" s="2"/>
    </row>
    <row r="14648" spans="1:12" x14ac:dyDescent="0.2">
      <c r="A14648"/>
      <c r="B14648"/>
      <c r="C14648"/>
      <c r="D14648"/>
      <c r="E14648"/>
      <c r="F14648"/>
      <c r="G14648"/>
      <c r="H14648"/>
      <c r="I14648"/>
      <c r="J14648"/>
      <c r="K14648" s="1"/>
      <c r="L14648" s="2"/>
    </row>
    <row r="14649" spans="1:12" x14ac:dyDescent="0.2">
      <c r="A14649"/>
      <c r="B14649"/>
      <c r="C14649"/>
      <c r="D14649"/>
      <c r="E14649"/>
      <c r="F14649"/>
      <c r="G14649"/>
      <c r="H14649"/>
      <c r="I14649"/>
      <c r="J14649"/>
      <c r="K14649" s="1"/>
      <c r="L14649" s="2"/>
    </row>
    <row r="14650" spans="1:12" x14ac:dyDescent="0.2">
      <c r="A14650"/>
      <c r="B14650"/>
      <c r="C14650"/>
      <c r="D14650"/>
      <c r="E14650"/>
      <c r="F14650"/>
      <c r="G14650"/>
      <c r="H14650"/>
      <c r="I14650"/>
      <c r="J14650"/>
      <c r="K14650" s="1"/>
      <c r="L14650" s="2"/>
    </row>
    <row r="14651" spans="1:12" x14ac:dyDescent="0.2">
      <c r="A14651"/>
      <c r="B14651"/>
      <c r="C14651"/>
      <c r="D14651"/>
      <c r="E14651"/>
      <c r="F14651"/>
      <c r="G14651"/>
      <c r="H14651"/>
      <c r="I14651"/>
      <c r="J14651"/>
      <c r="K14651" s="1"/>
      <c r="L14651" s="2"/>
    </row>
    <row r="14652" spans="1:12" x14ac:dyDescent="0.2">
      <c r="A14652"/>
      <c r="B14652"/>
      <c r="C14652"/>
      <c r="D14652"/>
      <c r="E14652"/>
      <c r="F14652"/>
      <c r="G14652"/>
      <c r="H14652"/>
      <c r="I14652"/>
      <c r="J14652"/>
      <c r="K14652" s="1"/>
      <c r="L14652" s="2"/>
    </row>
    <row r="14653" spans="1:12" x14ac:dyDescent="0.2">
      <c r="A14653"/>
      <c r="B14653"/>
      <c r="C14653"/>
      <c r="D14653"/>
      <c r="E14653"/>
      <c r="F14653"/>
      <c r="G14653"/>
      <c r="H14653"/>
      <c r="I14653"/>
      <c r="J14653"/>
      <c r="K14653" s="1"/>
      <c r="L14653" s="2"/>
    </row>
    <row r="14654" spans="1:12" x14ac:dyDescent="0.2">
      <c r="A14654"/>
      <c r="B14654"/>
      <c r="C14654"/>
      <c r="D14654"/>
      <c r="E14654"/>
      <c r="F14654"/>
      <c r="G14654"/>
      <c r="H14654"/>
      <c r="I14654"/>
      <c r="J14654"/>
      <c r="K14654" s="1"/>
      <c r="L14654" s="2"/>
    </row>
    <row r="14655" spans="1:12" x14ac:dyDescent="0.2">
      <c r="A14655"/>
      <c r="B14655"/>
      <c r="C14655"/>
      <c r="D14655"/>
      <c r="E14655"/>
      <c r="F14655"/>
      <c r="G14655"/>
      <c r="H14655"/>
      <c r="I14655"/>
      <c r="J14655"/>
      <c r="K14655" s="1"/>
      <c r="L14655" s="2"/>
    </row>
    <row r="14656" spans="1:12" x14ac:dyDescent="0.2">
      <c r="A14656"/>
      <c r="B14656"/>
      <c r="C14656"/>
      <c r="D14656"/>
      <c r="E14656"/>
      <c r="F14656"/>
      <c r="G14656"/>
      <c r="H14656"/>
      <c r="I14656"/>
      <c r="J14656"/>
      <c r="K14656" s="1"/>
      <c r="L14656" s="2"/>
    </row>
    <row r="14657" spans="1:12" x14ac:dyDescent="0.2">
      <c r="A14657"/>
      <c r="B14657"/>
      <c r="C14657"/>
      <c r="D14657"/>
      <c r="E14657"/>
      <c r="F14657"/>
      <c r="G14657"/>
      <c r="H14657"/>
      <c r="I14657"/>
      <c r="J14657"/>
      <c r="K14657" s="1"/>
      <c r="L14657" s="2"/>
    </row>
    <row r="14658" spans="1:12" x14ac:dyDescent="0.2">
      <c r="A14658"/>
      <c r="B14658"/>
      <c r="C14658"/>
      <c r="D14658"/>
      <c r="E14658"/>
      <c r="F14658"/>
      <c r="G14658"/>
      <c r="H14658"/>
      <c r="I14658"/>
      <c r="J14658"/>
      <c r="K14658" s="1"/>
      <c r="L14658" s="2"/>
    </row>
    <row r="14659" spans="1:12" x14ac:dyDescent="0.2">
      <c r="A14659"/>
      <c r="B14659"/>
      <c r="C14659"/>
      <c r="D14659"/>
      <c r="E14659"/>
      <c r="F14659"/>
      <c r="G14659"/>
      <c r="H14659"/>
      <c r="I14659"/>
      <c r="J14659"/>
      <c r="K14659" s="1"/>
      <c r="L14659" s="2"/>
    </row>
    <row r="14660" spans="1:12" x14ac:dyDescent="0.2">
      <c r="A14660"/>
      <c r="B14660"/>
      <c r="C14660"/>
      <c r="D14660"/>
      <c r="E14660"/>
      <c r="F14660"/>
      <c r="G14660"/>
      <c r="H14660"/>
      <c r="I14660"/>
      <c r="J14660"/>
      <c r="K14660" s="1"/>
      <c r="L14660" s="2"/>
    </row>
    <row r="14661" spans="1:12" x14ac:dyDescent="0.2">
      <c r="A14661"/>
      <c r="B14661"/>
      <c r="C14661"/>
      <c r="D14661"/>
      <c r="E14661"/>
      <c r="F14661"/>
      <c r="G14661"/>
      <c r="H14661"/>
      <c r="I14661"/>
      <c r="J14661"/>
      <c r="K14661" s="1"/>
      <c r="L14661" s="2"/>
    </row>
    <row r="14662" spans="1:12" x14ac:dyDescent="0.2">
      <c r="A14662"/>
      <c r="B14662"/>
      <c r="C14662"/>
      <c r="D14662"/>
      <c r="E14662"/>
      <c r="F14662"/>
      <c r="G14662"/>
      <c r="H14662"/>
      <c r="I14662"/>
      <c r="J14662"/>
      <c r="K14662" s="1"/>
      <c r="L14662" s="2"/>
    </row>
    <row r="14663" spans="1:12" x14ac:dyDescent="0.2">
      <c r="A14663"/>
      <c r="B14663"/>
      <c r="C14663"/>
      <c r="D14663"/>
      <c r="E14663"/>
      <c r="F14663"/>
      <c r="G14663"/>
      <c r="H14663"/>
      <c r="I14663"/>
      <c r="J14663"/>
      <c r="K14663" s="1"/>
      <c r="L14663" s="2"/>
    </row>
    <row r="14664" spans="1:12" x14ac:dyDescent="0.2">
      <c r="A14664"/>
      <c r="B14664"/>
      <c r="C14664"/>
      <c r="D14664"/>
      <c r="E14664"/>
      <c r="F14664"/>
      <c r="G14664"/>
      <c r="H14664"/>
      <c r="I14664"/>
      <c r="J14664"/>
      <c r="K14664" s="1"/>
      <c r="L14664" s="2"/>
    </row>
    <row r="14665" spans="1:12" x14ac:dyDescent="0.2">
      <c r="A14665"/>
      <c r="B14665"/>
      <c r="C14665"/>
      <c r="D14665"/>
      <c r="E14665"/>
      <c r="F14665"/>
      <c r="G14665"/>
      <c r="H14665"/>
      <c r="I14665"/>
      <c r="J14665"/>
      <c r="K14665" s="1"/>
      <c r="L14665" s="2"/>
    </row>
    <row r="14666" spans="1:12" x14ac:dyDescent="0.2">
      <c r="A14666"/>
      <c r="B14666"/>
      <c r="C14666"/>
      <c r="D14666"/>
      <c r="E14666"/>
      <c r="F14666"/>
      <c r="G14666"/>
      <c r="H14666"/>
      <c r="I14666"/>
      <c r="J14666"/>
      <c r="K14666" s="1"/>
      <c r="L14666" s="2"/>
    </row>
    <row r="14667" spans="1:12" x14ac:dyDescent="0.2">
      <c r="A14667"/>
      <c r="B14667"/>
      <c r="C14667"/>
      <c r="D14667"/>
      <c r="E14667"/>
      <c r="F14667"/>
      <c r="G14667"/>
      <c r="H14667"/>
      <c r="I14667"/>
      <c r="J14667"/>
      <c r="K14667" s="1"/>
      <c r="L14667" s="2"/>
    </row>
    <row r="14668" spans="1:12" x14ac:dyDescent="0.2">
      <c r="A14668"/>
      <c r="B14668"/>
      <c r="C14668"/>
      <c r="D14668"/>
      <c r="E14668"/>
      <c r="F14668"/>
      <c r="G14668"/>
      <c r="H14668"/>
      <c r="I14668"/>
      <c r="J14668"/>
      <c r="K14668" s="1"/>
      <c r="L14668" s="2"/>
    </row>
    <row r="14669" spans="1:12" x14ac:dyDescent="0.2">
      <c r="A14669"/>
      <c r="B14669"/>
      <c r="C14669"/>
      <c r="D14669"/>
      <c r="E14669"/>
      <c r="F14669"/>
      <c r="G14669"/>
      <c r="H14669"/>
      <c r="I14669"/>
      <c r="J14669"/>
      <c r="K14669" s="1"/>
      <c r="L14669" s="2"/>
    </row>
    <row r="14670" spans="1:12" x14ac:dyDescent="0.2">
      <c r="A14670"/>
      <c r="B14670"/>
      <c r="C14670"/>
      <c r="D14670"/>
      <c r="E14670"/>
      <c r="F14670"/>
      <c r="G14670"/>
      <c r="H14670"/>
      <c r="I14670"/>
      <c r="J14670"/>
      <c r="K14670" s="1"/>
      <c r="L14670" s="2"/>
    </row>
    <row r="14671" spans="1:12" x14ac:dyDescent="0.2">
      <c r="A14671"/>
      <c r="B14671"/>
      <c r="C14671"/>
      <c r="D14671"/>
      <c r="E14671"/>
      <c r="F14671"/>
      <c r="G14671"/>
      <c r="H14671"/>
      <c r="I14671"/>
      <c r="J14671"/>
      <c r="K14671" s="1"/>
      <c r="L14671" s="2"/>
    </row>
    <row r="14672" spans="1:12" x14ac:dyDescent="0.2">
      <c r="A14672"/>
      <c r="B14672"/>
      <c r="C14672"/>
      <c r="D14672"/>
      <c r="E14672"/>
      <c r="F14672"/>
      <c r="G14672"/>
      <c r="H14672"/>
      <c r="I14672"/>
      <c r="J14672"/>
      <c r="K14672" s="1"/>
      <c r="L14672" s="2"/>
    </row>
    <row r="14673" spans="1:12" x14ac:dyDescent="0.2">
      <c r="A14673"/>
      <c r="B14673"/>
      <c r="C14673"/>
      <c r="D14673"/>
      <c r="E14673"/>
      <c r="F14673"/>
      <c r="G14673"/>
      <c r="H14673"/>
      <c r="I14673"/>
      <c r="J14673"/>
      <c r="K14673" s="1"/>
      <c r="L14673" s="2"/>
    </row>
    <row r="14674" spans="1:12" x14ac:dyDescent="0.2">
      <c r="A14674"/>
      <c r="B14674"/>
      <c r="C14674"/>
      <c r="D14674"/>
      <c r="E14674"/>
      <c r="F14674"/>
      <c r="G14674"/>
      <c r="H14674"/>
      <c r="I14674"/>
      <c r="J14674"/>
      <c r="K14674" s="1"/>
      <c r="L14674" s="2"/>
    </row>
    <row r="14675" spans="1:12" x14ac:dyDescent="0.2">
      <c r="A14675"/>
      <c r="B14675"/>
      <c r="C14675"/>
      <c r="D14675"/>
      <c r="E14675"/>
      <c r="F14675"/>
      <c r="G14675"/>
      <c r="H14675"/>
      <c r="I14675"/>
      <c r="J14675"/>
      <c r="K14675" s="1"/>
      <c r="L14675" s="2"/>
    </row>
    <row r="14676" spans="1:12" x14ac:dyDescent="0.2">
      <c r="A14676"/>
      <c r="B14676"/>
      <c r="C14676"/>
      <c r="D14676"/>
      <c r="E14676"/>
      <c r="F14676"/>
      <c r="G14676"/>
      <c r="H14676"/>
      <c r="I14676"/>
      <c r="J14676"/>
      <c r="K14676" s="1"/>
      <c r="L14676" s="2"/>
    </row>
    <row r="14677" spans="1:12" x14ac:dyDescent="0.2">
      <c r="A14677"/>
      <c r="B14677"/>
      <c r="C14677"/>
      <c r="D14677"/>
      <c r="E14677"/>
      <c r="F14677"/>
      <c r="G14677"/>
      <c r="H14677"/>
      <c r="I14677"/>
      <c r="J14677"/>
      <c r="K14677" s="1"/>
      <c r="L14677" s="2"/>
    </row>
    <row r="14678" spans="1:12" x14ac:dyDescent="0.2">
      <c r="A14678"/>
      <c r="B14678"/>
      <c r="C14678"/>
      <c r="D14678"/>
      <c r="E14678"/>
      <c r="F14678"/>
      <c r="G14678"/>
      <c r="H14678"/>
      <c r="I14678"/>
      <c r="J14678"/>
      <c r="K14678" s="1"/>
      <c r="L14678" s="2"/>
    </row>
    <row r="14679" spans="1:12" x14ac:dyDescent="0.2">
      <c r="A14679"/>
      <c r="B14679"/>
      <c r="C14679"/>
      <c r="D14679"/>
      <c r="E14679"/>
      <c r="F14679"/>
      <c r="G14679"/>
      <c r="H14679"/>
      <c r="I14679"/>
      <c r="J14679"/>
      <c r="K14679" s="1"/>
      <c r="L14679" s="2"/>
    </row>
    <row r="14680" spans="1:12" x14ac:dyDescent="0.2">
      <c r="A14680"/>
      <c r="B14680"/>
      <c r="C14680"/>
      <c r="D14680"/>
      <c r="E14680"/>
      <c r="F14680"/>
      <c r="G14680"/>
      <c r="H14680"/>
      <c r="I14680"/>
      <c r="J14680"/>
      <c r="K14680" s="1"/>
      <c r="L14680" s="2"/>
    </row>
    <row r="14681" spans="1:12" x14ac:dyDescent="0.2">
      <c r="A14681"/>
      <c r="B14681"/>
      <c r="C14681"/>
      <c r="D14681"/>
      <c r="E14681"/>
      <c r="F14681"/>
      <c r="G14681"/>
      <c r="H14681"/>
      <c r="I14681"/>
      <c r="J14681"/>
      <c r="K14681" s="1"/>
      <c r="L14681" s="2"/>
    </row>
    <row r="14682" spans="1:12" x14ac:dyDescent="0.2">
      <c r="A14682"/>
      <c r="B14682"/>
      <c r="C14682"/>
      <c r="D14682"/>
      <c r="E14682"/>
      <c r="F14682"/>
      <c r="G14682"/>
      <c r="H14682"/>
      <c r="I14682"/>
      <c r="J14682"/>
      <c r="K14682" s="1"/>
      <c r="L14682" s="2"/>
    </row>
    <row r="14683" spans="1:12" x14ac:dyDescent="0.2">
      <c r="A14683"/>
      <c r="B14683"/>
      <c r="C14683"/>
      <c r="D14683"/>
      <c r="E14683"/>
      <c r="F14683"/>
      <c r="G14683"/>
      <c r="H14683"/>
      <c r="I14683"/>
      <c r="J14683"/>
      <c r="K14683" s="1"/>
      <c r="L14683" s="2"/>
    </row>
    <row r="14684" spans="1:12" x14ac:dyDescent="0.2">
      <c r="A14684"/>
      <c r="B14684"/>
      <c r="C14684"/>
      <c r="D14684"/>
      <c r="E14684"/>
      <c r="F14684"/>
      <c r="G14684"/>
      <c r="H14684"/>
      <c r="I14684"/>
      <c r="J14684"/>
      <c r="K14684" s="1"/>
      <c r="L14684" s="2"/>
    </row>
    <row r="14685" spans="1:12" x14ac:dyDescent="0.2">
      <c r="A14685"/>
      <c r="B14685"/>
      <c r="C14685"/>
      <c r="D14685"/>
      <c r="E14685"/>
      <c r="F14685"/>
      <c r="G14685"/>
      <c r="H14685"/>
      <c r="I14685"/>
      <c r="J14685"/>
      <c r="K14685" s="1"/>
      <c r="L14685" s="2"/>
    </row>
    <row r="14686" spans="1:12" x14ac:dyDescent="0.2">
      <c r="A14686"/>
      <c r="B14686"/>
      <c r="C14686"/>
      <c r="D14686"/>
      <c r="E14686"/>
      <c r="F14686"/>
      <c r="G14686"/>
      <c r="H14686"/>
      <c r="I14686"/>
      <c r="J14686"/>
      <c r="K14686" s="1"/>
      <c r="L14686" s="2"/>
    </row>
    <row r="14687" spans="1:12" x14ac:dyDescent="0.2">
      <c r="A14687"/>
      <c r="B14687"/>
      <c r="C14687"/>
      <c r="D14687"/>
      <c r="E14687"/>
      <c r="F14687"/>
      <c r="G14687"/>
      <c r="H14687"/>
      <c r="I14687"/>
      <c r="J14687"/>
      <c r="K14687" s="1"/>
      <c r="L14687" s="2"/>
    </row>
    <row r="14688" spans="1:12" x14ac:dyDescent="0.2">
      <c r="A14688"/>
      <c r="B14688"/>
      <c r="C14688"/>
      <c r="D14688"/>
      <c r="E14688"/>
      <c r="F14688"/>
      <c r="G14688"/>
      <c r="H14688"/>
      <c r="I14688"/>
      <c r="J14688"/>
      <c r="K14688" s="1"/>
      <c r="L14688" s="2"/>
    </row>
    <row r="14689" spans="1:12" x14ac:dyDescent="0.2">
      <c r="A14689"/>
      <c r="B14689"/>
      <c r="C14689"/>
      <c r="D14689"/>
      <c r="E14689"/>
      <c r="F14689"/>
      <c r="G14689"/>
      <c r="H14689"/>
      <c r="I14689"/>
      <c r="J14689"/>
      <c r="K14689" s="1"/>
      <c r="L14689" s="2"/>
    </row>
    <row r="14690" spans="1:12" x14ac:dyDescent="0.2">
      <c r="A14690"/>
      <c r="B14690"/>
      <c r="C14690"/>
      <c r="D14690"/>
      <c r="E14690"/>
      <c r="F14690"/>
      <c r="G14690"/>
      <c r="H14690"/>
      <c r="I14690"/>
      <c r="J14690"/>
      <c r="K14690" s="1"/>
      <c r="L14690" s="2"/>
    </row>
    <row r="14691" spans="1:12" x14ac:dyDescent="0.2">
      <c r="A14691"/>
      <c r="B14691"/>
      <c r="C14691"/>
      <c r="D14691"/>
      <c r="E14691"/>
      <c r="F14691"/>
      <c r="G14691"/>
      <c r="H14691"/>
      <c r="I14691"/>
      <c r="J14691"/>
      <c r="K14691" s="1"/>
      <c r="L14691" s="2"/>
    </row>
    <row r="14692" spans="1:12" x14ac:dyDescent="0.2">
      <c r="A14692"/>
      <c r="B14692"/>
      <c r="C14692"/>
      <c r="D14692"/>
      <c r="E14692"/>
      <c r="F14692"/>
      <c r="G14692"/>
      <c r="H14692"/>
      <c r="I14692"/>
      <c r="J14692"/>
      <c r="K14692" s="1"/>
      <c r="L14692" s="2"/>
    </row>
    <row r="14693" spans="1:12" x14ac:dyDescent="0.2">
      <c r="A14693"/>
      <c r="B14693"/>
      <c r="C14693"/>
      <c r="D14693"/>
      <c r="E14693"/>
      <c r="F14693"/>
      <c r="G14693"/>
      <c r="H14693"/>
      <c r="I14693"/>
      <c r="J14693"/>
      <c r="K14693" s="1"/>
      <c r="L14693" s="2"/>
    </row>
    <row r="14694" spans="1:12" x14ac:dyDescent="0.2">
      <c r="A14694"/>
      <c r="B14694"/>
      <c r="C14694"/>
      <c r="D14694"/>
      <c r="E14694"/>
      <c r="F14694"/>
      <c r="G14694"/>
      <c r="H14694"/>
      <c r="I14694"/>
      <c r="J14694"/>
      <c r="K14694" s="1"/>
      <c r="L14694" s="2"/>
    </row>
    <row r="14695" spans="1:12" x14ac:dyDescent="0.2">
      <c r="A14695"/>
      <c r="B14695"/>
      <c r="C14695"/>
      <c r="D14695"/>
      <c r="E14695"/>
      <c r="F14695"/>
      <c r="G14695"/>
      <c r="H14695"/>
      <c r="I14695"/>
      <c r="J14695"/>
      <c r="K14695" s="1"/>
      <c r="L14695" s="2"/>
    </row>
    <row r="14696" spans="1:12" x14ac:dyDescent="0.2">
      <c r="A14696"/>
      <c r="B14696"/>
      <c r="C14696"/>
      <c r="D14696"/>
      <c r="E14696"/>
      <c r="F14696"/>
      <c r="G14696"/>
      <c r="H14696"/>
      <c r="I14696"/>
      <c r="J14696"/>
      <c r="K14696" s="1"/>
      <c r="L14696" s="2"/>
    </row>
    <row r="14697" spans="1:12" x14ac:dyDescent="0.2">
      <c r="A14697"/>
      <c r="B14697"/>
      <c r="C14697"/>
      <c r="D14697"/>
      <c r="E14697"/>
      <c r="F14697"/>
      <c r="G14697"/>
      <c r="H14697"/>
      <c r="I14697"/>
      <c r="J14697"/>
      <c r="K14697" s="1"/>
      <c r="L14697" s="2"/>
    </row>
    <row r="14698" spans="1:12" x14ac:dyDescent="0.2">
      <c r="A14698"/>
      <c r="B14698"/>
      <c r="C14698"/>
      <c r="D14698"/>
      <c r="E14698"/>
      <c r="F14698"/>
      <c r="G14698"/>
      <c r="H14698"/>
      <c r="I14698"/>
      <c r="J14698"/>
      <c r="K14698" s="1"/>
      <c r="L14698" s="2"/>
    </row>
    <row r="14699" spans="1:12" x14ac:dyDescent="0.2">
      <c r="A14699"/>
      <c r="B14699"/>
      <c r="C14699"/>
      <c r="D14699"/>
      <c r="E14699"/>
      <c r="F14699"/>
      <c r="G14699"/>
      <c r="H14699"/>
      <c r="I14699"/>
      <c r="J14699"/>
      <c r="K14699" s="1"/>
      <c r="L14699" s="2"/>
    </row>
    <row r="14700" spans="1:12" x14ac:dyDescent="0.2">
      <c r="A14700"/>
      <c r="B14700"/>
      <c r="C14700"/>
      <c r="D14700"/>
      <c r="E14700"/>
      <c r="F14700"/>
      <c r="G14700"/>
      <c r="H14700"/>
      <c r="I14700"/>
      <c r="J14700"/>
      <c r="K14700" s="1"/>
      <c r="L14700" s="2"/>
    </row>
    <row r="14701" spans="1:12" x14ac:dyDescent="0.2">
      <c r="A14701"/>
      <c r="B14701"/>
      <c r="C14701"/>
      <c r="D14701"/>
      <c r="E14701"/>
      <c r="F14701"/>
      <c r="G14701"/>
      <c r="H14701"/>
      <c r="I14701"/>
      <c r="J14701"/>
      <c r="K14701" s="1"/>
      <c r="L14701" s="2"/>
    </row>
    <row r="14702" spans="1:12" x14ac:dyDescent="0.2">
      <c r="A14702"/>
      <c r="B14702"/>
      <c r="C14702"/>
      <c r="D14702"/>
      <c r="E14702"/>
      <c r="F14702"/>
      <c r="G14702"/>
      <c r="H14702"/>
      <c r="I14702"/>
      <c r="J14702"/>
      <c r="K14702" s="1"/>
      <c r="L14702" s="2"/>
    </row>
    <row r="14703" spans="1:12" x14ac:dyDescent="0.2">
      <c r="A14703"/>
      <c r="B14703"/>
      <c r="C14703"/>
      <c r="D14703"/>
      <c r="E14703"/>
      <c r="F14703"/>
      <c r="G14703"/>
      <c r="H14703"/>
      <c r="I14703"/>
      <c r="J14703"/>
      <c r="K14703" s="1"/>
      <c r="L14703" s="2"/>
    </row>
    <row r="14704" spans="1:12" x14ac:dyDescent="0.2">
      <c r="A14704"/>
      <c r="B14704"/>
      <c r="C14704"/>
      <c r="D14704"/>
      <c r="E14704"/>
      <c r="F14704"/>
      <c r="G14704"/>
      <c r="H14704"/>
      <c r="I14704"/>
      <c r="J14704"/>
      <c r="K14704" s="1"/>
      <c r="L14704" s="2"/>
    </row>
    <row r="14705" spans="1:12" x14ac:dyDescent="0.2">
      <c r="A14705"/>
      <c r="B14705"/>
      <c r="C14705"/>
      <c r="D14705"/>
      <c r="E14705"/>
      <c r="F14705"/>
      <c r="G14705"/>
      <c r="H14705"/>
      <c r="I14705"/>
      <c r="J14705"/>
      <c r="K14705" s="1"/>
      <c r="L14705" s="2"/>
    </row>
    <row r="14706" spans="1:12" x14ac:dyDescent="0.2">
      <c r="A14706"/>
      <c r="B14706"/>
      <c r="C14706"/>
      <c r="D14706"/>
      <c r="E14706"/>
      <c r="F14706"/>
      <c r="G14706"/>
      <c r="H14706"/>
      <c r="I14706"/>
      <c r="J14706"/>
      <c r="K14706" s="1"/>
      <c r="L14706" s="2"/>
    </row>
    <row r="14707" spans="1:12" x14ac:dyDescent="0.2">
      <c r="A14707"/>
      <c r="B14707"/>
      <c r="C14707"/>
      <c r="D14707"/>
      <c r="E14707"/>
      <c r="F14707"/>
      <c r="G14707"/>
      <c r="H14707"/>
      <c r="I14707"/>
      <c r="J14707"/>
      <c r="K14707" s="1"/>
      <c r="L14707" s="2"/>
    </row>
    <row r="14708" spans="1:12" x14ac:dyDescent="0.2">
      <c r="A14708"/>
      <c r="B14708"/>
      <c r="C14708"/>
      <c r="D14708"/>
      <c r="E14708"/>
      <c r="F14708"/>
      <c r="G14708"/>
      <c r="H14708"/>
      <c r="I14708"/>
      <c r="J14708"/>
      <c r="K14708" s="1"/>
      <c r="L14708" s="2"/>
    </row>
    <row r="14709" spans="1:12" x14ac:dyDescent="0.2">
      <c r="A14709"/>
      <c r="B14709"/>
      <c r="C14709"/>
      <c r="D14709"/>
      <c r="E14709"/>
      <c r="F14709"/>
      <c r="G14709"/>
      <c r="H14709"/>
      <c r="I14709"/>
      <c r="J14709"/>
      <c r="K14709" s="1"/>
      <c r="L14709" s="2"/>
    </row>
    <row r="14710" spans="1:12" x14ac:dyDescent="0.2">
      <c r="A14710"/>
      <c r="B14710"/>
      <c r="C14710"/>
      <c r="D14710"/>
      <c r="E14710"/>
      <c r="F14710"/>
      <c r="G14710"/>
      <c r="H14710"/>
      <c r="I14710"/>
      <c r="J14710"/>
      <c r="K14710" s="1"/>
      <c r="L14710" s="2"/>
    </row>
    <row r="14711" spans="1:12" x14ac:dyDescent="0.2">
      <c r="A14711"/>
      <c r="B14711"/>
      <c r="C14711"/>
      <c r="D14711"/>
      <c r="E14711"/>
      <c r="F14711"/>
      <c r="G14711"/>
      <c r="H14711"/>
      <c r="I14711"/>
      <c r="J14711"/>
      <c r="K14711" s="1"/>
      <c r="L14711" s="2"/>
    </row>
    <row r="14712" spans="1:12" x14ac:dyDescent="0.2">
      <c r="A14712"/>
      <c r="B14712"/>
      <c r="C14712"/>
      <c r="D14712"/>
      <c r="E14712"/>
      <c r="F14712"/>
      <c r="G14712"/>
      <c r="H14712"/>
      <c r="I14712"/>
      <c r="J14712"/>
      <c r="K14712" s="1"/>
      <c r="L14712" s="2"/>
    </row>
    <row r="14713" spans="1:12" x14ac:dyDescent="0.2">
      <c r="A14713"/>
      <c r="B14713"/>
      <c r="C14713"/>
      <c r="D14713"/>
      <c r="E14713"/>
      <c r="F14713"/>
      <c r="G14713"/>
      <c r="H14713"/>
      <c r="I14713"/>
      <c r="J14713"/>
      <c r="K14713" s="1"/>
      <c r="L14713" s="2"/>
    </row>
    <row r="14714" spans="1:12" x14ac:dyDescent="0.2">
      <c r="A14714"/>
      <c r="B14714"/>
      <c r="C14714"/>
      <c r="D14714"/>
      <c r="E14714"/>
      <c r="F14714"/>
      <c r="G14714"/>
      <c r="H14714"/>
      <c r="I14714"/>
      <c r="J14714"/>
      <c r="K14714" s="1"/>
      <c r="L14714" s="2"/>
    </row>
    <row r="14715" spans="1:12" x14ac:dyDescent="0.2">
      <c r="A14715"/>
      <c r="B14715"/>
      <c r="C14715"/>
      <c r="D14715"/>
      <c r="E14715"/>
      <c r="F14715"/>
      <c r="G14715"/>
      <c r="H14715"/>
      <c r="I14715"/>
      <c r="J14715"/>
      <c r="K14715" s="1"/>
      <c r="L14715" s="2"/>
    </row>
    <row r="14716" spans="1:12" x14ac:dyDescent="0.2">
      <c r="A14716"/>
      <c r="B14716"/>
      <c r="C14716"/>
      <c r="D14716"/>
      <c r="E14716"/>
      <c r="F14716"/>
      <c r="G14716"/>
      <c r="H14716"/>
      <c r="I14716"/>
      <c r="J14716"/>
      <c r="K14716" s="1"/>
      <c r="L14716" s="2"/>
    </row>
    <row r="14717" spans="1:12" x14ac:dyDescent="0.2">
      <c r="A14717"/>
      <c r="B14717"/>
      <c r="C14717"/>
      <c r="D14717"/>
      <c r="E14717"/>
      <c r="F14717"/>
      <c r="G14717"/>
      <c r="H14717"/>
      <c r="I14717"/>
      <c r="J14717"/>
      <c r="K14717" s="1"/>
      <c r="L14717" s="2"/>
    </row>
    <row r="14718" spans="1:12" x14ac:dyDescent="0.2">
      <c r="A14718"/>
      <c r="B14718"/>
      <c r="C14718"/>
      <c r="D14718"/>
      <c r="E14718"/>
      <c r="F14718"/>
      <c r="G14718"/>
      <c r="H14718"/>
      <c r="I14718"/>
      <c r="J14718"/>
      <c r="K14718" s="1"/>
      <c r="L14718" s="2"/>
    </row>
    <row r="14719" spans="1:12" x14ac:dyDescent="0.2">
      <c r="A14719"/>
      <c r="B14719"/>
      <c r="C14719"/>
      <c r="D14719"/>
      <c r="E14719"/>
      <c r="F14719"/>
      <c r="G14719"/>
      <c r="H14719"/>
      <c r="I14719"/>
      <c r="J14719"/>
      <c r="K14719" s="1"/>
      <c r="L14719" s="2"/>
    </row>
    <row r="14720" spans="1:12" x14ac:dyDescent="0.2">
      <c r="A14720"/>
      <c r="B14720"/>
      <c r="C14720"/>
      <c r="D14720"/>
      <c r="E14720"/>
      <c r="F14720"/>
      <c r="G14720"/>
      <c r="H14720"/>
      <c r="I14720"/>
      <c r="J14720"/>
      <c r="K14720" s="1"/>
      <c r="L14720" s="2"/>
    </row>
    <row r="14721" spans="1:12" x14ac:dyDescent="0.2">
      <c r="A14721"/>
      <c r="B14721"/>
      <c r="C14721"/>
      <c r="D14721"/>
      <c r="E14721"/>
      <c r="F14721"/>
      <c r="G14721"/>
      <c r="H14721"/>
      <c r="I14721"/>
      <c r="J14721"/>
      <c r="K14721" s="1"/>
      <c r="L14721" s="2"/>
    </row>
    <row r="14722" spans="1:12" x14ac:dyDescent="0.2">
      <c r="A14722"/>
      <c r="B14722"/>
      <c r="C14722"/>
      <c r="D14722"/>
      <c r="E14722"/>
      <c r="F14722"/>
      <c r="G14722"/>
      <c r="H14722"/>
      <c r="I14722"/>
      <c r="J14722"/>
      <c r="K14722" s="1"/>
      <c r="L14722" s="2"/>
    </row>
    <row r="14723" spans="1:12" x14ac:dyDescent="0.2">
      <c r="A14723"/>
      <c r="B14723"/>
      <c r="C14723"/>
      <c r="D14723"/>
      <c r="E14723"/>
      <c r="F14723"/>
      <c r="G14723"/>
      <c r="H14723"/>
      <c r="I14723"/>
      <c r="J14723"/>
      <c r="K14723" s="1"/>
      <c r="L14723" s="2"/>
    </row>
    <row r="14724" spans="1:12" x14ac:dyDescent="0.2">
      <c r="A14724"/>
      <c r="B14724"/>
      <c r="C14724"/>
      <c r="D14724"/>
      <c r="E14724"/>
      <c r="F14724"/>
      <c r="G14724"/>
      <c r="H14724"/>
      <c r="I14724"/>
      <c r="J14724"/>
      <c r="K14724" s="1"/>
      <c r="L14724" s="2"/>
    </row>
    <row r="14725" spans="1:12" x14ac:dyDescent="0.2">
      <c r="A14725"/>
      <c r="B14725"/>
      <c r="C14725"/>
      <c r="D14725"/>
      <c r="E14725"/>
      <c r="F14725"/>
      <c r="G14725"/>
      <c r="H14725"/>
      <c r="I14725"/>
      <c r="J14725"/>
      <c r="K14725" s="1"/>
      <c r="L14725" s="2"/>
    </row>
    <row r="14726" spans="1:12" x14ac:dyDescent="0.2">
      <c r="A14726"/>
      <c r="B14726"/>
      <c r="C14726"/>
      <c r="D14726"/>
      <c r="E14726"/>
      <c r="F14726"/>
      <c r="G14726"/>
      <c r="H14726"/>
      <c r="I14726"/>
      <c r="J14726"/>
      <c r="K14726" s="1"/>
      <c r="L14726" s="2"/>
    </row>
    <row r="14727" spans="1:12" x14ac:dyDescent="0.2">
      <c r="A14727"/>
      <c r="B14727"/>
      <c r="C14727"/>
      <c r="D14727"/>
      <c r="E14727"/>
      <c r="F14727"/>
      <c r="G14727"/>
      <c r="H14727"/>
      <c r="I14727"/>
      <c r="J14727"/>
      <c r="K14727" s="1"/>
      <c r="L14727" s="2"/>
    </row>
    <row r="14728" spans="1:12" x14ac:dyDescent="0.2">
      <c r="A14728"/>
      <c r="B14728"/>
      <c r="C14728"/>
      <c r="D14728"/>
      <c r="E14728"/>
      <c r="F14728"/>
      <c r="G14728"/>
      <c r="H14728"/>
      <c r="I14728"/>
      <c r="J14728"/>
      <c r="K14728" s="1"/>
      <c r="L14728" s="2"/>
    </row>
    <row r="14729" spans="1:12" x14ac:dyDescent="0.2">
      <c r="A14729"/>
      <c r="B14729"/>
      <c r="C14729"/>
      <c r="D14729"/>
      <c r="E14729"/>
      <c r="F14729"/>
      <c r="G14729"/>
      <c r="H14729"/>
      <c r="I14729"/>
      <c r="J14729"/>
      <c r="K14729" s="1"/>
      <c r="L14729" s="2"/>
    </row>
    <row r="14730" spans="1:12" x14ac:dyDescent="0.2">
      <c r="A14730"/>
      <c r="B14730"/>
      <c r="C14730"/>
      <c r="D14730"/>
      <c r="E14730"/>
      <c r="F14730"/>
      <c r="G14730"/>
      <c r="H14730"/>
      <c r="I14730"/>
      <c r="J14730"/>
      <c r="K14730" s="1"/>
      <c r="L14730" s="2"/>
    </row>
    <row r="14731" spans="1:12" x14ac:dyDescent="0.2">
      <c r="A14731"/>
      <c r="B14731"/>
      <c r="C14731"/>
      <c r="D14731"/>
      <c r="E14731"/>
      <c r="F14731"/>
      <c r="G14731"/>
      <c r="H14731"/>
      <c r="I14731"/>
      <c r="J14731"/>
      <c r="K14731" s="1"/>
      <c r="L14731" s="2"/>
    </row>
    <row r="14732" spans="1:12" x14ac:dyDescent="0.2">
      <c r="A14732"/>
      <c r="B14732"/>
      <c r="C14732"/>
      <c r="D14732"/>
      <c r="E14732"/>
      <c r="F14732"/>
      <c r="G14732"/>
      <c r="H14732"/>
      <c r="I14732"/>
      <c r="J14732"/>
      <c r="K14732" s="1"/>
      <c r="L14732" s="2"/>
    </row>
    <row r="14733" spans="1:12" x14ac:dyDescent="0.2">
      <c r="A14733"/>
      <c r="B14733"/>
      <c r="C14733"/>
      <c r="D14733"/>
      <c r="E14733"/>
      <c r="F14733"/>
      <c r="G14733"/>
      <c r="H14733"/>
      <c r="I14733"/>
      <c r="J14733"/>
      <c r="K14733" s="1"/>
      <c r="L14733" s="2"/>
    </row>
    <row r="14734" spans="1:12" x14ac:dyDescent="0.2">
      <c r="A14734"/>
      <c r="B14734"/>
      <c r="C14734"/>
      <c r="D14734"/>
      <c r="E14734"/>
      <c r="F14734"/>
      <c r="G14734"/>
      <c r="H14734"/>
      <c r="I14734"/>
      <c r="J14734"/>
      <c r="K14734" s="1"/>
      <c r="L14734" s="2"/>
    </row>
    <row r="14735" spans="1:12" x14ac:dyDescent="0.2">
      <c r="A14735"/>
      <c r="B14735"/>
      <c r="C14735"/>
      <c r="D14735"/>
      <c r="E14735"/>
      <c r="F14735"/>
      <c r="G14735"/>
      <c r="H14735"/>
      <c r="I14735"/>
      <c r="J14735"/>
      <c r="K14735" s="1"/>
      <c r="L14735" s="2"/>
    </row>
    <row r="14736" spans="1:12" x14ac:dyDescent="0.2">
      <c r="A14736"/>
      <c r="B14736"/>
      <c r="C14736"/>
      <c r="D14736"/>
      <c r="E14736"/>
      <c r="F14736"/>
      <c r="G14736"/>
      <c r="H14736"/>
      <c r="I14736"/>
      <c r="J14736"/>
      <c r="K14736" s="1"/>
      <c r="L14736" s="2"/>
    </row>
    <row r="14737" spans="1:12" x14ac:dyDescent="0.2">
      <c r="A14737"/>
      <c r="B14737"/>
      <c r="C14737"/>
      <c r="D14737"/>
      <c r="E14737"/>
      <c r="F14737"/>
      <c r="G14737"/>
      <c r="H14737"/>
      <c r="I14737"/>
      <c r="J14737"/>
      <c r="K14737" s="1"/>
      <c r="L14737" s="2"/>
    </row>
    <row r="14738" spans="1:12" x14ac:dyDescent="0.2">
      <c r="A14738"/>
      <c r="B14738"/>
      <c r="C14738"/>
      <c r="D14738"/>
      <c r="E14738"/>
      <c r="F14738"/>
      <c r="G14738"/>
      <c r="H14738"/>
      <c r="I14738"/>
      <c r="J14738"/>
      <c r="K14738" s="1"/>
      <c r="L14738" s="2"/>
    </row>
    <row r="14739" spans="1:12" x14ac:dyDescent="0.2">
      <c r="A14739"/>
      <c r="B14739"/>
      <c r="C14739"/>
      <c r="D14739"/>
      <c r="E14739"/>
      <c r="F14739"/>
      <c r="G14739"/>
      <c r="H14739"/>
      <c r="I14739"/>
      <c r="J14739"/>
      <c r="K14739" s="1"/>
      <c r="L14739" s="2"/>
    </row>
    <row r="14740" spans="1:12" x14ac:dyDescent="0.2">
      <c r="A14740"/>
      <c r="B14740"/>
      <c r="C14740"/>
      <c r="D14740"/>
      <c r="E14740"/>
      <c r="F14740"/>
      <c r="G14740"/>
      <c r="H14740"/>
      <c r="I14740"/>
      <c r="J14740"/>
      <c r="K14740" s="1"/>
      <c r="L14740" s="2"/>
    </row>
    <row r="14741" spans="1:12" x14ac:dyDescent="0.2">
      <c r="A14741"/>
      <c r="B14741"/>
      <c r="C14741"/>
      <c r="D14741"/>
      <c r="E14741"/>
      <c r="F14741"/>
      <c r="G14741"/>
      <c r="H14741"/>
      <c r="I14741"/>
      <c r="J14741"/>
      <c r="K14741" s="1"/>
      <c r="L14741" s="2"/>
    </row>
    <row r="14742" spans="1:12" x14ac:dyDescent="0.2">
      <c r="A14742"/>
      <c r="B14742"/>
      <c r="C14742"/>
      <c r="D14742"/>
      <c r="E14742"/>
      <c r="F14742"/>
      <c r="G14742"/>
      <c r="H14742"/>
      <c r="I14742"/>
      <c r="J14742"/>
      <c r="K14742" s="1"/>
      <c r="L14742" s="2"/>
    </row>
    <row r="14743" spans="1:12" x14ac:dyDescent="0.2">
      <c r="A14743"/>
      <c r="B14743"/>
      <c r="C14743"/>
      <c r="D14743"/>
      <c r="E14743"/>
      <c r="F14743"/>
      <c r="G14743"/>
      <c r="H14743"/>
      <c r="I14743"/>
      <c r="J14743"/>
      <c r="K14743" s="1"/>
      <c r="L14743" s="2"/>
    </row>
    <row r="14744" spans="1:12" x14ac:dyDescent="0.2">
      <c r="A14744"/>
      <c r="B14744"/>
      <c r="C14744"/>
      <c r="D14744"/>
      <c r="E14744"/>
      <c r="F14744"/>
      <c r="G14744"/>
      <c r="H14744"/>
      <c r="I14744"/>
      <c r="J14744"/>
      <c r="K14744" s="1"/>
      <c r="L14744" s="2"/>
    </row>
    <row r="14745" spans="1:12" x14ac:dyDescent="0.2">
      <c r="A14745"/>
      <c r="B14745"/>
      <c r="C14745"/>
      <c r="D14745"/>
      <c r="E14745"/>
      <c r="F14745"/>
      <c r="G14745"/>
      <c r="H14745"/>
      <c r="I14745"/>
      <c r="J14745"/>
      <c r="K14745" s="1"/>
      <c r="L14745" s="2"/>
    </row>
    <row r="14746" spans="1:12" x14ac:dyDescent="0.2">
      <c r="A14746"/>
      <c r="B14746"/>
      <c r="C14746"/>
      <c r="D14746"/>
      <c r="E14746"/>
      <c r="F14746"/>
      <c r="G14746"/>
      <c r="H14746"/>
      <c r="I14746"/>
      <c r="J14746"/>
      <c r="K14746" s="1"/>
      <c r="L14746" s="2"/>
    </row>
    <row r="14747" spans="1:12" x14ac:dyDescent="0.2">
      <c r="A14747"/>
      <c r="B14747"/>
      <c r="C14747"/>
      <c r="D14747"/>
      <c r="E14747"/>
      <c r="F14747"/>
      <c r="G14747"/>
      <c r="H14747"/>
      <c r="I14747"/>
      <c r="J14747"/>
      <c r="K14747" s="1"/>
      <c r="L14747" s="2"/>
    </row>
    <row r="14748" spans="1:12" x14ac:dyDescent="0.2">
      <c r="A14748"/>
      <c r="B14748"/>
      <c r="C14748"/>
      <c r="D14748"/>
      <c r="E14748"/>
      <c r="F14748"/>
      <c r="G14748"/>
      <c r="H14748"/>
      <c r="I14748"/>
      <c r="J14748"/>
      <c r="K14748" s="1"/>
      <c r="L14748" s="2"/>
    </row>
    <row r="14749" spans="1:12" x14ac:dyDescent="0.2">
      <c r="A14749"/>
      <c r="B14749"/>
      <c r="C14749"/>
      <c r="D14749"/>
      <c r="E14749"/>
      <c r="F14749"/>
      <c r="G14749"/>
      <c r="H14749"/>
      <c r="I14749"/>
      <c r="J14749"/>
      <c r="K14749" s="1"/>
      <c r="L14749" s="2"/>
    </row>
    <row r="14750" spans="1:12" x14ac:dyDescent="0.2">
      <c r="A14750"/>
      <c r="B14750"/>
      <c r="C14750"/>
      <c r="D14750"/>
      <c r="E14750"/>
      <c r="F14750"/>
      <c r="G14750"/>
      <c r="H14750"/>
      <c r="I14750"/>
      <c r="J14750"/>
      <c r="K14750" s="1"/>
      <c r="L14750" s="2"/>
    </row>
    <row r="14751" spans="1:12" x14ac:dyDescent="0.2">
      <c r="A14751"/>
      <c r="B14751"/>
      <c r="C14751"/>
      <c r="D14751"/>
      <c r="E14751"/>
      <c r="F14751"/>
      <c r="G14751"/>
      <c r="H14751"/>
      <c r="I14751"/>
      <c r="J14751"/>
      <c r="K14751" s="1"/>
      <c r="L14751" s="2"/>
    </row>
    <row r="14752" spans="1:12" x14ac:dyDescent="0.2">
      <c r="A14752"/>
      <c r="B14752"/>
      <c r="C14752"/>
      <c r="D14752"/>
      <c r="E14752"/>
      <c r="F14752"/>
      <c r="G14752"/>
      <c r="H14752"/>
      <c r="I14752"/>
      <c r="J14752"/>
      <c r="K14752" s="1"/>
      <c r="L14752" s="2"/>
    </row>
    <row r="14753" spans="1:12" x14ac:dyDescent="0.2">
      <c r="A14753"/>
      <c r="B14753"/>
      <c r="C14753"/>
      <c r="D14753"/>
      <c r="E14753"/>
      <c r="F14753"/>
      <c r="G14753"/>
      <c r="H14753"/>
      <c r="I14753"/>
      <c r="J14753"/>
      <c r="K14753" s="1"/>
      <c r="L14753" s="2"/>
    </row>
    <row r="14754" spans="1:12" x14ac:dyDescent="0.2">
      <c r="A14754"/>
      <c r="B14754"/>
      <c r="C14754"/>
      <c r="D14754"/>
      <c r="E14754"/>
      <c r="F14754"/>
      <c r="G14754"/>
      <c r="H14754"/>
      <c r="I14754"/>
      <c r="J14754"/>
      <c r="K14754" s="1"/>
      <c r="L14754" s="2"/>
    </row>
    <row r="14755" spans="1:12" x14ac:dyDescent="0.2">
      <c r="A14755"/>
      <c r="B14755"/>
      <c r="C14755"/>
      <c r="D14755"/>
      <c r="E14755"/>
      <c r="F14755"/>
      <c r="G14755"/>
      <c r="H14755"/>
      <c r="I14755"/>
      <c r="J14755"/>
      <c r="K14755" s="1"/>
      <c r="L14755" s="2"/>
    </row>
    <row r="14756" spans="1:12" x14ac:dyDescent="0.2">
      <c r="A14756"/>
      <c r="B14756"/>
      <c r="C14756"/>
      <c r="D14756"/>
      <c r="E14756"/>
      <c r="F14756"/>
      <c r="G14756"/>
      <c r="H14756"/>
      <c r="I14756"/>
      <c r="J14756"/>
      <c r="K14756" s="1"/>
      <c r="L14756" s="2"/>
    </row>
    <row r="14757" spans="1:12" x14ac:dyDescent="0.2">
      <c r="A14757"/>
      <c r="B14757"/>
      <c r="C14757"/>
      <c r="D14757"/>
      <c r="E14757"/>
      <c r="F14757"/>
      <c r="G14757"/>
      <c r="H14757"/>
      <c r="I14757"/>
      <c r="J14757"/>
      <c r="K14757" s="1"/>
      <c r="L14757" s="2"/>
    </row>
    <row r="14758" spans="1:12" x14ac:dyDescent="0.2">
      <c r="A14758"/>
      <c r="B14758"/>
      <c r="C14758"/>
      <c r="D14758"/>
      <c r="E14758"/>
      <c r="F14758"/>
      <c r="G14758"/>
      <c r="H14758"/>
      <c r="I14758"/>
      <c r="J14758"/>
      <c r="K14758" s="1"/>
      <c r="L14758" s="2"/>
    </row>
    <row r="14759" spans="1:12" x14ac:dyDescent="0.2">
      <c r="A14759"/>
      <c r="B14759"/>
      <c r="C14759"/>
      <c r="D14759"/>
      <c r="E14759"/>
      <c r="F14759"/>
      <c r="G14759"/>
      <c r="H14759"/>
      <c r="I14759"/>
      <c r="J14759"/>
      <c r="K14759" s="1"/>
      <c r="L14759" s="2"/>
    </row>
    <row r="14760" spans="1:12" x14ac:dyDescent="0.2">
      <c r="A14760"/>
      <c r="B14760"/>
      <c r="C14760"/>
      <c r="D14760"/>
      <c r="E14760"/>
      <c r="F14760"/>
      <c r="G14760"/>
      <c r="H14760"/>
      <c r="I14760"/>
      <c r="J14760"/>
      <c r="K14760" s="1"/>
      <c r="L14760" s="2"/>
    </row>
    <row r="14761" spans="1:12" x14ac:dyDescent="0.2">
      <c r="A14761"/>
      <c r="B14761"/>
      <c r="C14761"/>
      <c r="D14761"/>
      <c r="E14761"/>
      <c r="F14761"/>
      <c r="G14761"/>
      <c r="H14761"/>
      <c r="I14761"/>
      <c r="J14761"/>
      <c r="K14761" s="1"/>
      <c r="L14761" s="2"/>
    </row>
    <row r="14762" spans="1:12" x14ac:dyDescent="0.2">
      <c r="A14762"/>
      <c r="B14762"/>
      <c r="C14762"/>
      <c r="D14762"/>
      <c r="E14762"/>
      <c r="F14762"/>
      <c r="G14762"/>
      <c r="H14762"/>
      <c r="I14762"/>
      <c r="J14762"/>
      <c r="K14762" s="1"/>
      <c r="L14762" s="2"/>
    </row>
    <row r="14763" spans="1:12" x14ac:dyDescent="0.2">
      <c r="A14763"/>
      <c r="B14763"/>
      <c r="C14763"/>
      <c r="D14763"/>
      <c r="E14763"/>
      <c r="F14763"/>
      <c r="G14763"/>
      <c r="H14763"/>
      <c r="I14763"/>
      <c r="J14763"/>
      <c r="K14763" s="1"/>
      <c r="L14763" s="2"/>
    </row>
    <row r="14764" spans="1:12" x14ac:dyDescent="0.2">
      <c r="A14764"/>
      <c r="B14764"/>
      <c r="C14764"/>
      <c r="D14764"/>
      <c r="E14764"/>
      <c r="F14764"/>
      <c r="G14764"/>
      <c r="H14764"/>
      <c r="I14764"/>
      <c r="J14764"/>
      <c r="K14764" s="1"/>
      <c r="L14764" s="2"/>
    </row>
    <row r="14765" spans="1:12" x14ac:dyDescent="0.2">
      <c r="A14765"/>
      <c r="B14765"/>
      <c r="C14765"/>
      <c r="D14765"/>
      <c r="E14765"/>
      <c r="F14765"/>
      <c r="G14765"/>
      <c r="H14765"/>
      <c r="I14765"/>
      <c r="J14765"/>
      <c r="K14765" s="1"/>
      <c r="L14765" s="2"/>
    </row>
    <row r="14766" spans="1:12" x14ac:dyDescent="0.2">
      <c r="A14766"/>
      <c r="B14766"/>
      <c r="C14766"/>
      <c r="D14766"/>
      <c r="E14766"/>
      <c r="F14766"/>
      <c r="G14766"/>
      <c r="H14766"/>
      <c r="I14766"/>
      <c r="J14766"/>
      <c r="K14766" s="1"/>
      <c r="L14766" s="2"/>
    </row>
    <row r="14767" spans="1:12" x14ac:dyDescent="0.2">
      <c r="A14767"/>
      <c r="B14767"/>
      <c r="C14767"/>
      <c r="D14767"/>
      <c r="E14767"/>
      <c r="F14767"/>
      <c r="G14767"/>
      <c r="H14767"/>
      <c r="I14767"/>
      <c r="J14767"/>
      <c r="K14767" s="1"/>
      <c r="L14767" s="2"/>
    </row>
    <row r="14768" spans="1:12" x14ac:dyDescent="0.2">
      <c r="A14768"/>
      <c r="B14768"/>
      <c r="C14768"/>
      <c r="D14768"/>
      <c r="E14768"/>
      <c r="F14768"/>
      <c r="G14768"/>
      <c r="H14768"/>
      <c r="I14768"/>
      <c r="J14768"/>
      <c r="K14768" s="1"/>
      <c r="L14768" s="2"/>
    </row>
    <row r="14769" spans="1:12" x14ac:dyDescent="0.2">
      <c r="A14769"/>
      <c r="B14769"/>
      <c r="C14769"/>
      <c r="D14769"/>
      <c r="E14769"/>
      <c r="F14769"/>
      <c r="G14769"/>
      <c r="H14769"/>
      <c r="I14769"/>
      <c r="J14769"/>
      <c r="K14769" s="1"/>
      <c r="L14769" s="2"/>
    </row>
    <row r="14770" spans="1:12" x14ac:dyDescent="0.2">
      <c r="A14770"/>
      <c r="B14770"/>
      <c r="C14770"/>
      <c r="D14770"/>
      <c r="E14770"/>
      <c r="F14770"/>
      <c r="G14770"/>
      <c r="H14770"/>
      <c r="I14770"/>
      <c r="J14770"/>
      <c r="K14770" s="1"/>
      <c r="L14770" s="2"/>
    </row>
    <row r="14771" spans="1:12" x14ac:dyDescent="0.2">
      <c r="A14771"/>
      <c r="B14771"/>
      <c r="C14771"/>
      <c r="D14771"/>
      <c r="E14771"/>
      <c r="F14771"/>
      <c r="G14771"/>
      <c r="H14771"/>
      <c r="I14771"/>
      <c r="J14771"/>
      <c r="K14771" s="1"/>
      <c r="L14771" s="2"/>
    </row>
    <row r="14772" spans="1:12" x14ac:dyDescent="0.2">
      <c r="A14772"/>
      <c r="B14772"/>
      <c r="C14772"/>
      <c r="D14772"/>
      <c r="E14772"/>
      <c r="F14772"/>
      <c r="G14772"/>
      <c r="H14772"/>
      <c r="I14772"/>
      <c r="J14772"/>
      <c r="K14772" s="1"/>
      <c r="L14772" s="2"/>
    </row>
    <row r="14773" spans="1:12" x14ac:dyDescent="0.2">
      <c r="A14773"/>
      <c r="B14773"/>
      <c r="C14773"/>
      <c r="D14773"/>
      <c r="E14773"/>
      <c r="F14773"/>
      <c r="G14773"/>
      <c r="H14773"/>
      <c r="I14773"/>
      <c r="J14773"/>
      <c r="K14773" s="1"/>
      <c r="L14773" s="2"/>
    </row>
    <row r="14774" spans="1:12" x14ac:dyDescent="0.2">
      <c r="A14774"/>
      <c r="B14774"/>
      <c r="C14774"/>
      <c r="D14774"/>
      <c r="E14774"/>
      <c r="F14774"/>
      <c r="G14774"/>
      <c r="H14774"/>
      <c r="I14774"/>
      <c r="J14774"/>
      <c r="K14774" s="1"/>
      <c r="L14774" s="2"/>
    </row>
    <row r="14775" spans="1:12" x14ac:dyDescent="0.2">
      <c r="A14775"/>
      <c r="B14775"/>
      <c r="C14775"/>
      <c r="D14775"/>
      <c r="E14775"/>
      <c r="F14775"/>
      <c r="G14775"/>
      <c r="H14775"/>
      <c r="I14775"/>
      <c r="J14775"/>
      <c r="K14775" s="1"/>
      <c r="L14775" s="2"/>
    </row>
    <row r="14776" spans="1:12" x14ac:dyDescent="0.2">
      <c r="A14776"/>
      <c r="B14776"/>
      <c r="C14776"/>
      <c r="D14776"/>
      <c r="E14776"/>
      <c r="F14776"/>
      <c r="G14776"/>
      <c r="H14776"/>
      <c r="I14776"/>
      <c r="J14776"/>
      <c r="K14776" s="1"/>
      <c r="L14776" s="2"/>
    </row>
    <row r="14777" spans="1:12" x14ac:dyDescent="0.2">
      <c r="A14777"/>
      <c r="B14777"/>
      <c r="C14777"/>
      <c r="D14777"/>
      <c r="E14777"/>
      <c r="F14777"/>
      <c r="G14777"/>
      <c r="H14777"/>
      <c r="I14777"/>
      <c r="J14777"/>
      <c r="K14777" s="1"/>
      <c r="L14777" s="2"/>
    </row>
    <row r="14778" spans="1:12" x14ac:dyDescent="0.2">
      <c r="A14778"/>
      <c r="B14778"/>
      <c r="C14778"/>
      <c r="D14778"/>
      <c r="E14778"/>
      <c r="F14778"/>
      <c r="G14778"/>
      <c r="H14778"/>
      <c r="I14778"/>
      <c r="J14778"/>
      <c r="K14778" s="1"/>
      <c r="L14778" s="2"/>
    </row>
    <row r="14779" spans="1:12" x14ac:dyDescent="0.2">
      <c r="A14779"/>
      <c r="B14779"/>
      <c r="C14779"/>
      <c r="D14779"/>
      <c r="E14779"/>
      <c r="F14779"/>
      <c r="G14779"/>
      <c r="H14779"/>
      <c r="I14779"/>
      <c r="J14779"/>
      <c r="K14779" s="1"/>
      <c r="L14779" s="2"/>
    </row>
    <row r="14780" spans="1:12" x14ac:dyDescent="0.2">
      <c r="A14780"/>
      <c r="B14780"/>
      <c r="C14780"/>
      <c r="D14780"/>
      <c r="E14780"/>
      <c r="F14780"/>
      <c r="G14780"/>
      <c r="H14780"/>
      <c r="I14780"/>
      <c r="J14780"/>
      <c r="K14780" s="1"/>
      <c r="L14780" s="2"/>
    </row>
    <row r="14781" spans="1:12" x14ac:dyDescent="0.2">
      <c r="A14781"/>
      <c r="B14781"/>
      <c r="C14781"/>
      <c r="D14781"/>
      <c r="E14781"/>
      <c r="F14781"/>
      <c r="G14781"/>
      <c r="H14781"/>
      <c r="I14781"/>
      <c r="J14781"/>
      <c r="K14781" s="1"/>
      <c r="L14781" s="2"/>
    </row>
    <row r="14782" spans="1:12" x14ac:dyDescent="0.2">
      <c r="A14782"/>
      <c r="B14782"/>
      <c r="C14782"/>
      <c r="D14782"/>
      <c r="E14782"/>
      <c r="F14782"/>
      <c r="G14782"/>
      <c r="H14782"/>
      <c r="I14782"/>
      <c r="J14782"/>
      <c r="K14782" s="1"/>
      <c r="L14782" s="2"/>
    </row>
    <row r="14783" spans="1:12" x14ac:dyDescent="0.2">
      <c r="A14783"/>
      <c r="B14783"/>
      <c r="C14783"/>
      <c r="D14783"/>
      <c r="E14783"/>
      <c r="F14783"/>
      <c r="G14783"/>
      <c r="H14783"/>
      <c r="I14783"/>
      <c r="J14783"/>
      <c r="K14783" s="1"/>
      <c r="L14783" s="2"/>
    </row>
    <row r="14784" spans="1:12" x14ac:dyDescent="0.2">
      <c r="A14784"/>
      <c r="B14784"/>
      <c r="C14784"/>
      <c r="D14784"/>
      <c r="E14784"/>
      <c r="F14784"/>
      <c r="G14784"/>
      <c r="H14784"/>
      <c r="I14784"/>
      <c r="J14784"/>
      <c r="K14784" s="1"/>
      <c r="L14784" s="2"/>
    </row>
    <row r="14785" spans="1:12" x14ac:dyDescent="0.2">
      <c r="A14785"/>
      <c r="B14785"/>
      <c r="C14785"/>
      <c r="D14785"/>
      <c r="E14785"/>
      <c r="F14785"/>
      <c r="G14785"/>
      <c r="H14785"/>
      <c r="I14785"/>
      <c r="J14785"/>
      <c r="K14785" s="1"/>
      <c r="L14785" s="2"/>
    </row>
    <row r="14786" spans="1:12" x14ac:dyDescent="0.2">
      <c r="A14786"/>
      <c r="B14786"/>
      <c r="C14786"/>
      <c r="D14786"/>
      <c r="E14786"/>
      <c r="F14786"/>
      <c r="G14786"/>
      <c r="H14786"/>
      <c r="I14786"/>
      <c r="J14786"/>
      <c r="K14786" s="1"/>
      <c r="L14786" s="2"/>
    </row>
    <row r="14787" spans="1:12" x14ac:dyDescent="0.2">
      <c r="A14787"/>
      <c r="B14787"/>
      <c r="C14787"/>
      <c r="D14787"/>
      <c r="E14787"/>
      <c r="F14787"/>
      <c r="G14787"/>
      <c r="H14787"/>
      <c r="I14787"/>
      <c r="J14787"/>
      <c r="K14787" s="1"/>
      <c r="L14787" s="2"/>
    </row>
    <row r="14788" spans="1:12" x14ac:dyDescent="0.2">
      <c r="A14788"/>
      <c r="B14788"/>
      <c r="C14788"/>
      <c r="D14788"/>
      <c r="E14788"/>
      <c r="F14788"/>
      <c r="G14788"/>
      <c r="H14788"/>
      <c r="I14788"/>
      <c r="J14788"/>
      <c r="K14788" s="1"/>
      <c r="L14788" s="2"/>
    </row>
    <row r="14789" spans="1:12" x14ac:dyDescent="0.2">
      <c r="A14789"/>
      <c r="B14789"/>
      <c r="C14789"/>
      <c r="D14789"/>
      <c r="E14789"/>
      <c r="F14789"/>
      <c r="G14789"/>
      <c r="H14789"/>
      <c r="I14789"/>
      <c r="J14789"/>
      <c r="K14789" s="1"/>
      <c r="L14789" s="2"/>
    </row>
    <row r="14790" spans="1:12" x14ac:dyDescent="0.2">
      <c r="A14790"/>
      <c r="B14790"/>
      <c r="C14790"/>
      <c r="D14790"/>
      <c r="E14790"/>
      <c r="F14790"/>
      <c r="G14790"/>
      <c r="H14790"/>
      <c r="I14790"/>
      <c r="J14790"/>
      <c r="K14790" s="1"/>
      <c r="L14790" s="2"/>
    </row>
    <row r="14791" spans="1:12" x14ac:dyDescent="0.2">
      <c r="A14791"/>
      <c r="B14791"/>
      <c r="C14791"/>
      <c r="D14791"/>
      <c r="E14791"/>
      <c r="F14791"/>
      <c r="G14791"/>
      <c r="H14791"/>
      <c r="I14791"/>
      <c r="J14791"/>
      <c r="K14791" s="1"/>
      <c r="L14791" s="2"/>
    </row>
    <row r="14792" spans="1:12" x14ac:dyDescent="0.2">
      <c r="A14792"/>
      <c r="B14792"/>
      <c r="C14792"/>
      <c r="D14792"/>
      <c r="E14792"/>
      <c r="F14792"/>
      <c r="G14792"/>
      <c r="H14792"/>
      <c r="I14792"/>
      <c r="J14792"/>
      <c r="K14792" s="1"/>
      <c r="L14792" s="2"/>
    </row>
    <row r="14793" spans="1:12" x14ac:dyDescent="0.2">
      <c r="A14793"/>
      <c r="B14793"/>
      <c r="C14793"/>
      <c r="D14793"/>
      <c r="E14793"/>
      <c r="F14793"/>
      <c r="G14793"/>
      <c r="H14793"/>
      <c r="I14793"/>
      <c r="J14793"/>
      <c r="K14793" s="1"/>
      <c r="L14793" s="2"/>
    </row>
    <row r="14794" spans="1:12" x14ac:dyDescent="0.2">
      <c r="A14794"/>
      <c r="B14794"/>
      <c r="C14794"/>
      <c r="D14794"/>
      <c r="E14794"/>
      <c r="F14794"/>
      <c r="G14794"/>
      <c r="H14794"/>
      <c r="I14794"/>
      <c r="J14794"/>
      <c r="K14794" s="1"/>
      <c r="L14794" s="2"/>
    </row>
    <row r="14795" spans="1:12" x14ac:dyDescent="0.2">
      <c r="A14795"/>
      <c r="B14795"/>
      <c r="C14795"/>
      <c r="D14795"/>
      <c r="E14795"/>
      <c r="F14795"/>
      <c r="G14795"/>
      <c r="H14795"/>
      <c r="I14795"/>
      <c r="J14795"/>
      <c r="K14795" s="1"/>
      <c r="L14795" s="2"/>
    </row>
    <row r="14796" spans="1:12" x14ac:dyDescent="0.2">
      <c r="A14796"/>
      <c r="B14796"/>
      <c r="C14796"/>
      <c r="D14796"/>
      <c r="E14796"/>
      <c r="F14796"/>
      <c r="G14796"/>
      <c r="H14796"/>
      <c r="I14796"/>
      <c r="J14796"/>
      <c r="K14796" s="1"/>
      <c r="L14796" s="2"/>
    </row>
    <row r="14797" spans="1:12" x14ac:dyDescent="0.2">
      <c r="A14797"/>
      <c r="B14797"/>
      <c r="C14797"/>
      <c r="D14797"/>
      <c r="E14797"/>
      <c r="F14797"/>
      <c r="G14797"/>
      <c r="H14797"/>
      <c r="I14797"/>
      <c r="J14797"/>
      <c r="K14797" s="1"/>
      <c r="L14797" s="2"/>
    </row>
    <row r="14798" spans="1:12" x14ac:dyDescent="0.2">
      <c r="A14798"/>
      <c r="B14798"/>
      <c r="C14798"/>
      <c r="D14798"/>
      <c r="E14798"/>
      <c r="F14798"/>
      <c r="G14798"/>
      <c r="H14798"/>
      <c r="I14798"/>
      <c r="J14798"/>
      <c r="K14798" s="1"/>
      <c r="L14798" s="2"/>
    </row>
    <row r="14799" spans="1:12" x14ac:dyDescent="0.2">
      <c r="A14799"/>
      <c r="B14799"/>
      <c r="C14799"/>
      <c r="D14799"/>
      <c r="E14799"/>
      <c r="F14799"/>
      <c r="G14799"/>
      <c r="H14799"/>
      <c r="I14799"/>
      <c r="J14799"/>
      <c r="K14799" s="1"/>
      <c r="L14799" s="2"/>
    </row>
    <row r="14800" spans="1:12" x14ac:dyDescent="0.2">
      <c r="A14800"/>
      <c r="B14800"/>
      <c r="C14800"/>
      <c r="D14800"/>
      <c r="E14800"/>
      <c r="F14800"/>
      <c r="G14800"/>
      <c r="H14800"/>
      <c r="I14800"/>
      <c r="J14800"/>
      <c r="K14800" s="1"/>
      <c r="L14800" s="2"/>
    </row>
    <row r="14801" spans="1:12" x14ac:dyDescent="0.2">
      <c r="A14801"/>
      <c r="B14801"/>
      <c r="C14801"/>
      <c r="D14801"/>
      <c r="E14801"/>
      <c r="F14801"/>
      <c r="G14801"/>
      <c r="H14801"/>
      <c r="I14801"/>
      <c r="J14801"/>
      <c r="K14801" s="1"/>
      <c r="L14801" s="2"/>
    </row>
    <row r="14802" spans="1:12" x14ac:dyDescent="0.2">
      <c r="A14802"/>
      <c r="B14802"/>
      <c r="C14802"/>
      <c r="D14802"/>
      <c r="E14802"/>
      <c r="F14802"/>
      <c r="G14802"/>
      <c r="H14802"/>
      <c r="I14802"/>
      <c r="J14802"/>
      <c r="K14802" s="1"/>
      <c r="L14802" s="2"/>
    </row>
    <row r="14803" spans="1:12" x14ac:dyDescent="0.2">
      <c r="A14803"/>
      <c r="B14803"/>
      <c r="C14803"/>
      <c r="D14803"/>
      <c r="E14803"/>
      <c r="F14803"/>
      <c r="G14803"/>
      <c r="H14803"/>
      <c r="I14803"/>
      <c r="J14803"/>
      <c r="K14803" s="1"/>
      <c r="L14803" s="2"/>
    </row>
    <row r="14804" spans="1:12" x14ac:dyDescent="0.2">
      <c r="A14804"/>
      <c r="B14804"/>
      <c r="C14804"/>
      <c r="D14804"/>
      <c r="E14804"/>
      <c r="F14804"/>
      <c r="G14804"/>
      <c r="H14804"/>
      <c r="I14804"/>
      <c r="J14804"/>
      <c r="K14804" s="1"/>
      <c r="L14804" s="2"/>
    </row>
    <row r="14805" spans="1:12" x14ac:dyDescent="0.2">
      <c r="A14805"/>
      <c r="B14805"/>
      <c r="C14805"/>
      <c r="D14805"/>
      <c r="E14805"/>
      <c r="F14805"/>
      <c r="G14805"/>
      <c r="H14805"/>
      <c r="I14805"/>
      <c r="J14805"/>
      <c r="K14805" s="1"/>
      <c r="L14805" s="2"/>
    </row>
    <row r="14806" spans="1:12" x14ac:dyDescent="0.2">
      <c r="A14806"/>
      <c r="B14806"/>
      <c r="C14806"/>
      <c r="D14806"/>
      <c r="E14806"/>
      <c r="F14806"/>
      <c r="G14806"/>
      <c r="H14806"/>
      <c r="I14806"/>
      <c r="J14806"/>
      <c r="K14806" s="1"/>
      <c r="L14806" s="2"/>
    </row>
    <row r="14807" spans="1:12" x14ac:dyDescent="0.2">
      <c r="A14807"/>
      <c r="B14807"/>
      <c r="C14807"/>
      <c r="D14807"/>
      <c r="E14807"/>
      <c r="F14807"/>
      <c r="G14807"/>
      <c r="H14807"/>
      <c r="I14807"/>
      <c r="J14807"/>
      <c r="K14807" s="1"/>
      <c r="L14807" s="2"/>
    </row>
    <row r="14808" spans="1:12" x14ac:dyDescent="0.2">
      <c r="A14808"/>
      <c r="B14808"/>
      <c r="C14808"/>
      <c r="D14808"/>
      <c r="E14808"/>
      <c r="F14808"/>
      <c r="G14808"/>
      <c r="H14808"/>
      <c r="I14808"/>
      <c r="J14808"/>
      <c r="K14808" s="1"/>
      <c r="L14808" s="2"/>
    </row>
    <row r="14809" spans="1:12" x14ac:dyDescent="0.2">
      <c r="A14809"/>
      <c r="B14809"/>
      <c r="C14809"/>
      <c r="D14809"/>
      <c r="E14809"/>
      <c r="F14809"/>
      <c r="G14809"/>
      <c r="H14809"/>
      <c r="I14809"/>
      <c r="J14809"/>
      <c r="K14809" s="1"/>
      <c r="L14809" s="2"/>
    </row>
    <row r="14810" spans="1:12" x14ac:dyDescent="0.2">
      <c r="A14810"/>
      <c r="B14810"/>
      <c r="C14810"/>
      <c r="D14810"/>
      <c r="E14810"/>
      <c r="F14810"/>
      <c r="G14810"/>
      <c r="H14810"/>
      <c r="I14810"/>
      <c r="J14810"/>
      <c r="K14810" s="1"/>
      <c r="L14810" s="2"/>
    </row>
    <row r="14811" spans="1:12" x14ac:dyDescent="0.2">
      <c r="A14811"/>
      <c r="B14811"/>
      <c r="C14811"/>
      <c r="D14811"/>
      <c r="E14811"/>
      <c r="F14811"/>
      <c r="G14811"/>
      <c r="H14811"/>
      <c r="I14811"/>
      <c r="J14811"/>
      <c r="K14811" s="1"/>
      <c r="L14811" s="2"/>
    </row>
    <row r="14812" spans="1:12" x14ac:dyDescent="0.2">
      <c r="A14812"/>
      <c r="B14812"/>
      <c r="C14812"/>
      <c r="D14812"/>
      <c r="E14812"/>
      <c r="F14812"/>
      <c r="G14812"/>
      <c r="H14812"/>
      <c r="I14812"/>
      <c r="J14812"/>
      <c r="K14812" s="1"/>
      <c r="L14812" s="2"/>
    </row>
    <row r="14813" spans="1:12" x14ac:dyDescent="0.2">
      <c r="A14813"/>
      <c r="B14813"/>
      <c r="C14813"/>
      <c r="D14813"/>
      <c r="E14813"/>
      <c r="F14813"/>
      <c r="G14813"/>
      <c r="H14813"/>
      <c r="I14813"/>
      <c r="J14813"/>
      <c r="K14813" s="1"/>
      <c r="L14813" s="2"/>
    </row>
    <row r="14814" spans="1:12" x14ac:dyDescent="0.2">
      <c r="A14814"/>
      <c r="B14814"/>
      <c r="C14814"/>
      <c r="D14814"/>
      <c r="E14814"/>
      <c r="F14814"/>
      <c r="G14814"/>
      <c r="H14814"/>
      <c r="I14814"/>
      <c r="J14814"/>
      <c r="K14814" s="1"/>
      <c r="L14814" s="2"/>
    </row>
    <row r="14815" spans="1:12" x14ac:dyDescent="0.2">
      <c r="A14815"/>
      <c r="B14815"/>
      <c r="C14815"/>
      <c r="D14815"/>
      <c r="E14815"/>
      <c r="F14815"/>
      <c r="G14815"/>
      <c r="H14815"/>
      <c r="I14815"/>
      <c r="J14815"/>
      <c r="K14815" s="1"/>
      <c r="L14815" s="2"/>
    </row>
    <row r="14816" spans="1:12" x14ac:dyDescent="0.2">
      <c r="A14816"/>
      <c r="B14816"/>
      <c r="C14816"/>
      <c r="D14816"/>
      <c r="E14816"/>
      <c r="F14816"/>
      <c r="G14816"/>
      <c r="H14816"/>
      <c r="I14816"/>
      <c r="J14816"/>
      <c r="K14816" s="1"/>
      <c r="L14816" s="2"/>
    </row>
    <row r="14817" spans="1:12" x14ac:dyDescent="0.2">
      <c r="A14817"/>
      <c r="B14817"/>
      <c r="C14817"/>
      <c r="D14817"/>
      <c r="E14817"/>
      <c r="F14817"/>
      <c r="G14817"/>
      <c r="H14817"/>
      <c r="I14817"/>
      <c r="J14817"/>
      <c r="K14817" s="1"/>
      <c r="L14817" s="2"/>
    </row>
    <row r="14818" spans="1:12" x14ac:dyDescent="0.2">
      <c r="A14818"/>
      <c r="B14818"/>
      <c r="C14818"/>
      <c r="D14818"/>
      <c r="E14818"/>
      <c r="F14818"/>
      <c r="G14818"/>
      <c r="H14818"/>
      <c r="I14818"/>
      <c r="J14818"/>
      <c r="K14818" s="1"/>
      <c r="L14818" s="2"/>
    </row>
    <row r="14819" spans="1:12" x14ac:dyDescent="0.2">
      <c r="A14819"/>
      <c r="B14819"/>
      <c r="C14819"/>
      <c r="D14819"/>
      <c r="E14819"/>
      <c r="F14819"/>
      <c r="G14819"/>
      <c r="H14819"/>
      <c r="I14819"/>
      <c r="J14819"/>
      <c r="K14819" s="1"/>
      <c r="L14819" s="2"/>
    </row>
    <row r="14820" spans="1:12" x14ac:dyDescent="0.2">
      <c r="A14820"/>
      <c r="B14820"/>
      <c r="C14820"/>
      <c r="D14820"/>
      <c r="E14820"/>
      <c r="F14820"/>
      <c r="G14820"/>
      <c r="H14820"/>
      <c r="I14820"/>
      <c r="J14820"/>
      <c r="K14820" s="1"/>
      <c r="L14820" s="2"/>
    </row>
    <row r="14821" spans="1:12" x14ac:dyDescent="0.2">
      <c r="A14821"/>
      <c r="B14821"/>
      <c r="C14821"/>
      <c r="D14821"/>
      <c r="E14821"/>
      <c r="F14821"/>
      <c r="G14821"/>
      <c r="H14821"/>
      <c r="I14821"/>
      <c r="J14821"/>
      <c r="K14821" s="1"/>
      <c r="L14821" s="2"/>
    </row>
    <row r="14822" spans="1:12" x14ac:dyDescent="0.2">
      <c r="A14822"/>
      <c r="B14822"/>
      <c r="C14822"/>
      <c r="D14822"/>
      <c r="E14822"/>
      <c r="F14822"/>
      <c r="G14822"/>
      <c r="H14822"/>
      <c r="I14822"/>
      <c r="J14822"/>
      <c r="K14822" s="1"/>
      <c r="L14822" s="2"/>
    </row>
    <row r="14823" spans="1:12" x14ac:dyDescent="0.2">
      <c r="A14823"/>
      <c r="B14823"/>
      <c r="C14823"/>
      <c r="D14823"/>
      <c r="E14823"/>
      <c r="F14823"/>
      <c r="G14823"/>
      <c r="H14823"/>
      <c r="I14823"/>
      <c r="J14823"/>
      <c r="K14823" s="1"/>
      <c r="L14823" s="2"/>
    </row>
    <row r="14824" spans="1:12" x14ac:dyDescent="0.2">
      <c r="A14824"/>
      <c r="B14824"/>
      <c r="C14824"/>
      <c r="D14824"/>
      <c r="E14824"/>
      <c r="F14824"/>
      <c r="G14824"/>
      <c r="H14824"/>
      <c r="I14824"/>
      <c r="J14824"/>
      <c r="K14824" s="1"/>
      <c r="L14824" s="2"/>
    </row>
    <row r="14825" spans="1:12" x14ac:dyDescent="0.2">
      <c r="A14825"/>
      <c r="B14825"/>
      <c r="C14825"/>
      <c r="D14825"/>
      <c r="E14825"/>
      <c r="F14825"/>
      <c r="G14825"/>
      <c r="H14825"/>
      <c r="I14825"/>
      <c r="J14825"/>
      <c r="K14825" s="1"/>
      <c r="L14825" s="2"/>
    </row>
    <row r="14826" spans="1:12" x14ac:dyDescent="0.2">
      <c r="A14826"/>
      <c r="B14826"/>
      <c r="C14826"/>
      <c r="D14826"/>
      <c r="E14826"/>
      <c r="F14826"/>
      <c r="G14826"/>
      <c r="H14826"/>
      <c r="I14826"/>
      <c r="J14826"/>
      <c r="K14826" s="1"/>
      <c r="L14826" s="2"/>
    </row>
    <row r="14827" spans="1:12" x14ac:dyDescent="0.2">
      <c r="A14827"/>
      <c r="B14827"/>
      <c r="C14827"/>
      <c r="D14827"/>
      <c r="E14827"/>
      <c r="F14827"/>
      <c r="G14827"/>
      <c r="H14827"/>
      <c r="I14827"/>
      <c r="J14827"/>
      <c r="K14827" s="1"/>
      <c r="L14827" s="2"/>
    </row>
    <row r="14828" spans="1:12" x14ac:dyDescent="0.2">
      <c r="A14828"/>
      <c r="B14828"/>
      <c r="C14828"/>
      <c r="D14828"/>
      <c r="E14828"/>
      <c r="F14828"/>
      <c r="G14828"/>
      <c r="H14828"/>
      <c r="I14828"/>
      <c r="J14828"/>
      <c r="K14828" s="1"/>
      <c r="L14828" s="2"/>
    </row>
    <row r="14829" spans="1:12" x14ac:dyDescent="0.2">
      <c r="A14829"/>
      <c r="B14829"/>
      <c r="C14829"/>
      <c r="D14829"/>
      <c r="E14829"/>
      <c r="F14829"/>
      <c r="G14829"/>
      <c r="H14829"/>
      <c r="I14829"/>
      <c r="J14829"/>
      <c r="K14829" s="1"/>
      <c r="L14829" s="2"/>
    </row>
    <row r="14830" spans="1:12" x14ac:dyDescent="0.2">
      <c r="A14830"/>
      <c r="B14830"/>
      <c r="C14830"/>
      <c r="D14830"/>
      <c r="E14830"/>
      <c r="F14830"/>
      <c r="G14830"/>
      <c r="H14830"/>
      <c r="I14830"/>
      <c r="J14830"/>
      <c r="K14830" s="1"/>
      <c r="L14830" s="2"/>
    </row>
    <row r="14831" spans="1:12" x14ac:dyDescent="0.2">
      <c r="A14831"/>
      <c r="B14831"/>
      <c r="C14831"/>
      <c r="D14831"/>
      <c r="E14831"/>
      <c r="F14831"/>
      <c r="G14831"/>
      <c r="H14831"/>
      <c r="I14831"/>
      <c r="J14831"/>
      <c r="K14831" s="1"/>
      <c r="L14831" s="2"/>
    </row>
    <row r="14832" spans="1:12" x14ac:dyDescent="0.2">
      <c r="A14832"/>
      <c r="B14832"/>
      <c r="C14832"/>
      <c r="D14832"/>
      <c r="E14832"/>
      <c r="F14832"/>
      <c r="G14832"/>
      <c r="H14832"/>
      <c r="I14832"/>
      <c r="J14832"/>
      <c r="K14832" s="1"/>
      <c r="L14832" s="2"/>
    </row>
    <row r="14833" spans="1:12" x14ac:dyDescent="0.2">
      <c r="A14833"/>
      <c r="B14833"/>
      <c r="C14833"/>
      <c r="D14833"/>
      <c r="E14833"/>
      <c r="F14833"/>
      <c r="G14833"/>
      <c r="H14833"/>
      <c r="I14833"/>
      <c r="J14833"/>
      <c r="K14833" s="1"/>
      <c r="L14833" s="2"/>
    </row>
    <row r="14834" spans="1:12" x14ac:dyDescent="0.2">
      <c r="A14834"/>
      <c r="B14834"/>
      <c r="C14834"/>
      <c r="D14834"/>
      <c r="E14834"/>
      <c r="F14834"/>
      <c r="G14834"/>
      <c r="H14834"/>
      <c r="I14834"/>
      <c r="J14834"/>
      <c r="K14834" s="1"/>
      <c r="L14834" s="2"/>
    </row>
    <row r="14835" spans="1:12" x14ac:dyDescent="0.2">
      <c r="A14835"/>
      <c r="B14835"/>
      <c r="C14835"/>
      <c r="D14835"/>
      <c r="E14835"/>
      <c r="F14835"/>
      <c r="G14835"/>
      <c r="H14835"/>
      <c r="I14835"/>
      <c r="J14835"/>
      <c r="K14835" s="1"/>
      <c r="L14835" s="2"/>
    </row>
    <row r="14836" spans="1:12" x14ac:dyDescent="0.2">
      <c r="A14836"/>
      <c r="B14836"/>
      <c r="C14836"/>
      <c r="D14836"/>
      <c r="E14836"/>
      <c r="F14836"/>
      <c r="G14836"/>
      <c r="H14836"/>
      <c r="I14836"/>
      <c r="J14836"/>
      <c r="K14836" s="1"/>
      <c r="L14836" s="2"/>
    </row>
    <row r="14837" spans="1:12" x14ac:dyDescent="0.2">
      <c r="A14837"/>
      <c r="B14837"/>
      <c r="C14837"/>
      <c r="D14837"/>
      <c r="E14837"/>
      <c r="F14837"/>
      <c r="G14837"/>
      <c r="H14837"/>
      <c r="I14837"/>
      <c r="J14837"/>
      <c r="K14837" s="1"/>
      <c r="L14837" s="2"/>
    </row>
    <row r="14838" spans="1:12" x14ac:dyDescent="0.2">
      <c r="A14838"/>
      <c r="B14838"/>
      <c r="C14838"/>
      <c r="D14838"/>
      <c r="E14838"/>
      <c r="F14838"/>
      <c r="G14838"/>
      <c r="H14838"/>
      <c r="I14838"/>
      <c r="J14838"/>
      <c r="K14838" s="1"/>
      <c r="L14838" s="2"/>
    </row>
    <row r="14839" spans="1:12" x14ac:dyDescent="0.2">
      <c r="A14839"/>
      <c r="B14839"/>
      <c r="C14839"/>
      <c r="D14839"/>
      <c r="E14839"/>
      <c r="F14839"/>
      <c r="G14839"/>
      <c r="H14839"/>
      <c r="I14839"/>
      <c r="J14839"/>
      <c r="K14839" s="1"/>
      <c r="L14839" s="2"/>
    </row>
    <row r="14840" spans="1:12" x14ac:dyDescent="0.2">
      <c r="A14840"/>
      <c r="B14840"/>
      <c r="C14840"/>
      <c r="D14840"/>
      <c r="E14840"/>
      <c r="F14840"/>
      <c r="G14840"/>
      <c r="H14840"/>
      <c r="I14840"/>
      <c r="J14840"/>
      <c r="K14840" s="1"/>
      <c r="L14840" s="2"/>
    </row>
    <row r="14841" spans="1:12" x14ac:dyDescent="0.2">
      <c r="A14841"/>
      <c r="B14841"/>
      <c r="C14841"/>
      <c r="D14841"/>
      <c r="E14841"/>
      <c r="F14841"/>
      <c r="G14841"/>
      <c r="H14841"/>
      <c r="I14841"/>
      <c r="J14841"/>
      <c r="K14841" s="1"/>
      <c r="L14841" s="2"/>
    </row>
    <row r="14842" spans="1:12" x14ac:dyDescent="0.2">
      <c r="A14842"/>
      <c r="B14842"/>
      <c r="C14842"/>
      <c r="D14842"/>
      <c r="E14842"/>
      <c r="F14842"/>
      <c r="G14842"/>
      <c r="H14842"/>
      <c r="I14842"/>
      <c r="J14842"/>
      <c r="K14842" s="1"/>
      <c r="L14842" s="2"/>
    </row>
    <row r="14843" spans="1:12" x14ac:dyDescent="0.2">
      <c r="A14843"/>
      <c r="B14843"/>
      <c r="C14843"/>
      <c r="D14843"/>
      <c r="E14843"/>
      <c r="F14843"/>
      <c r="G14843"/>
      <c r="H14843"/>
      <c r="I14843"/>
      <c r="J14843"/>
      <c r="K14843" s="1"/>
      <c r="L14843" s="2"/>
    </row>
    <row r="14844" spans="1:12" x14ac:dyDescent="0.2">
      <c r="A14844"/>
      <c r="B14844"/>
      <c r="C14844"/>
      <c r="D14844"/>
      <c r="E14844"/>
      <c r="F14844"/>
      <c r="G14844"/>
      <c r="H14844"/>
      <c r="I14844"/>
      <c r="J14844"/>
      <c r="K14844" s="1"/>
      <c r="L14844" s="2"/>
    </row>
    <row r="14845" spans="1:12" x14ac:dyDescent="0.2">
      <c r="A14845"/>
      <c r="B14845"/>
      <c r="C14845"/>
      <c r="D14845"/>
      <c r="E14845"/>
      <c r="F14845"/>
      <c r="G14845"/>
      <c r="H14845"/>
      <c r="I14845"/>
      <c r="J14845"/>
      <c r="K14845" s="1"/>
      <c r="L14845" s="2"/>
    </row>
    <row r="14846" spans="1:12" x14ac:dyDescent="0.2">
      <c r="A14846"/>
      <c r="B14846"/>
      <c r="C14846"/>
      <c r="D14846"/>
      <c r="E14846"/>
      <c r="F14846"/>
      <c r="G14846"/>
      <c r="H14846"/>
      <c r="I14846"/>
      <c r="J14846"/>
      <c r="K14846" s="1"/>
      <c r="L14846" s="2"/>
    </row>
    <row r="14847" spans="1:12" x14ac:dyDescent="0.2">
      <c r="A14847"/>
      <c r="B14847"/>
      <c r="C14847"/>
      <c r="D14847"/>
      <c r="E14847"/>
      <c r="F14847"/>
      <c r="G14847"/>
      <c r="H14847"/>
      <c r="I14847"/>
      <c r="J14847"/>
      <c r="K14847" s="1"/>
      <c r="L14847" s="2"/>
    </row>
    <row r="14848" spans="1:12" x14ac:dyDescent="0.2">
      <c r="A14848"/>
      <c r="B14848"/>
      <c r="C14848"/>
      <c r="D14848"/>
      <c r="E14848"/>
      <c r="F14848"/>
      <c r="G14848"/>
      <c r="H14848"/>
      <c r="I14848"/>
      <c r="J14848"/>
      <c r="K14848" s="1"/>
      <c r="L14848" s="2"/>
    </row>
    <row r="14849" spans="1:12" x14ac:dyDescent="0.2">
      <c r="A14849"/>
      <c r="B14849"/>
      <c r="C14849"/>
      <c r="D14849"/>
      <c r="E14849"/>
      <c r="F14849"/>
      <c r="G14849"/>
      <c r="H14849"/>
      <c r="I14849"/>
      <c r="J14849"/>
      <c r="K14849" s="1"/>
      <c r="L14849" s="2"/>
    </row>
    <row r="14850" spans="1:12" x14ac:dyDescent="0.2">
      <c r="A14850"/>
      <c r="B14850"/>
      <c r="C14850"/>
      <c r="D14850"/>
      <c r="E14850"/>
      <c r="F14850"/>
      <c r="G14850"/>
      <c r="H14850"/>
      <c r="I14850"/>
      <c r="J14850"/>
      <c r="K14850" s="1"/>
      <c r="L14850" s="2"/>
    </row>
    <row r="14851" spans="1:12" x14ac:dyDescent="0.2">
      <c r="A14851"/>
      <c r="B14851"/>
      <c r="C14851"/>
      <c r="D14851"/>
      <c r="E14851"/>
      <c r="F14851"/>
      <c r="G14851"/>
      <c r="H14851"/>
      <c r="I14851"/>
      <c r="J14851"/>
      <c r="K14851" s="1"/>
      <c r="L14851" s="2"/>
    </row>
    <row r="14852" spans="1:12" x14ac:dyDescent="0.2">
      <c r="A14852"/>
      <c r="B14852"/>
      <c r="C14852"/>
      <c r="D14852"/>
      <c r="E14852"/>
      <c r="F14852"/>
      <c r="G14852"/>
      <c r="H14852"/>
      <c r="I14852"/>
      <c r="J14852"/>
      <c r="K14852" s="1"/>
      <c r="L14852" s="2"/>
    </row>
    <row r="14853" spans="1:12" x14ac:dyDescent="0.2">
      <c r="A14853"/>
      <c r="B14853"/>
      <c r="C14853"/>
      <c r="D14853"/>
      <c r="E14853"/>
      <c r="F14853"/>
      <c r="G14853"/>
      <c r="H14853"/>
      <c r="I14853"/>
      <c r="J14853"/>
      <c r="K14853" s="1"/>
      <c r="L14853" s="2"/>
    </row>
    <row r="14854" spans="1:12" x14ac:dyDescent="0.2">
      <c r="A14854"/>
      <c r="B14854"/>
      <c r="C14854"/>
      <c r="D14854"/>
      <c r="E14854"/>
      <c r="F14854"/>
      <c r="G14854"/>
      <c r="H14854"/>
      <c r="I14854"/>
      <c r="J14854"/>
      <c r="K14854" s="1"/>
      <c r="L14854" s="2"/>
    </row>
    <row r="14855" spans="1:12" x14ac:dyDescent="0.2">
      <c r="A14855"/>
      <c r="B14855"/>
      <c r="C14855"/>
      <c r="D14855"/>
      <c r="E14855"/>
      <c r="F14855"/>
      <c r="G14855"/>
      <c r="H14855"/>
      <c r="I14855"/>
      <c r="J14855"/>
      <c r="K14855" s="1"/>
      <c r="L14855" s="2"/>
    </row>
    <row r="14856" spans="1:12" x14ac:dyDescent="0.2">
      <c r="A14856"/>
      <c r="B14856"/>
      <c r="C14856"/>
      <c r="D14856"/>
      <c r="E14856"/>
      <c r="F14856"/>
      <c r="G14856"/>
      <c r="H14856"/>
      <c r="I14856"/>
      <c r="J14856"/>
      <c r="K14856" s="1"/>
      <c r="L14856" s="2"/>
    </row>
    <row r="14857" spans="1:12" x14ac:dyDescent="0.2">
      <c r="A14857"/>
      <c r="B14857"/>
      <c r="C14857"/>
      <c r="D14857"/>
      <c r="E14857"/>
      <c r="F14857"/>
      <c r="G14857"/>
      <c r="H14857"/>
      <c r="I14857"/>
      <c r="J14857"/>
      <c r="K14857" s="1"/>
      <c r="L14857" s="2"/>
    </row>
    <row r="14858" spans="1:12" x14ac:dyDescent="0.2">
      <c r="A14858"/>
      <c r="B14858"/>
      <c r="C14858"/>
      <c r="D14858"/>
      <c r="E14858"/>
      <c r="F14858"/>
      <c r="G14858"/>
      <c r="H14858"/>
      <c r="I14858"/>
      <c r="J14858"/>
      <c r="K14858" s="1"/>
      <c r="L14858" s="2"/>
    </row>
    <row r="14859" spans="1:12" x14ac:dyDescent="0.2">
      <c r="A14859"/>
      <c r="B14859"/>
      <c r="C14859"/>
      <c r="D14859"/>
      <c r="E14859"/>
      <c r="F14859"/>
      <c r="G14859"/>
      <c r="H14859"/>
      <c r="I14859"/>
      <c r="J14859"/>
      <c r="K14859" s="1"/>
      <c r="L14859" s="2"/>
    </row>
    <row r="14860" spans="1:12" x14ac:dyDescent="0.2">
      <c r="A14860"/>
      <c r="B14860"/>
      <c r="C14860"/>
      <c r="D14860"/>
      <c r="E14860"/>
      <c r="F14860"/>
      <c r="G14860"/>
      <c r="H14860"/>
      <c r="I14860"/>
      <c r="J14860"/>
      <c r="K14860" s="1"/>
      <c r="L14860" s="2"/>
    </row>
    <row r="14861" spans="1:12" x14ac:dyDescent="0.2">
      <c r="A14861"/>
      <c r="B14861"/>
      <c r="C14861"/>
      <c r="D14861"/>
      <c r="E14861"/>
      <c r="F14861"/>
      <c r="G14861"/>
      <c r="H14861"/>
      <c r="I14861"/>
      <c r="J14861"/>
      <c r="K14861" s="1"/>
      <c r="L14861" s="2"/>
    </row>
    <row r="14862" spans="1:12" x14ac:dyDescent="0.2">
      <c r="A14862"/>
      <c r="B14862"/>
      <c r="C14862"/>
      <c r="D14862"/>
      <c r="E14862"/>
      <c r="F14862"/>
      <c r="G14862"/>
      <c r="H14862"/>
      <c r="I14862"/>
      <c r="J14862"/>
      <c r="K14862" s="1"/>
      <c r="L14862" s="2"/>
    </row>
    <row r="14863" spans="1:12" x14ac:dyDescent="0.2">
      <c r="A14863"/>
      <c r="B14863"/>
      <c r="C14863"/>
      <c r="D14863"/>
      <c r="E14863"/>
      <c r="F14863"/>
      <c r="G14863"/>
      <c r="H14863"/>
      <c r="I14863"/>
      <c r="J14863"/>
      <c r="K14863" s="1"/>
      <c r="L14863" s="2"/>
    </row>
    <row r="14864" spans="1:12" x14ac:dyDescent="0.2">
      <c r="A14864"/>
      <c r="B14864"/>
      <c r="C14864"/>
      <c r="D14864"/>
      <c r="E14864"/>
      <c r="F14864"/>
      <c r="G14864"/>
      <c r="H14864"/>
      <c r="I14864"/>
      <c r="J14864"/>
      <c r="K14864" s="1"/>
      <c r="L14864" s="2"/>
    </row>
    <row r="14865" spans="1:12" x14ac:dyDescent="0.2">
      <c r="A14865"/>
      <c r="B14865"/>
      <c r="C14865"/>
      <c r="D14865"/>
      <c r="E14865"/>
      <c r="F14865"/>
      <c r="G14865"/>
      <c r="H14865"/>
      <c r="I14865"/>
      <c r="J14865"/>
      <c r="K14865" s="1"/>
      <c r="L14865" s="2"/>
    </row>
    <row r="14866" spans="1:12" x14ac:dyDescent="0.2">
      <c r="A14866"/>
      <c r="B14866"/>
      <c r="C14866"/>
      <c r="D14866"/>
      <c r="E14866"/>
      <c r="F14866"/>
      <c r="G14866"/>
      <c r="H14866"/>
      <c r="I14866"/>
      <c r="J14866"/>
      <c r="K14866" s="1"/>
      <c r="L14866" s="2"/>
    </row>
    <row r="14867" spans="1:12" x14ac:dyDescent="0.2">
      <c r="A14867"/>
      <c r="B14867"/>
      <c r="C14867"/>
      <c r="D14867"/>
      <c r="E14867"/>
      <c r="F14867"/>
      <c r="G14867"/>
      <c r="H14867"/>
      <c r="I14867"/>
      <c r="J14867"/>
      <c r="K14867" s="1"/>
      <c r="L14867" s="2"/>
    </row>
    <row r="14868" spans="1:12" x14ac:dyDescent="0.2">
      <c r="A14868"/>
      <c r="B14868"/>
      <c r="C14868"/>
      <c r="D14868"/>
      <c r="E14868"/>
      <c r="F14868"/>
      <c r="G14868"/>
      <c r="H14868"/>
      <c r="I14868"/>
      <c r="J14868"/>
      <c r="K14868" s="1"/>
      <c r="L14868" s="2"/>
    </row>
    <row r="14869" spans="1:12" x14ac:dyDescent="0.2">
      <c r="A14869"/>
      <c r="B14869"/>
      <c r="C14869"/>
      <c r="D14869"/>
      <c r="E14869"/>
      <c r="F14869"/>
      <c r="G14869"/>
      <c r="H14869"/>
      <c r="I14869"/>
      <c r="J14869"/>
      <c r="K14869" s="1"/>
      <c r="L14869" s="2"/>
    </row>
    <row r="14870" spans="1:12" x14ac:dyDescent="0.2">
      <c r="A14870"/>
      <c r="B14870"/>
      <c r="C14870"/>
      <c r="D14870"/>
      <c r="E14870"/>
      <c r="F14870"/>
      <c r="G14870"/>
      <c r="H14870"/>
      <c r="I14870"/>
      <c r="J14870"/>
      <c r="K14870" s="1"/>
      <c r="L14870" s="2"/>
    </row>
    <row r="14871" spans="1:12" x14ac:dyDescent="0.2">
      <c r="A14871"/>
      <c r="B14871"/>
      <c r="C14871"/>
      <c r="D14871"/>
      <c r="E14871"/>
      <c r="F14871"/>
      <c r="G14871"/>
      <c r="H14871"/>
      <c r="I14871"/>
      <c r="J14871"/>
      <c r="K14871" s="1"/>
      <c r="L14871" s="2"/>
    </row>
    <row r="14872" spans="1:12" x14ac:dyDescent="0.2">
      <c r="A14872"/>
      <c r="B14872"/>
      <c r="C14872"/>
      <c r="D14872"/>
      <c r="E14872"/>
      <c r="F14872"/>
      <c r="G14872"/>
      <c r="H14872"/>
      <c r="I14872"/>
      <c r="J14872"/>
      <c r="K14872" s="1"/>
      <c r="L14872" s="2"/>
    </row>
    <row r="14873" spans="1:12" x14ac:dyDescent="0.2">
      <c r="A14873"/>
      <c r="B14873"/>
      <c r="C14873"/>
      <c r="D14873"/>
      <c r="E14873"/>
      <c r="F14873"/>
      <c r="G14873"/>
      <c r="H14873"/>
      <c r="I14873"/>
      <c r="J14873"/>
      <c r="K14873" s="1"/>
      <c r="L14873" s="2"/>
    </row>
    <row r="14874" spans="1:12" x14ac:dyDescent="0.2">
      <c r="A14874"/>
      <c r="B14874"/>
      <c r="C14874"/>
      <c r="D14874"/>
      <c r="E14874"/>
      <c r="F14874"/>
      <c r="G14874"/>
      <c r="H14874"/>
      <c r="I14874"/>
      <c r="J14874"/>
      <c r="K14874" s="1"/>
      <c r="L14874" s="2"/>
    </row>
    <row r="14875" spans="1:12" x14ac:dyDescent="0.2">
      <c r="A14875"/>
      <c r="B14875"/>
      <c r="C14875"/>
      <c r="D14875"/>
      <c r="E14875"/>
      <c r="F14875"/>
      <c r="G14875"/>
      <c r="H14875"/>
      <c r="I14875"/>
      <c r="J14875"/>
      <c r="K14875" s="1"/>
      <c r="L14875" s="2"/>
    </row>
    <row r="14876" spans="1:12" x14ac:dyDescent="0.2">
      <c r="A14876"/>
      <c r="B14876"/>
      <c r="C14876"/>
      <c r="D14876"/>
      <c r="E14876"/>
      <c r="F14876"/>
      <c r="G14876"/>
      <c r="H14876"/>
      <c r="I14876"/>
      <c r="J14876"/>
      <c r="K14876" s="1"/>
      <c r="L14876" s="2"/>
    </row>
    <row r="14877" spans="1:12" x14ac:dyDescent="0.2">
      <c r="A14877"/>
      <c r="B14877"/>
      <c r="C14877"/>
      <c r="D14877"/>
      <c r="E14877"/>
      <c r="F14877"/>
      <c r="G14877"/>
      <c r="H14877"/>
      <c r="I14877"/>
      <c r="J14877"/>
      <c r="K14877" s="1"/>
      <c r="L14877" s="2"/>
    </row>
    <row r="14878" spans="1:12" x14ac:dyDescent="0.2">
      <c r="A14878"/>
      <c r="B14878"/>
      <c r="C14878"/>
      <c r="D14878"/>
      <c r="E14878"/>
      <c r="F14878"/>
      <c r="G14878"/>
      <c r="H14878"/>
      <c r="I14878"/>
      <c r="J14878"/>
      <c r="K14878" s="1"/>
      <c r="L14878" s="2"/>
    </row>
    <row r="14879" spans="1:12" x14ac:dyDescent="0.2">
      <c r="A14879"/>
      <c r="B14879"/>
      <c r="C14879"/>
      <c r="D14879"/>
      <c r="E14879"/>
      <c r="F14879"/>
      <c r="G14879"/>
      <c r="H14879"/>
      <c r="I14879"/>
      <c r="J14879"/>
      <c r="K14879" s="1"/>
      <c r="L14879" s="2"/>
    </row>
    <row r="14880" spans="1:12" x14ac:dyDescent="0.2">
      <c r="A14880"/>
      <c r="B14880"/>
      <c r="C14880"/>
      <c r="D14880"/>
      <c r="E14880"/>
      <c r="F14880"/>
      <c r="G14880"/>
      <c r="H14880"/>
      <c r="I14880"/>
      <c r="J14880"/>
      <c r="K14880" s="1"/>
      <c r="L14880" s="2"/>
    </row>
    <row r="14881" spans="1:12" x14ac:dyDescent="0.2">
      <c r="A14881"/>
      <c r="B14881"/>
      <c r="C14881"/>
      <c r="D14881"/>
      <c r="E14881"/>
      <c r="F14881"/>
      <c r="G14881"/>
      <c r="H14881"/>
      <c r="I14881"/>
      <c r="J14881"/>
      <c r="K14881" s="1"/>
      <c r="L14881" s="2"/>
    </row>
    <row r="14882" spans="1:12" x14ac:dyDescent="0.2">
      <c r="A14882"/>
      <c r="B14882"/>
      <c r="C14882"/>
      <c r="D14882"/>
      <c r="E14882"/>
      <c r="F14882"/>
      <c r="G14882"/>
      <c r="H14882"/>
      <c r="I14882"/>
      <c r="J14882"/>
      <c r="K14882" s="1"/>
      <c r="L14882" s="2"/>
    </row>
    <row r="14883" spans="1:12" x14ac:dyDescent="0.2">
      <c r="A14883"/>
      <c r="B14883"/>
      <c r="C14883"/>
      <c r="D14883"/>
      <c r="E14883"/>
      <c r="F14883"/>
      <c r="G14883"/>
      <c r="H14883"/>
      <c r="I14883"/>
      <c r="J14883"/>
      <c r="K14883" s="1"/>
      <c r="L14883" s="2"/>
    </row>
    <row r="14884" spans="1:12" x14ac:dyDescent="0.2">
      <c r="A14884"/>
      <c r="B14884"/>
      <c r="C14884"/>
      <c r="D14884"/>
      <c r="E14884"/>
      <c r="F14884"/>
      <c r="G14884"/>
      <c r="H14884"/>
      <c r="I14884"/>
      <c r="J14884"/>
      <c r="K14884" s="1"/>
      <c r="L14884" s="2"/>
    </row>
    <row r="14885" spans="1:12" x14ac:dyDescent="0.2">
      <c r="A14885"/>
      <c r="B14885"/>
      <c r="C14885"/>
      <c r="D14885"/>
      <c r="E14885"/>
      <c r="F14885"/>
      <c r="G14885"/>
      <c r="H14885"/>
      <c r="I14885"/>
      <c r="J14885"/>
      <c r="K14885" s="1"/>
      <c r="L14885" s="2"/>
    </row>
    <row r="14886" spans="1:12" x14ac:dyDescent="0.2">
      <c r="A14886"/>
      <c r="B14886"/>
      <c r="C14886"/>
      <c r="D14886"/>
      <c r="E14886"/>
      <c r="F14886"/>
      <c r="G14886"/>
      <c r="H14886"/>
      <c r="I14886"/>
      <c r="J14886"/>
      <c r="K14886" s="1"/>
      <c r="L14886" s="2"/>
    </row>
    <row r="14887" spans="1:12" x14ac:dyDescent="0.2">
      <c r="A14887"/>
      <c r="B14887"/>
      <c r="C14887"/>
      <c r="D14887"/>
      <c r="E14887"/>
      <c r="F14887"/>
      <c r="G14887"/>
      <c r="H14887"/>
      <c r="I14887"/>
      <c r="J14887"/>
      <c r="K14887" s="1"/>
      <c r="L14887" s="2"/>
    </row>
    <row r="14888" spans="1:12" x14ac:dyDescent="0.2">
      <c r="A14888"/>
      <c r="B14888"/>
      <c r="C14888"/>
      <c r="D14888"/>
      <c r="E14888"/>
      <c r="F14888"/>
      <c r="G14888"/>
      <c r="H14888"/>
      <c r="I14888"/>
      <c r="J14888"/>
      <c r="K14888" s="1"/>
      <c r="L14888" s="2"/>
    </row>
    <row r="14889" spans="1:12" x14ac:dyDescent="0.2">
      <c r="A14889"/>
      <c r="B14889"/>
      <c r="C14889"/>
      <c r="D14889"/>
      <c r="E14889"/>
      <c r="F14889"/>
      <c r="G14889"/>
      <c r="H14889"/>
      <c r="I14889"/>
      <c r="J14889"/>
      <c r="K14889" s="1"/>
      <c r="L14889" s="2"/>
    </row>
    <row r="14890" spans="1:12" x14ac:dyDescent="0.2">
      <c r="A14890"/>
      <c r="B14890"/>
      <c r="C14890"/>
      <c r="D14890"/>
      <c r="E14890"/>
      <c r="F14890"/>
      <c r="G14890"/>
      <c r="H14890"/>
      <c r="I14890"/>
      <c r="J14890"/>
      <c r="K14890" s="1"/>
      <c r="L14890" s="2"/>
    </row>
    <row r="14891" spans="1:12" x14ac:dyDescent="0.2">
      <c r="A14891"/>
      <c r="B14891"/>
      <c r="C14891"/>
      <c r="D14891"/>
      <c r="E14891"/>
      <c r="F14891"/>
      <c r="G14891"/>
      <c r="H14891"/>
      <c r="I14891"/>
      <c r="J14891"/>
      <c r="K14891" s="1"/>
      <c r="L14891" s="2"/>
    </row>
    <row r="14892" spans="1:12" x14ac:dyDescent="0.2">
      <c r="A14892"/>
      <c r="B14892"/>
      <c r="C14892"/>
      <c r="D14892"/>
      <c r="E14892"/>
      <c r="F14892"/>
      <c r="G14892"/>
      <c r="H14892"/>
      <c r="I14892"/>
      <c r="J14892"/>
      <c r="K14892" s="1"/>
      <c r="L14892" s="2"/>
    </row>
    <row r="14893" spans="1:12" x14ac:dyDescent="0.2">
      <c r="A14893"/>
      <c r="B14893"/>
      <c r="C14893"/>
      <c r="D14893"/>
      <c r="E14893"/>
      <c r="F14893"/>
      <c r="G14893"/>
      <c r="H14893"/>
      <c r="I14893"/>
      <c r="J14893"/>
      <c r="K14893" s="1"/>
      <c r="L14893" s="2"/>
    </row>
    <row r="14894" spans="1:12" x14ac:dyDescent="0.2">
      <c r="A14894"/>
      <c r="B14894"/>
      <c r="C14894"/>
      <c r="D14894"/>
      <c r="E14894"/>
      <c r="F14894"/>
      <c r="G14894"/>
      <c r="H14894"/>
      <c r="I14894"/>
      <c r="J14894"/>
      <c r="K14894" s="1"/>
      <c r="L14894" s="2"/>
    </row>
    <row r="14895" spans="1:12" x14ac:dyDescent="0.2">
      <c r="A14895"/>
      <c r="B14895"/>
      <c r="C14895"/>
      <c r="D14895"/>
      <c r="E14895"/>
      <c r="F14895"/>
      <c r="G14895"/>
      <c r="H14895"/>
      <c r="I14895"/>
      <c r="J14895"/>
      <c r="K14895" s="1"/>
      <c r="L14895" s="2"/>
    </row>
    <row r="14896" spans="1:12" x14ac:dyDescent="0.2">
      <c r="A14896"/>
      <c r="B14896"/>
      <c r="C14896"/>
      <c r="D14896"/>
      <c r="E14896"/>
      <c r="F14896"/>
      <c r="G14896"/>
      <c r="H14896"/>
      <c r="I14896"/>
      <c r="J14896"/>
      <c r="K14896" s="1"/>
      <c r="L14896" s="2"/>
    </row>
    <row r="14897" spans="1:12" x14ac:dyDescent="0.2">
      <c r="A14897"/>
      <c r="B14897"/>
      <c r="C14897"/>
      <c r="D14897"/>
      <c r="E14897"/>
      <c r="F14897"/>
      <c r="G14897"/>
      <c r="H14897"/>
      <c r="I14897"/>
      <c r="J14897"/>
      <c r="K14897" s="1"/>
      <c r="L14897" s="2"/>
    </row>
    <row r="14898" spans="1:12" x14ac:dyDescent="0.2">
      <c r="A14898"/>
      <c r="B14898"/>
      <c r="C14898"/>
      <c r="D14898"/>
      <c r="E14898"/>
      <c r="F14898"/>
      <c r="G14898"/>
      <c r="H14898"/>
      <c r="I14898"/>
      <c r="J14898"/>
      <c r="K14898" s="1"/>
      <c r="L14898" s="2"/>
    </row>
    <row r="14899" spans="1:12" x14ac:dyDescent="0.2">
      <c r="A14899"/>
      <c r="B14899"/>
      <c r="C14899"/>
      <c r="D14899"/>
      <c r="E14899"/>
      <c r="F14899"/>
      <c r="G14899"/>
      <c r="H14899"/>
      <c r="I14899"/>
      <c r="J14899"/>
      <c r="K14899" s="1"/>
      <c r="L14899" s="2"/>
    </row>
    <row r="14900" spans="1:12" x14ac:dyDescent="0.2">
      <c r="A14900"/>
      <c r="B14900"/>
      <c r="C14900"/>
      <c r="D14900"/>
      <c r="E14900"/>
      <c r="F14900"/>
      <c r="G14900"/>
      <c r="H14900"/>
      <c r="I14900"/>
      <c r="J14900"/>
      <c r="K14900" s="1"/>
      <c r="L14900" s="2"/>
    </row>
    <row r="14901" spans="1:12" x14ac:dyDescent="0.2">
      <c r="A14901"/>
      <c r="B14901"/>
      <c r="C14901"/>
      <c r="D14901"/>
      <c r="E14901"/>
      <c r="F14901"/>
      <c r="G14901"/>
      <c r="H14901"/>
      <c r="I14901"/>
      <c r="J14901"/>
      <c r="K14901" s="1"/>
      <c r="L14901" s="2"/>
    </row>
    <row r="14902" spans="1:12" x14ac:dyDescent="0.2">
      <c r="A14902"/>
      <c r="B14902"/>
      <c r="C14902"/>
      <c r="D14902"/>
      <c r="E14902"/>
      <c r="F14902"/>
      <c r="G14902"/>
      <c r="H14902"/>
      <c r="I14902"/>
      <c r="J14902"/>
      <c r="K14902" s="1"/>
      <c r="L14902" s="2"/>
    </row>
    <row r="14903" spans="1:12" x14ac:dyDescent="0.2">
      <c r="A14903"/>
      <c r="B14903"/>
      <c r="C14903"/>
      <c r="D14903"/>
      <c r="E14903"/>
      <c r="F14903"/>
      <c r="G14903"/>
      <c r="H14903"/>
      <c r="I14903"/>
      <c r="J14903"/>
      <c r="K14903" s="1"/>
      <c r="L14903" s="2"/>
    </row>
    <row r="14904" spans="1:12" x14ac:dyDescent="0.2">
      <c r="A14904"/>
      <c r="B14904"/>
      <c r="C14904"/>
      <c r="D14904"/>
      <c r="E14904"/>
      <c r="F14904"/>
      <c r="G14904"/>
      <c r="H14904"/>
      <c r="I14904"/>
      <c r="J14904"/>
      <c r="K14904" s="1"/>
      <c r="L14904" s="2"/>
    </row>
    <row r="14905" spans="1:12" x14ac:dyDescent="0.2">
      <c r="A14905"/>
      <c r="B14905"/>
      <c r="C14905"/>
      <c r="D14905"/>
      <c r="E14905"/>
      <c r="F14905"/>
      <c r="G14905"/>
      <c r="H14905"/>
      <c r="I14905"/>
      <c r="J14905"/>
      <c r="K14905" s="1"/>
      <c r="L14905" s="2"/>
    </row>
    <row r="14906" spans="1:12" x14ac:dyDescent="0.2">
      <c r="A14906"/>
      <c r="B14906"/>
      <c r="C14906"/>
      <c r="D14906"/>
      <c r="E14906"/>
      <c r="F14906"/>
      <c r="G14906"/>
      <c r="H14906"/>
      <c r="I14906"/>
      <c r="J14906"/>
      <c r="K14906" s="1"/>
      <c r="L14906" s="2"/>
    </row>
    <row r="14907" spans="1:12" x14ac:dyDescent="0.2">
      <c r="A14907"/>
      <c r="B14907"/>
      <c r="C14907"/>
      <c r="D14907"/>
      <c r="E14907"/>
      <c r="F14907"/>
      <c r="G14907"/>
      <c r="H14907"/>
      <c r="I14907"/>
      <c r="J14907"/>
      <c r="K14907" s="1"/>
      <c r="L14907" s="2"/>
    </row>
    <row r="14908" spans="1:12" x14ac:dyDescent="0.2">
      <c r="A14908"/>
      <c r="B14908"/>
      <c r="C14908"/>
      <c r="D14908"/>
      <c r="E14908"/>
      <c r="F14908"/>
      <c r="G14908"/>
      <c r="H14908"/>
      <c r="I14908"/>
      <c r="J14908"/>
      <c r="K14908" s="1"/>
      <c r="L14908" s="2"/>
    </row>
    <row r="14909" spans="1:12" x14ac:dyDescent="0.2">
      <c r="A14909"/>
      <c r="B14909"/>
      <c r="C14909"/>
      <c r="D14909"/>
      <c r="E14909"/>
      <c r="F14909"/>
      <c r="G14909"/>
      <c r="H14909"/>
      <c r="I14909"/>
      <c r="J14909"/>
      <c r="K14909" s="1"/>
      <c r="L14909" s="2"/>
    </row>
    <row r="14910" spans="1:12" x14ac:dyDescent="0.2">
      <c r="A14910"/>
      <c r="B14910"/>
      <c r="C14910"/>
      <c r="D14910"/>
      <c r="E14910"/>
      <c r="F14910"/>
      <c r="G14910"/>
      <c r="H14910"/>
      <c r="I14910"/>
      <c r="J14910"/>
      <c r="K14910" s="1"/>
      <c r="L14910" s="2"/>
    </row>
    <row r="14911" spans="1:12" x14ac:dyDescent="0.2">
      <c r="A14911"/>
      <c r="B14911"/>
      <c r="C14911"/>
      <c r="D14911"/>
      <c r="E14911"/>
      <c r="F14911"/>
      <c r="G14911"/>
      <c r="H14911"/>
      <c r="I14911"/>
      <c r="J14911"/>
      <c r="K14911" s="1"/>
      <c r="L14911" s="2"/>
    </row>
    <row r="14912" spans="1:12" x14ac:dyDescent="0.2">
      <c r="A14912"/>
      <c r="B14912"/>
      <c r="C14912"/>
      <c r="D14912"/>
      <c r="E14912"/>
      <c r="F14912"/>
      <c r="G14912"/>
      <c r="H14912"/>
      <c r="I14912"/>
      <c r="J14912"/>
      <c r="K14912" s="1"/>
      <c r="L14912" s="2"/>
    </row>
    <row r="14913" spans="1:12" x14ac:dyDescent="0.2">
      <c r="A14913"/>
      <c r="B14913"/>
      <c r="C14913"/>
      <c r="D14913"/>
      <c r="E14913"/>
      <c r="F14913"/>
      <c r="G14913"/>
      <c r="H14913"/>
      <c r="I14913"/>
      <c r="J14913"/>
      <c r="K14913" s="1"/>
      <c r="L14913" s="2"/>
    </row>
    <row r="14914" spans="1:12" x14ac:dyDescent="0.2">
      <c r="A14914"/>
      <c r="B14914"/>
      <c r="C14914"/>
      <c r="D14914"/>
      <c r="E14914"/>
      <c r="F14914"/>
      <c r="G14914"/>
      <c r="H14914"/>
      <c r="I14914"/>
      <c r="J14914"/>
      <c r="K14914" s="1"/>
      <c r="L14914" s="2"/>
    </row>
    <row r="14915" spans="1:12" x14ac:dyDescent="0.2">
      <c r="A14915"/>
      <c r="B14915"/>
      <c r="C14915"/>
      <c r="D14915"/>
      <c r="E14915"/>
      <c r="F14915"/>
      <c r="G14915"/>
      <c r="H14915"/>
      <c r="I14915"/>
      <c r="J14915"/>
      <c r="K14915" s="1"/>
      <c r="L14915" s="2"/>
    </row>
    <row r="14916" spans="1:12" x14ac:dyDescent="0.2">
      <c r="A14916"/>
      <c r="B14916"/>
      <c r="C14916"/>
      <c r="D14916"/>
      <c r="E14916"/>
      <c r="F14916"/>
      <c r="G14916"/>
      <c r="H14916"/>
      <c r="I14916"/>
      <c r="J14916"/>
      <c r="K14916" s="1"/>
      <c r="L14916" s="2"/>
    </row>
    <row r="14917" spans="1:12" x14ac:dyDescent="0.2">
      <c r="A14917"/>
      <c r="B14917"/>
      <c r="C14917"/>
      <c r="D14917"/>
      <c r="E14917"/>
      <c r="F14917"/>
      <c r="G14917"/>
      <c r="H14917"/>
      <c r="I14917"/>
      <c r="J14917"/>
      <c r="K14917" s="1"/>
      <c r="L14917" s="2"/>
    </row>
    <row r="14918" spans="1:12" x14ac:dyDescent="0.2">
      <c r="A14918"/>
      <c r="B14918"/>
      <c r="C14918"/>
      <c r="D14918"/>
      <c r="E14918"/>
      <c r="F14918"/>
      <c r="G14918"/>
      <c r="H14918"/>
      <c r="I14918"/>
      <c r="J14918"/>
      <c r="K14918" s="1"/>
      <c r="L14918" s="2"/>
    </row>
    <row r="14919" spans="1:12" x14ac:dyDescent="0.2">
      <c r="A14919"/>
      <c r="B14919"/>
      <c r="C14919"/>
      <c r="D14919"/>
      <c r="E14919"/>
      <c r="F14919"/>
      <c r="G14919"/>
      <c r="H14919"/>
      <c r="I14919"/>
      <c r="J14919"/>
      <c r="K14919" s="1"/>
      <c r="L14919" s="2"/>
    </row>
    <row r="14920" spans="1:12" x14ac:dyDescent="0.2">
      <c r="A14920"/>
      <c r="B14920"/>
      <c r="C14920"/>
      <c r="D14920"/>
      <c r="E14920"/>
      <c r="F14920"/>
      <c r="G14920"/>
      <c r="H14920"/>
      <c r="I14920"/>
      <c r="J14920"/>
      <c r="K14920" s="1"/>
      <c r="L14920" s="2"/>
    </row>
    <row r="14921" spans="1:12" x14ac:dyDescent="0.2">
      <c r="A14921"/>
      <c r="B14921"/>
      <c r="C14921"/>
      <c r="D14921"/>
      <c r="E14921"/>
      <c r="F14921"/>
      <c r="G14921"/>
      <c r="H14921"/>
      <c r="I14921"/>
      <c r="J14921"/>
      <c r="K14921" s="1"/>
      <c r="L14921" s="2"/>
    </row>
    <row r="14922" spans="1:12" x14ac:dyDescent="0.2">
      <c r="A14922"/>
      <c r="B14922"/>
      <c r="C14922"/>
      <c r="D14922"/>
      <c r="E14922"/>
      <c r="F14922"/>
      <c r="G14922"/>
      <c r="H14922"/>
      <c r="I14922"/>
      <c r="J14922"/>
      <c r="K14922" s="1"/>
      <c r="L14922" s="2"/>
    </row>
    <row r="14923" spans="1:12" x14ac:dyDescent="0.2">
      <c r="A14923"/>
      <c r="B14923"/>
      <c r="C14923"/>
      <c r="D14923"/>
      <c r="E14923"/>
      <c r="F14923"/>
      <c r="G14923"/>
      <c r="H14923"/>
      <c r="I14923"/>
      <c r="J14923"/>
      <c r="K14923" s="1"/>
      <c r="L14923" s="2"/>
    </row>
    <row r="14924" spans="1:12" x14ac:dyDescent="0.2">
      <c r="A14924"/>
      <c r="B14924"/>
      <c r="C14924"/>
      <c r="D14924"/>
      <c r="E14924"/>
      <c r="F14924"/>
      <c r="G14924"/>
      <c r="H14924"/>
      <c r="I14924"/>
      <c r="J14924"/>
      <c r="K14924" s="1"/>
      <c r="L14924" s="2"/>
    </row>
    <row r="14925" spans="1:12" x14ac:dyDescent="0.2">
      <c r="A14925"/>
      <c r="B14925"/>
      <c r="C14925"/>
      <c r="D14925"/>
      <c r="E14925"/>
      <c r="F14925"/>
      <c r="G14925"/>
      <c r="H14925"/>
      <c r="I14925"/>
      <c r="J14925"/>
      <c r="K14925" s="1"/>
      <c r="L14925" s="2"/>
    </row>
    <row r="14926" spans="1:12" x14ac:dyDescent="0.2">
      <c r="A14926"/>
      <c r="B14926"/>
      <c r="C14926"/>
      <c r="D14926"/>
      <c r="E14926"/>
      <c r="F14926"/>
      <c r="G14926"/>
      <c r="H14926"/>
      <c r="I14926"/>
      <c r="J14926"/>
      <c r="K14926" s="1"/>
      <c r="L14926" s="2"/>
    </row>
    <row r="14927" spans="1:12" x14ac:dyDescent="0.2">
      <c r="A14927"/>
      <c r="B14927"/>
      <c r="C14927"/>
      <c r="D14927"/>
      <c r="E14927"/>
      <c r="F14927"/>
      <c r="G14927"/>
      <c r="H14927"/>
      <c r="I14927"/>
      <c r="J14927"/>
      <c r="K14927" s="1"/>
      <c r="L14927" s="2"/>
    </row>
    <row r="14928" spans="1:12" x14ac:dyDescent="0.2">
      <c r="A14928"/>
      <c r="B14928"/>
      <c r="C14928"/>
      <c r="D14928"/>
      <c r="E14928"/>
      <c r="F14928"/>
      <c r="G14928"/>
      <c r="H14928"/>
      <c r="I14928"/>
      <c r="J14928"/>
      <c r="K14928" s="1"/>
      <c r="L14928" s="2"/>
    </row>
    <row r="14929" spans="1:12" x14ac:dyDescent="0.2">
      <c r="A14929"/>
      <c r="B14929"/>
      <c r="C14929"/>
      <c r="D14929"/>
      <c r="E14929"/>
      <c r="F14929"/>
      <c r="G14929"/>
      <c r="H14929"/>
      <c r="I14929"/>
      <c r="J14929"/>
      <c r="K14929" s="1"/>
      <c r="L14929" s="2"/>
    </row>
    <row r="14930" spans="1:12" x14ac:dyDescent="0.2">
      <c r="A14930"/>
      <c r="B14930"/>
      <c r="C14930"/>
      <c r="D14930"/>
      <c r="E14930"/>
      <c r="F14930"/>
      <c r="G14930"/>
      <c r="H14930"/>
      <c r="I14930"/>
      <c r="J14930"/>
      <c r="K14930" s="1"/>
      <c r="L14930" s="2"/>
    </row>
    <row r="14931" spans="1:12" x14ac:dyDescent="0.2">
      <c r="A14931"/>
      <c r="B14931"/>
      <c r="C14931"/>
      <c r="D14931"/>
      <c r="E14931"/>
      <c r="F14931"/>
      <c r="G14931"/>
      <c r="H14931"/>
      <c r="I14931"/>
      <c r="J14931"/>
      <c r="K14931" s="1"/>
      <c r="L14931" s="2"/>
    </row>
    <row r="14932" spans="1:12" x14ac:dyDescent="0.2">
      <c r="A14932"/>
      <c r="B14932"/>
      <c r="C14932"/>
      <c r="D14932"/>
      <c r="E14932"/>
      <c r="F14932"/>
      <c r="G14932"/>
      <c r="H14932"/>
      <c r="I14932"/>
      <c r="J14932"/>
      <c r="K14932" s="1"/>
      <c r="L14932" s="2"/>
    </row>
    <row r="14933" spans="1:12" x14ac:dyDescent="0.2">
      <c r="A14933"/>
      <c r="B14933"/>
      <c r="C14933"/>
      <c r="D14933"/>
      <c r="E14933"/>
      <c r="F14933"/>
      <c r="G14933"/>
      <c r="H14933"/>
      <c r="I14933"/>
      <c r="J14933"/>
      <c r="K14933" s="1"/>
      <c r="L14933" s="2"/>
    </row>
    <row r="14934" spans="1:12" x14ac:dyDescent="0.2">
      <c r="A14934"/>
      <c r="B14934"/>
      <c r="C14934"/>
      <c r="D14934"/>
      <c r="E14934"/>
      <c r="F14934"/>
      <c r="G14934"/>
      <c r="H14934"/>
      <c r="I14934"/>
      <c r="J14934"/>
      <c r="K14934" s="1"/>
      <c r="L14934" s="2"/>
    </row>
    <row r="14935" spans="1:12" x14ac:dyDescent="0.2">
      <c r="A14935"/>
      <c r="B14935"/>
      <c r="C14935"/>
      <c r="D14935"/>
      <c r="E14935"/>
      <c r="F14935"/>
      <c r="G14935"/>
      <c r="H14935"/>
      <c r="I14935"/>
      <c r="J14935"/>
      <c r="K14935" s="1"/>
      <c r="L14935" s="2"/>
    </row>
    <row r="14936" spans="1:12" x14ac:dyDescent="0.2">
      <c r="A14936"/>
      <c r="B14936"/>
      <c r="C14936"/>
      <c r="D14936"/>
      <c r="E14936"/>
      <c r="F14936"/>
      <c r="G14936"/>
      <c r="H14936"/>
      <c r="I14936"/>
      <c r="J14936"/>
      <c r="K14936" s="1"/>
      <c r="L14936" s="2"/>
    </row>
    <row r="14937" spans="1:12" x14ac:dyDescent="0.2">
      <c r="A14937"/>
      <c r="B14937"/>
      <c r="C14937"/>
      <c r="D14937"/>
      <c r="E14937"/>
      <c r="F14937"/>
      <c r="G14937"/>
      <c r="H14937"/>
      <c r="I14937"/>
      <c r="J14937"/>
      <c r="K14937" s="1"/>
      <c r="L14937" s="2"/>
    </row>
    <row r="14938" spans="1:12" x14ac:dyDescent="0.2">
      <c r="A14938"/>
      <c r="B14938"/>
      <c r="C14938"/>
      <c r="D14938"/>
      <c r="E14938"/>
      <c r="F14938"/>
      <c r="G14938"/>
      <c r="H14938"/>
      <c r="I14938"/>
      <c r="J14938"/>
      <c r="K14938" s="1"/>
      <c r="L14938" s="2"/>
    </row>
    <row r="14939" spans="1:12" x14ac:dyDescent="0.2">
      <c r="A14939"/>
      <c r="B14939"/>
      <c r="C14939"/>
      <c r="D14939"/>
      <c r="E14939"/>
      <c r="F14939"/>
      <c r="G14939"/>
      <c r="H14939"/>
      <c r="I14939"/>
      <c r="J14939"/>
      <c r="K14939" s="1"/>
      <c r="L14939" s="2"/>
    </row>
    <row r="14940" spans="1:12" x14ac:dyDescent="0.2">
      <c r="A14940"/>
      <c r="B14940"/>
      <c r="C14940"/>
      <c r="D14940"/>
      <c r="E14940"/>
      <c r="F14940"/>
      <c r="G14940"/>
      <c r="H14940"/>
      <c r="I14940"/>
      <c r="J14940"/>
      <c r="K14940" s="1"/>
      <c r="L14940" s="2"/>
    </row>
    <row r="14941" spans="1:12" x14ac:dyDescent="0.2">
      <c r="A14941"/>
      <c r="B14941"/>
      <c r="C14941"/>
      <c r="D14941"/>
      <c r="E14941"/>
      <c r="F14941"/>
      <c r="G14941"/>
      <c r="H14941"/>
      <c r="I14941"/>
      <c r="J14941"/>
      <c r="K14941" s="1"/>
      <c r="L14941" s="2"/>
    </row>
    <row r="14942" spans="1:12" x14ac:dyDescent="0.2">
      <c r="A14942"/>
      <c r="B14942"/>
      <c r="C14942"/>
      <c r="D14942"/>
      <c r="E14942"/>
      <c r="F14942"/>
      <c r="G14942"/>
      <c r="H14942"/>
      <c r="I14942"/>
      <c r="J14942"/>
      <c r="K14942" s="1"/>
      <c r="L14942" s="2"/>
    </row>
    <row r="14943" spans="1:12" x14ac:dyDescent="0.2">
      <c r="A14943"/>
      <c r="B14943"/>
      <c r="C14943"/>
      <c r="D14943"/>
      <c r="E14943"/>
      <c r="F14943"/>
      <c r="G14943"/>
      <c r="H14943"/>
      <c r="I14943"/>
      <c r="J14943"/>
      <c r="K14943" s="1"/>
      <c r="L14943" s="2"/>
    </row>
    <row r="14944" spans="1:12" x14ac:dyDescent="0.2">
      <c r="A14944"/>
      <c r="B14944"/>
      <c r="C14944"/>
      <c r="D14944"/>
      <c r="E14944"/>
      <c r="F14944"/>
      <c r="G14944"/>
      <c r="H14944"/>
      <c r="I14944"/>
      <c r="J14944"/>
      <c r="K14944" s="1"/>
      <c r="L14944" s="2"/>
    </row>
    <row r="14945" spans="1:12" x14ac:dyDescent="0.2">
      <c r="A14945"/>
      <c r="B14945"/>
      <c r="C14945"/>
      <c r="D14945"/>
      <c r="E14945"/>
      <c r="F14945"/>
      <c r="G14945"/>
      <c r="H14945"/>
      <c r="I14945"/>
      <c r="J14945"/>
      <c r="K14945" s="1"/>
      <c r="L14945" s="2"/>
    </row>
    <row r="14946" spans="1:12" x14ac:dyDescent="0.2">
      <c r="A14946"/>
      <c r="B14946"/>
      <c r="C14946"/>
      <c r="D14946"/>
      <c r="E14946"/>
      <c r="F14946"/>
      <c r="G14946"/>
      <c r="H14946"/>
      <c r="I14946"/>
      <c r="J14946"/>
      <c r="K14946" s="1"/>
      <c r="L14946" s="2"/>
    </row>
    <row r="14947" spans="1:12" x14ac:dyDescent="0.2">
      <c r="A14947"/>
      <c r="B14947"/>
      <c r="C14947"/>
      <c r="D14947"/>
      <c r="E14947"/>
      <c r="F14947"/>
      <c r="G14947"/>
      <c r="H14947"/>
      <c r="I14947"/>
      <c r="J14947"/>
      <c r="K14947" s="1"/>
      <c r="L14947" s="2"/>
    </row>
    <row r="14948" spans="1:12" x14ac:dyDescent="0.2">
      <c r="A14948"/>
      <c r="B14948"/>
      <c r="C14948"/>
      <c r="D14948"/>
      <c r="E14948"/>
      <c r="F14948"/>
      <c r="G14948"/>
      <c r="H14948"/>
      <c r="I14948"/>
      <c r="J14948"/>
      <c r="K14948" s="1"/>
      <c r="L14948" s="2"/>
    </row>
    <row r="14949" spans="1:12" x14ac:dyDescent="0.2">
      <c r="A14949"/>
      <c r="B14949"/>
      <c r="C14949"/>
      <c r="D14949"/>
      <c r="E14949"/>
      <c r="F14949"/>
      <c r="G14949"/>
      <c r="H14949"/>
      <c r="I14949"/>
      <c r="J14949"/>
      <c r="K14949" s="1"/>
      <c r="L14949" s="2"/>
    </row>
    <row r="14950" spans="1:12" x14ac:dyDescent="0.2">
      <c r="A14950"/>
      <c r="B14950"/>
      <c r="C14950"/>
      <c r="D14950"/>
      <c r="E14950"/>
      <c r="F14950"/>
      <c r="G14950"/>
      <c r="H14950"/>
      <c r="I14950"/>
      <c r="J14950"/>
      <c r="K14950" s="1"/>
      <c r="L14950" s="2"/>
    </row>
    <row r="14951" spans="1:12" x14ac:dyDescent="0.2">
      <c r="A14951"/>
      <c r="B14951"/>
      <c r="C14951"/>
      <c r="D14951"/>
      <c r="E14951"/>
      <c r="F14951"/>
      <c r="G14951"/>
      <c r="H14951"/>
      <c r="I14951"/>
      <c r="J14951"/>
      <c r="K14951" s="1"/>
      <c r="L14951" s="2"/>
    </row>
    <row r="14952" spans="1:12" x14ac:dyDescent="0.2">
      <c r="A14952"/>
      <c r="B14952"/>
      <c r="C14952"/>
      <c r="D14952"/>
      <c r="E14952"/>
      <c r="F14952"/>
      <c r="G14952"/>
      <c r="H14952"/>
      <c r="I14952"/>
      <c r="J14952"/>
      <c r="K14952" s="1"/>
      <c r="L14952" s="2"/>
    </row>
    <row r="14953" spans="1:12" x14ac:dyDescent="0.2">
      <c r="A14953"/>
      <c r="B14953"/>
      <c r="C14953"/>
      <c r="D14953"/>
      <c r="E14953"/>
      <c r="F14953"/>
      <c r="G14953"/>
      <c r="H14953"/>
      <c r="I14953"/>
      <c r="J14953"/>
      <c r="K14953" s="1"/>
      <c r="L14953" s="2"/>
    </row>
    <row r="14954" spans="1:12" x14ac:dyDescent="0.2">
      <c r="A14954"/>
      <c r="B14954"/>
      <c r="C14954"/>
      <c r="D14954"/>
      <c r="E14954"/>
      <c r="F14954"/>
      <c r="G14954"/>
      <c r="H14954"/>
      <c r="I14954"/>
      <c r="J14954"/>
      <c r="K14954" s="1"/>
      <c r="L14954" s="2"/>
    </row>
    <row r="14955" spans="1:12" x14ac:dyDescent="0.2">
      <c r="A14955"/>
      <c r="B14955"/>
      <c r="C14955"/>
      <c r="D14955"/>
      <c r="E14955"/>
      <c r="F14955"/>
      <c r="G14955"/>
      <c r="H14955"/>
      <c r="I14955"/>
      <c r="J14955"/>
      <c r="K14955" s="1"/>
      <c r="L14955" s="2"/>
    </row>
    <row r="14956" spans="1:12" x14ac:dyDescent="0.2">
      <c r="A14956"/>
      <c r="B14956"/>
      <c r="C14956"/>
      <c r="D14956"/>
      <c r="E14956"/>
      <c r="F14956"/>
      <c r="G14956"/>
      <c r="H14956"/>
      <c r="I14956"/>
      <c r="J14956"/>
      <c r="K14956" s="1"/>
      <c r="L14956" s="2"/>
    </row>
    <row r="14957" spans="1:12" x14ac:dyDescent="0.2">
      <c r="A14957"/>
      <c r="B14957"/>
      <c r="C14957"/>
      <c r="D14957"/>
      <c r="E14957"/>
      <c r="F14957"/>
      <c r="G14957"/>
      <c r="H14957"/>
      <c r="I14957"/>
      <c r="J14957"/>
      <c r="K14957" s="1"/>
      <c r="L14957" s="2"/>
    </row>
    <row r="14958" spans="1:12" x14ac:dyDescent="0.2">
      <c r="A14958"/>
      <c r="B14958"/>
      <c r="C14958"/>
      <c r="D14958"/>
      <c r="E14958"/>
      <c r="F14958"/>
      <c r="G14958"/>
      <c r="H14958"/>
      <c r="I14958"/>
      <c r="J14958"/>
      <c r="K14958" s="1"/>
      <c r="L14958" s="2"/>
    </row>
    <row r="14959" spans="1:12" x14ac:dyDescent="0.2">
      <c r="A14959"/>
      <c r="B14959"/>
      <c r="C14959"/>
      <c r="D14959"/>
      <c r="E14959"/>
      <c r="F14959"/>
      <c r="G14959"/>
      <c r="H14959"/>
      <c r="I14959"/>
      <c r="J14959"/>
      <c r="K14959" s="1"/>
      <c r="L14959" s="2"/>
    </row>
    <row r="14960" spans="1:12" x14ac:dyDescent="0.2">
      <c r="A14960"/>
      <c r="B14960"/>
      <c r="C14960"/>
      <c r="D14960"/>
      <c r="E14960"/>
      <c r="F14960"/>
      <c r="G14960"/>
      <c r="H14960"/>
      <c r="I14960"/>
      <c r="J14960"/>
      <c r="K14960" s="1"/>
      <c r="L14960" s="2"/>
    </row>
    <row r="14961" spans="1:12" x14ac:dyDescent="0.2">
      <c r="A14961"/>
      <c r="B14961"/>
      <c r="C14961"/>
      <c r="D14961"/>
      <c r="E14961"/>
      <c r="F14961"/>
      <c r="G14961"/>
      <c r="H14961"/>
      <c r="I14961"/>
      <c r="J14961"/>
      <c r="K14961" s="1"/>
      <c r="L14961" s="2"/>
    </row>
    <row r="14962" spans="1:12" x14ac:dyDescent="0.2">
      <c r="A14962"/>
      <c r="B14962"/>
      <c r="C14962"/>
      <c r="D14962"/>
      <c r="E14962"/>
      <c r="F14962"/>
      <c r="G14962"/>
      <c r="H14962"/>
      <c r="I14962"/>
      <c r="J14962"/>
      <c r="K14962" s="1"/>
      <c r="L14962" s="2"/>
    </row>
    <row r="14963" spans="1:12" x14ac:dyDescent="0.2">
      <c r="A14963"/>
      <c r="B14963"/>
      <c r="C14963"/>
      <c r="D14963"/>
      <c r="E14963"/>
      <c r="F14963"/>
      <c r="G14963"/>
      <c r="H14963"/>
      <c r="I14963"/>
      <c r="J14963"/>
      <c r="K14963" s="1"/>
      <c r="L14963" s="2"/>
    </row>
    <row r="14964" spans="1:12" x14ac:dyDescent="0.2">
      <c r="A14964"/>
      <c r="B14964"/>
      <c r="C14964"/>
      <c r="D14964"/>
      <c r="E14964"/>
      <c r="F14964"/>
      <c r="G14964"/>
      <c r="H14964"/>
      <c r="I14964"/>
      <c r="J14964"/>
      <c r="K14964" s="1"/>
      <c r="L14964" s="2"/>
    </row>
    <row r="14965" spans="1:12" x14ac:dyDescent="0.2">
      <c r="A14965"/>
      <c r="B14965"/>
      <c r="C14965"/>
      <c r="D14965"/>
      <c r="E14965"/>
      <c r="F14965"/>
      <c r="G14965"/>
      <c r="H14965"/>
      <c r="I14965"/>
      <c r="J14965"/>
      <c r="K14965" s="1"/>
      <c r="L14965" s="2"/>
    </row>
    <row r="14966" spans="1:12" x14ac:dyDescent="0.2">
      <c r="A14966"/>
      <c r="B14966"/>
      <c r="C14966"/>
      <c r="D14966"/>
      <c r="E14966"/>
      <c r="F14966"/>
      <c r="G14966"/>
      <c r="H14966"/>
      <c r="I14966"/>
      <c r="J14966"/>
      <c r="K14966" s="1"/>
      <c r="L14966" s="2"/>
    </row>
    <row r="14967" spans="1:12" x14ac:dyDescent="0.2">
      <c r="A14967"/>
      <c r="B14967"/>
      <c r="C14967"/>
      <c r="D14967"/>
      <c r="E14967"/>
      <c r="F14967"/>
      <c r="G14967"/>
      <c r="H14967"/>
      <c r="I14967"/>
      <c r="J14967"/>
      <c r="K14967" s="1"/>
      <c r="L14967" s="2"/>
    </row>
    <row r="14968" spans="1:12" x14ac:dyDescent="0.2">
      <c r="A14968"/>
      <c r="B14968"/>
      <c r="C14968"/>
      <c r="D14968"/>
      <c r="E14968"/>
      <c r="F14968"/>
      <c r="G14968"/>
      <c r="H14968"/>
      <c r="I14968"/>
      <c r="J14968"/>
      <c r="K14968" s="1"/>
      <c r="L14968" s="2"/>
    </row>
    <row r="14969" spans="1:12" x14ac:dyDescent="0.2">
      <c r="A14969"/>
      <c r="B14969"/>
      <c r="C14969"/>
      <c r="D14969"/>
      <c r="E14969"/>
      <c r="F14969"/>
      <c r="G14969"/>
      <c r="H14969"/>
      <c r="I14969"/>
      <c r="J14969"/>
      <c r="K14969" s="1"/>
      <c r="L14969" s="2"/>
    </row>
    <row r="14970" spans="1:12" x14ac:dyDescent="0.2">
      <c r="A14970"/>
      <c r="B14970"/>
      <c r="C14970"/>
      <c r="D14970"/>
      <c r="E14970"/>
      <c r="F14970"/>
      <c r="G14970"/>
      <c r="H14970"/>
      <c r="I14970"/>
      <c r="J14970"/>
      <c r="K14970" s="1"/>
      <c r="L14970" s="2"/>
    </row>
    <row r="14971" spans="1:12" x14ac:dyDescent="0.2">
      <c r="A14971"/>
      <c r="B14971"/>
      <c r="C14971"/>
      <c r="D14971"/>
      <c r="E14971"/>
      <c r="F14971"/>
      <c r="G14971"/>
      <c r="H14971"/>
      <c r="I14971"/>
      <c r="J14971"/>
      <c r="K14971" s="1"/>
      <c r="L14971" s="2"/>
    </row>
    <row r="14972" spans="1:12" x14ac:dyDescent="0.2">
      <c r="A14972"/>
      <c r="B14972"/>
      <c r="C14972"/>
      <c r="D14972"/>
      <c r="E14972"/>
      <c r="F14972"/>
      <c r="G14972"/>
      <c r="H14972"/>
      <c r="I14972"/>
      <c r="J14972"/>
      <c r="K14972" s="1"/>
      <c r="L14972" s="2"/>
    </row>
    <row r="14973" spans="1:12" x14ac:dyDescent="0.2">
      <c r="A14973"/>
      <c r="B14973"/>
      <c r="C14973"/>
      <c r="D14973"/>
      <c r="E14973"/>
      <c r="F14973"/>
      <c r="G14973"/>
      <c r="H14973"/>
      <c r="I14973"/>
      <c r="J14973"/>
      <c r="K14973" s="1"/>
      <c r="L14973" s="2"/>
    </row>
    <row r="14974" spans="1:12" x14ac:dyDescent="0.2">
      <c r="A14974"/>
      <c r="B14974"/>
      <c r="C14974"/>
      <c r="D14974"/>
      <c r="E14974"/>
      <c r="F14974"/>
      <c r="G14974"/>
      <c r="H14974"/>
      <c r="I14974"/>
      <c r="J14974"/>
      <c r="K14974" s="1"/>
      <c r="L14974" s="2"/>
    </row>
    <row r="14975" spans="1:12" x14ac:dyDescent="0.2">
      <c r="A14975"/>
      <c r="B14975"/>
      <c r="C14975"/>
      <c r="D14975"/>
      <c r="E14975"/>
      <c r="F14975"/>
      <c r="G14975"/>
      <c r="H14975"/>
      <c r="I14975"/>
      <c r="J14975"/>
      <c r="K14975" s="1"/>
      <c r="L14975" s="2"/>
    </row>
    <row r="14976" spans="1:12" x14ac:dyDescent="0.2">
      <c r="A14976"/>
      <c r="B14976"/>
      <c r="C14976"/>
      <c r="D14976"/>
      <c r="E14976"/>
      <c r="F14976"/>
      <c r="G14976"/>
      <c r="H14976"/>
      <c r="I14976"/>
      <c r="J14976"/>
      <c r="K14976" s="1"/>
      <c r="L14976" s="2"/>
    </row>
    <row r="14977" spans="1:12" x14ac:dyDescent="0.2">
      <c r="A14977"/>
      <c r="B14977"/>
      <c r="C14977"/>
      <c r="D14977"/>
      <c r="E14977"/>
      <c r="F14977"/>
      <c r="G14977"/>
      <c r="H14977"/>
      <c r="I14977"/>
      <c r="J14977"/>
      <c r="K14977" s="1"/>
      <c r="L14977" s="2"/>
    </row>
    <row r="14978" spans="1:12" x14ac:dyDescent="0.2">
      <c r="A14978"/>
      <c r="B14978"/>
      <c r="C14978"/>
      <c r="D14978"/>
      <c r="E14978"/>
      <c r="F14978"/>
      <c r="G14978"/>
      <c r="H14978"/>
      <c r="I14978"/>
      <c r="J14978"/>
      <c r="K14978" s="1"/>
      <c r="L14978" s="2"/>
    </row>
    <row r="14979" spans="1:12" x14ac:dyDescent="0.2">
      <c r="A14979"/>
      <c r="B14979"/>
      <c r="C14979"/>
      <c r="D14979"/>
      <c r="E14979"/>
      <c r="F14979"/>
      <c r="G14979"/>
      <c r="H14979"/>
      <c r="I14979"/>
      <c r="J14979"/>
      <c r="K14979" s="1"/>
      <c r="L14979" s="2"/>
    </row>
    <row r="14980" spans="1:12" x14ac:dyDescent="0.2">
      <c r="A14980"/>
      <c r="B14980"/>
      <c r="C14980"/>
      <c r="D14980"/>
      <c r="E14980"/>
      <c r="F14980"/>
      <c r="G14980"/>
      <c r="H14980"/>
      <c r="I14980"/>
      <c r="J14980"/>
      <c r="K14980" s="1"/>
      <c r="L14980" s="2"/>
    </row>
    <row r="14981" spans="1:12" x14ac:dyDescent="0.2">
      <c r="A14981"/>
      <c r="B14981"/>
      <c r="C14981"/>
      <c r="D14981"/>
      <c r="E14981"/>
      <c r="F14981"/>
      <c r="G14981"/>
      <c r="H14981"/>
      <c r="I14981"/>
      <c r="J14981"/>
      <c r="K14981" s="1"/>
      <c r="L14981" s="2"/>
    </row>
    <row r="14982" spans="1:12" x14ac:dyDescent="0.2">
      <c r="A14982"/>
      <c r="B14982"/>
      <c r="C14982"/>
      <c r="D14982"/>
      <c r="E14982"/>
      <c r="F14982"/>
      <c r="G14982"/>
      <c r="H14982"/>
      <c r="I14982"/>
      <c r="J14982"/>
      <c r="K14982" s="1"/>
      <c r="L14982" s="2"/>
    </row>
    <row r="14983" spans="1:12" x14ac:dyDescent="0.2">
      <c r="A14983"/>
      <c r="B14983"/>
      <c r="C14983"/>
      <c r="D14983"/>
      <c r="E14983"/>
      <c r="F14983"/>
      <c r="G14983"/>
      <c r="H14983"/>
      <c r="I14983"/>
      <c r="J14983"/>
      <c r="K14983" s="1"/>
      <c r="L14983" s="2"/>
    </row>
    <row r="14984" spans="1:12" x14ac:dyDescent="0.2">
      <c r="A14984"/>
      <c r="B14984"/>
      <c r="C14984"/>
      <c r="D14984"/>
      <c r="E14984"/>
      <c r="F14984"/>
      <c r="G14984"/>
      <c r="H14984"/>
      <c r="I14984"/>
      <c r="J14984"/>
      <c r="K14984" s="1"/>
      <c r="L14984" s="2"/>
    </row>
    <row r="14985" spans="1:12" x14ac:dyDescent="0.2">
      <c r="A14985"/>
      <c r="B14985"/>
      <c r="C14985"/>
      <c r="D14985"/>
      <c r="E14985"/>
      <c r="F14985"/>
      <c r="G14985"/>
      <c r="H14985"/>
      <c r="I14985"/>
      <c r="J14985"/>
      <c r="K14985" s="1"/>
      <c r="L14985" s="2"/>
    </row>
    <row r="14986" spans="1:12" x14ac:dyDescent="0.2">
      <c r="A14986"/>
      <c r="B14986"/>
      <c r="C14986"/>
      <c r="D14986"/>
      <c r="E14986"/>
      <c r="F14986"/>
      <c r="G14986"/>
      <c r="H14986"/>
      <c r="I14986"/>
      <c r="J14986"/>
      <c r="K14986" s="1"/>
      <c r="L14986" s="2"/>
    </row>
    <row r="14987" spans="1:12" x14ac:dyDescent="0.2">
      <c r="A14987"/>
      <c r="B14987"/>
      <c r="C14987"/>
      <c r="D14987"/>
      <c r="E14987"/>
      <c r="F14987"/>
      <c r="G14987"/>
      <c r="H14987"/>
      <c r="I14987"/>
      <c r="J14987"/>
      <c r="K14987" s="1"/>
      <c r="L14987" s="2"/>
    </row>
    <row r="14988" spans="1:12" x14ac:dyDescent="0.2">
      <c r="A14988"/>
      <c r="B14988"/>
      <c r="C14988"/>
      <c r="D14988"/>
      <c r="E14988"/>
      <c r="F14988"/>
      <c r="G14988"/>
      <c r="H14988"/>
      <c r="I14988"/>
      <c r="J14988"/>
      <c r="K14988" s="1"/>
      <c r="L14988" s="2"/>
    </row>
    <row r="14989" spans="1:12" x14ac:dyDescent="0.2">
      <c r="A14989"/>
      <c r="B14989"/>
      <c r="C14989"/>
      <c r="D14989"/>
      <c r="E14989"/>
      <c r="F14989"/>
      <c r="G14989"/>
      <c r="H14989"/>
      <c r="I14989"/>
      <c r="J14989"/>
      <c r="K14989" s="1"/>
      <c r="L14989" s="2"/>
    </row>
    <row r="14990" spans="1:12" x14ac:dyDescent="0.2">
      <c r="A14990"/>
      <c r="B14990"/>
      <c r="C14990"/>
      <c r="D14990"/>
      <c r="E14990"/>
      <c r="F14990"/>
      <c r="G14990"/>
      <c r="H14990"/>
      <c r="I14990"/>
      <c r="J14990"/>
      <c r="K14990" s="1"/>
      <c r="L14990" s="2"/>
    </row>
    <row r="14991" spans="1:12" x14ac:dyDescent="0.2">
      <c r="A14991"/>
      <c r="B14991"/>
      <c r="C14991"/>
      <c r="D14991"/>
      <c r="E14991"/>
      <c r="F14991"/>
      <c r="G14991"/>
      <c r="H14991"/>
      <c r="I14991"/>
      <c r="J14991"/>
      <c r="K14991" s="1"/>
      <c r="L14991" s="2"/>
    </row>
    <row r="14992" spans="1:12" x14ac:dyDescent="0.2">
      <c r="A14992"/>
      <c r="B14992"/>
      <c r="C14992"/>
      <c r="D14992"/>
      <c r="E14992"/>
      <c r="F14992"/>
      <c r="G14992"/>
      <c r="H14992"/>
      <c r="I14992"/>
      <c r="J14992"/>
      <c r="K14992" s="1"/>
      <c r="L14992" s="2"/>
    </row>
    <row r="14993" spans="1:12" x14ac:dyDescent="0.2">
      <c r="A14993"/>
      <c r="B14993"/>
      <c r="C14993"/>
      <c r="D14993"/>
      <c r="E14993"/>
      <c r="F14993"/>
      <c r="G14993"/>
      <c r="H14993"/>
      <c r="I14993"/>
      <c r="J14993"/>
      <c r="K14993" s="1"/>
      <c r="L14993" s="2"/>
    </row>
    <row r="14994" spans="1:12" x14ac:dyDescent="0.2">
      <c r="A14994"/>
      <c r="B14994"/>
      <c r="C14994"/>
      <c r="D14994"/>
      <c r="E14994"/>
      <c r="F14994"/>
      <c r="G14994"/>
      <c r="H14994"/>
      <c r="I14994"/>
      <c r="J14994"/>
      <c r="K14994" s="1"/>
      <c r="L14994" s="2"/>
    </row>
    <row r="14995" spans="1:12" x14ac:dyDescent="0.2">
      <c r="A14995"/>
      <c r="B14995"/>
      <c r="C14995"/>
      <c r="D14995"/>
      <c r="E14995"/>
      <c r="F14995"/>
      <c r="G14995"/>
      <c r="H14995"/>
      <c r="I14995"/>
      <c r="J14995"/>
      <c r="K14995" s="1"/>
      <c r="L14995" s="2"/>
    </row>
    <row r="14996" spans="1:12" x14ac:dyDescent="0.2">
      <c r="A14996"/>
      <c r="B14996"/>
      <c r="C14996"/>
      <c r="D14996"/>
      <c r="E14996"/>
      <c r="F14996"/>
      <c r="G14996"/>
      <c r="H14996"/>
      <c r="I14996"/>
      <c r="J14996"/>
      <c r="K14996" s="1"/>
      <c r="L14996" s="2"/>
    </row>
    <row r="14997" spans="1:12" x14ac:dyDescent="0.2">
      <c r="A14997"/>
      <c r="B14997"/>
      <c r="C14997"/>
      <c r="D14997"/>
      <c r="E14997"/>
      <c r="F14997"/>
      <c r="G14997"/>
      <c r="H14997"/>
      <c r="I14997"/>
      <c r="J14997"/>
      <c r="K14997" s="1"/>
      <c r="L14997" s="2"/>
    </row>
    <row r="14998" spans="1:12" x14ac:dyDescent="0.2">
      <c r="A14998"/>
      <c r="B14998"/>
      <c r="C14998"/>
      <c r="D14998"/>
      <c r="E14998"/>
      <c r="F14998"/>
      <c r="G14998"/>
      <c r="H14998"/>
      <c r="I14998"/>
      <c r="J14998"/>
      <c r="K14998" s="1"/>
      <c r="L14998" s="2"/>
    </row>
    <row r="14999" spans="1:12" x14ac:dyDescent="0.2">
      <c r="A14999"/>
      <c r="B14999"/>
      <c r="C14999"/>
      <c r="D14999"/>
      <c r="E14999"/>
      <c r="F14999"/>
      <c r="G14999"/>
      <c r="H14999"/>
      <c r="I14999"/>
      <c r="J14999"/>
      <c r="K14999" s="1"/>
      <c r="L14999" s="2"/>
    </row>
    <row r="15000" spans="1:12" x14ac:dyDescent="0.2">
      <c r="A15000"/>
      <c r="B15000"/>
      <c r="C15000"/>
      <c r="D15000"/>
      <c r="E15000"/>
      <c r="F15000"/>
      <c r="G15000"/>
      <c r="H15000"/>
      <c r="I15000"/>
      <c r="J15000"/>
      <c r="K15000" s="1"/>
      <c r="L15000" s="2"/>
    </row>
    <row r="15001" spans="1:12" x14ac:dyDescent="0.2">
      <c r="A15001"/>
      <c r="B15001"/>
      <c r="C15001"/>
      <c r="D15001"/>
      <c r="E15001"/>
      <c r="F15001"/>
      <c r="G15001"/>
      <c r="H15001"/>
      <c r="I15001"/>
      <c r="J15001"/>
      <c r="K15001" s="1"/>
      <c r="L15001" s="2"/>
    </row>
    <row r="15002" spans="1:12" x14ac:dyDescent="0.2">
      <c r="A15002"/>
      <c r="B15002"/>
      <c r="C15002"/>
      <c r="D15002"/>
      <c r="E15002"/>
      <c r="F15002"/>
      <c r="G15002"/>
      <c r="H15002"/>
      <c r="I15002"/>
      <c r="J15002"/>
      <c r="K15002" s="1"/>
      <c r="L15002" s="2"/>
    </row>
    <row r="15003" spans="1:12" x14ac:dyDescent="0.2">
      <c r="A15003"/>
      <c r="B15003"/>
      <c r="C15003"/>
      <c r="D15003"/>
      <c r="E15003"/>
      <c r="F15003"/>
      <c r="G15003"/>
      <c r="H15003"/>
      <c r="I15003"/>
      <c r="J15003"/>
      <c r="K15003" s="1"/>
      <c r="L15003" s="2"/>
    </row>
    <row r="15004" spans="1:12" x14ac:dyDescent="0.2">
      <c r="A15004"/>
      <c r="B15004"/>
      <c r="C15004"/>
      <c r="D15004"/>
      <c r="E15004"/>
      <c r="F15004"/>
      <c r="G15004"/>
      <c r="H15004"/>
      <c r="I15004"/>
      <c r="J15004"/>
      <c r="K15004" s="1"/>
      <c r="L15004" s="2"/>
    </row>
    <row r="15005" spans="1:12" x14ac:dyDescent="0.2">
      <c r="A15005"/>
      <c r="B15005"/>
      <c r="C15005"/>
      <c r="D15005"/>
      <c r="E15005"/>
      <c r="F15005"/>
      <c r="G15005"/>
      <c r="H15005"/>
      <c r="I15005"/>
      <c r="J15005"/>
      <c r="K15005" s="1"/>
      <c r="L15005" s="2"/>
    </row>
    <row r="15006" spans="1:12" x14ac:dyDescent="0.2">
      <c r="A15006"/>
      <c r="B15006"/>
      <c r="C15006"/>
      <c r="D15006"/>
      <c r="E15006"/>
      <c r="F15006"/>
      <c r="G15006"/>
      <c r="H15006"/>
      <c r="I15006"/>
      <c r="J15006"/>
      <c r="K15006" s="1"/>
      <c r="L15006" s="2"/>
    </row>
    <row r="15007" spans="1:12" x14ac:dyDescent="0.2">
      <c r="A15007"/>
      <c r="B15007"/>
      <c r="C15007"/>
      <c r="D15007"/>
      <c r="E15007"/>
      <c r="F15007"/>
      <c r="G15007"/>
      <c r="H15007"/>
      <c r="I15007"/>
      <c r="J15007"/>
      <c r="K15007" s="1"/>
      <c r="L15007" s="2"/>
    </row>
    <row r="15008" spans="1:12" x14ac:dyDescent="0.2">
      <c r="A15008"/>
      <c r="B15008"/>
      <c r="C15008"/>
      <c r="D15008"/>
      <c r="E15008"/>
      <c r="F15008"/>
      <c r="G15008"/>
      <c r="H15008"/>
      <c r="I15008"/>
      <c r="J15008"/>
      <c r="K15008" s="1"/>
      <c r="L15008" s="2"/>
    </row>
    <row r="15009" spans="1:12" x14ac:dyDescent="0.2">
      <c r="A15009"/>
      <c r="B15009"/>
      <c r="C15009"/>
      <c r="D15009"/>
      <c r="E15009"/>
      <c r="F15009"/>
      <c r="G15009"/>
      <c r="H15009"/>
      <c r="I15009"/>
      <c r="J15009"/>
      <c r="K15009" s="1"/>
      <c r="L15009" s="2"/>
    </row>
    <row r="15010" spans="1:12" x14ac:dyDescent="0.2">
      <c r="A15010"/>
      <c r="B15010"/>
      <c r="C15010"/>
      <c r="D15010"/>
      <c r="E15010"/>
      <c r="F15010"/>
      <c r="G15010"/>
      <c r="H15010"/>
      <c r="I15010"/>
      <c r="J15010"/>
      <c r="K15010" s="1"/>
      <c r="L15010" s="2"/>
    </row>
    <row r="15011" spans="1:12" x14ac:dyDescent="0.2">
      <c r="A15011"/>
      <c r="B15011"/>
      <c r="C15011"/>
      <c r="D15011"/>
      <c r="E15011"/>
      <c r="F15011"/>
      <c r="G15011"/>
      <c r="H15011"/>
      <c r="I15011"/>
      <c r="J15011"/>
      <c r="K15011" s="1"/>
      <c r="L15011" s="2"/>
    </row>
    <row r="15012" spans="1:12" x14ac:dyDescent="0.2">
      <c r="A15012"/>
      <c r="B15012"/>
      <c r="C15012"/>
      <c r="D15012"/>
      <c r="E15012"/>
      <c r="F15012"/>
      <c r="G15012"/>
      <c r="H15012"/>
      <c r="I15012"/>
      <c r="J15012"/>
      <c r="K15012" s="1"/>
      <c r="L15012" s="2"/>
    </row>
    <row r="15013" spans="1:12" x14ac:dyDescent="0.2">
      <c r="A15013"/>
      <c r="B15013"/>
      <c r="C15013"/>
      <c r="D15013"/>
      <c r="E15013"/>
      <c r="F15013"/>
      <c r="G15013"/>
      <c r="H15013"/>
      <c r="I15013"/>
      <c r="J15013"/>
      <c r="K15013" s="1"/>
      <c r="L15013" s="2"/>
    </row>
    <row r="15014" spans="1:12" x14ac:dyDescent="0.2">
      <c r="A15014"/>
      <c r="B15014"/>
      <c r="C15014"/>
      <c r="D15014"/>
      <c r="E15014"/>
      <c r="F15014"/>
      <c r="G15014"/>
      <c r="H15014"/>
      <c r="I15014"/>
      <c r="J15014"/>
      <c r="K15014" s="1"/>
      <c r="L15014" s="2"/>
    </row>
    <row r="15015" spans="1:12" x14ac:dyDescent="0.2">
      <c r="A15015"/>
      <c r="B15015"/>
      <c r="C15015"/>
      <c r="D15015"/>
      <c r="E15015"/>
      <c r="F15015"/>
      <c r="G15015"/>
      <c r="H15015"/>
      <c r="I15015"/>
      <c r="J15015"/>
      <c r="K15015" s="1"/>
      <c r="L15015" s="2"/>
    </row>
    <row r="15016" spans="1:12" x14ac:dyDescent="0.2">
      <c r="A15016"/>
      <c r="B15016"/>
      <c r="C15016"/>
      <c r="D15016"/>
      <c r="E15016"/>
      <c r="F15016"/>
      <c r="G15016"/>
      <c r="H15016"/>
      <c r="I15016"/>
      <c r="J15016"/>
      <c r="K15016" s="1"/>
      <c r="L15016" s="2"/>
    </row>
    <row r="15017" spans="1:12" x14ac:dyDescent="0.2">
      <c r="A15017"/>
      <c r="B15017"/>
      <c r="C15017"/>
      <c r="D15017"/>
      <c r="E15017"/>
      <c r="F15017"/>
      <c r="G15017"/>
      <c r="H15017"/>
      <c r="I15017"/>
      <c r="J15017"/>
      <c r="K15017" s="1"/>
      <c r="L15017" s="2"/>
    </row>
    <row r="15018" spans="1:12" x14ac:dyDescent="0.2">
      <c r="A15018"/>
      <c r="B15018"/>
      <c r="C15018"/>
      <c r="D15018"/>
      <c r="E15018"/>
      <c r="F15018"/>
      <c r="G15018"/>
      <c r="H15018"/>
      <c r="I15018"/>
      <c r="J15018"/>
      <c r="K15018" s="1"/>
      <c r="L15018" s="2"/>
    </row>
    <row r="15019" spans="1:12" x14ac:dyDescent="0.2">
      <c r="A15019"/>
      <c r="B15019"/>
      <c r="C15019"/>
      <c r="D15019"/>
      <c r="E15019"/>
      <c r="F15019"/>
      <c r="G15019"/>
      <c r="H15019"/>
      <c r="I15019"/>
      <c r="J15019"/>
      <c r="K15019" s="1"/>
      <c r="L15019" s="2"/>
    </row>
    <row r="15020" spans="1:12" x14ac:dyDescent="0.2">
      <c r="A15020"/>
      <c r="B15020"/>
      <c r="C15020"/>
      <c r="D15020"/>
      <c r="E15020"/>
      <c r="F15020"/>
      <c r="G15020"/>
      <c r="H15020"/>
      <c r="I15020"/>
      <c r="J15020"/>
      <c r="K15020" s="1"/>
      <c r="L15020" s="2"/>
    </row>
    <row r="15021" spans="1:12" x14ac:dyDescent="0.2">
      <c r="A15021"/>
      <c r="B15021"/>
      <c r="C15021"/>
      <c r="D15021"/>
      <c r="E15021"/>
      <c r="F15021"/>
      <c r="G15021"/>
      <c r="H15021"/>
      <c r="I15021"/>
      <c r="J15021"/>
      <c r="K15021" s="1"/>
      <c r="L15021" s="2"/>
    </row>
    <row r="15022" spans="1:12" x14ac:dyDescent="0.2">
      <c r="A15022"/>
      <c r="B15022"/>
      <c r="C15022"/>
      <c r="D15022"/>
      <c r="E15022"/>
      <c r="F15022"/>
      <c r="G15022"/>
      <c r="H15022"/>
      <c r="I15022"/>
      <c r="J15022"/>
      <c r="K15022" s="1"/>
      <c r="L15022" s="2"/>
    </row>
    <row r="15023" spans="1:12" x14ac:dyDescent="0.2">
      <c r="A15023"/>
      <c r="B15023"/>
      <c r="C15023"/>
      <c r="D15023"/>
      <c r="E15023"/>
      <c r="F15023"/>
      <c r="G15023"/>
      <c r="H15023"/>
      <c r="I15023"/>
      <c r="J15023"/>
      <c r="K15023" s="1"/>
      <c r="L15023" s="2"/>
    </row>
    <row r="15024" spans="1:12" x14ac:dyDescent="0.2">
      <c r="A15024"/>
      <c r="B15024"/>
      <c r="C15024"/>
      <c r="D15024"/>
      <c r="E15024"/>
      <c r="F15024"/>
      <c r="G15024"/>
      <c r="H15024"/>
      <c r="I15024"/>
      <c r="J15024"/>
      <c r="K15024" s="1"/>
      <c r="L15024" s="2"/>
    </row>
    <row r="15025" spans="1:12" x14ac:dyDescent="0.2">
      <c r="A15025"/>
      <c r="B15025"/>
      <c r="C15025"/>
      <c r="D15025"/>
      <c r="E15025"/>
      <c r="F15025"/>
      <c r="G15025"/>
      <c r="H15025"/>
      <c r="I15025"/>
      <c r="J15025"/>
      <c r="K15025" s="1"/>
      <c r="L15025" s="2"/>
    </row>
    <row r="15026" spans="1:12" x14ac:dyDescent="0.2">
      <c r="A15026"/>
      <c r="B15026"/>
      <c r="C15026"/>
      <c r="D15026"/>
      <c r="E15026"/>
      <c r="F15026"/>
      <c r="G15026"/>
      <c r="H15026"/>
      <c r="I15026"/>
      <c r="J15026"/>
      <c r="K15026" s="1"/>
      <c r="L15026" s="2"/>
    </row>
    <row r="15027" spans="1:12" x14ac:dyDescent="0.2">
      <c r="A15027"/>
      <c r="B15027"/>
      <c r="C15027"/>
      <c r="D15027"/>
      <c r="E15027"/>
      <c r="F15027"/>
      <c r="G15027"/>
      <c r="H15027"/>
      <c r="I15027"/>
      <c r="J15027"/>
      <c r="K15027" s="1"/>
      <c r="L15027" s="2"/>
    </row>
    <row r="15028" spans="1:12" x14ac:dyDescent="0.2">
      <c r="A15028"/>
      <c r="B15028"/>
      <c r="C15028"/>
      <c r="D15028"/>
      <c r="E15028"/>
      <c r="F15028"/>
      <c r="G15028"/>
      <c r="H15028"/>
      <c r="I15028"/>
      <c r="J15028"/>
      <c r="K15028" s="1"/>
      <c r="L15028" s="2"/>
    </row>
    <row r="15029" spans="1:12" x14ac:dyDescent="0.2">
      <c r="A15029"/>
      <c r="B15029"/>
      <c r="C15029"/>
      <c r="D15029"/>
      <c r="E15029"/>
      <c r="F15029"/>
      <c r="G15029"/>
      <c r="H15029"/>
      <c r="I15029"/>
      <c r="J15029"/>
      <c r="K15029" s="1"/>
      <c r="L15029" s="2"/>
    </row>
    <row r="15030" spans="1:12" x14ac:dyDescent="0.2">
      <c r="A15030"/>
      <c r="B15030"/>
      <c r="C15030"/>
      <c r="D15030"/>
      <c r="E15030"/>
      <c r="F15030"/>
      <c r="G15030"/>
      <c r="H15030"/>
      <c r="I15030"/>
      <c r="J15030"/>
      <c r="K15030" s="1"/>
      <c r="L15030" s="2"/>
    </row>
    <row r="15031" spans="1:12" x14ac:dyDescent="0.2">
      <c r="A15031"/>
      <c r="B15031"/>
      <c r="C15031"/>
      <c r="D15031"/>
      <c r="E15031"/>
      <c r="F15031"/>
      <c r="G15031"/>
      <c r="H15031"/>
      <c r="I15031"/>
      <c r="J15031"/>
      <c r="K15031" s="1"/>
      <c r="L15031" s="2"/>
    </row>
    <row r="15032" spans="1:12" x14ac:dyDescent="0.2">
      <c r="A15032"/>
      <c r="B15032"/>
      <c r="C15032"/>
      <c r="D15032"/>
      <c r="E15032"/>
      <c r="F15032"/>
      <c r="G15032"/>
      <c r="H15032"/>
      <c r="I15032"/>
      <c r="J15032"/>
      <c r="K15032" s="1"/>
      <c r="L15032" s="2"/>
    </row>
    <row r="15033" spans="1:12" x14ac:dyDescent="0.2">
      <c r="A15033"/>
      <c r="B15033"/>
      <c r="C15033"/>
      <c r="D15033"/>
      <c r="E15033"/>
      <c r="F15033"/>
      <c r="G15033"/>
      <c r="H15033"/>
      <c r="I15033"/>
      <c r="J15033"/>
      <c r="K15033" s="1"/>
      <c r="L15033" s="2"/>
    </row>
    <row r="15034" spans="1:12" x14ac:dyDescent="0.2">
      <c r="A15034"/>
      <c r="B15034"/>
      <c r="C15034"/>
      <c r="D15034"/>
      <c r="E15034"/>
      <c r="F15034"/>
      <c r="G15034"/>
      <c r="H15034"/>
      <c r="I15034"/>
      <c r="J15034"/>
      <c r="K15034" s="1"/>
      <c r="L15034" s="2"/>
    </row>
    <row r="15035" spans="1:12" x14ac:dyDescent="0.2">
      <c r="A15035"/>
      <c r="B15035"/>
      <c r="C15035"/>
      <c r="D15035"/>
      <c r="E15035"/>
      <c r="F15035"/>
      <c r="G15035"/>
      <c r="H15035"/>
      <c r="I15035"/>
      <c r="J15035"/>
      <c r="K15035" s="1"/>
      <c r="L15035" s="2"/>
    </row>
    <row r="15036" spans="1:12" x14ac:dyDescent="0.2">
      <c r="A15036"/>
      <c r="B15036"/>
      <c r="C15036"/>
      <c r="D15036"/>
      <c r="E15036"/>
      <c r="F15036"/>
      <c r="G15036"/>
      <c r="H15036"/>
      <c r="I15036"/>
      <c r="J15036"/>
      <c r="K15036" s="1"/>
      <c r="L15036" s="2"/>
    </row>
    <row r="15037" spans="1:12" x14ac:dyDescent="0.2">
      <c r="A15037"/>
      <c r="B15037"/>
      <c r="C15037"/>
      <c r="D15037"/>
      <c r="E15037"/>
      <c r="F15037"/>
      <c r="G15037"/>
      <c r="H15037"/>
      <c r="I15037"/>
      <c r="J15037"/>
      <c r="K15037" s="1"/>
      <c r="L15037" s="2"/>
    </row>
    <row r="15038" spans="1:12" x14ac:dyDescent="0.2">
      <c r="A15038"/>
      <c r="B15038"/>
      <c r="C15038"/>
      <c r="D15038"/>
      <c r="E15038"/>
      <c r="F15038"/>
      <c r="G15038"/>
      <c r="H15038"/>
      <c r="I15038"/>
      <c r="J15038"/>
      <c r="K15038" s="1"/>
      <c r="L15038" s="2"/>
    </row>
    <row r="15039" spans="1:12" x14ac:dyDescent="0.2">
      <c r="A15039"/>
      <c r="B15039"/>
      <c r="C15039"/>
      <c r="D15039"/>
      <c r="E15039"/>
      <c r="F15039"/>
      <c r="G15039"/>
      <c r="H15039"/>
      <c r="I15039"/>
      <c r="J15039"/>
      <c r="K15039" s="1"/>
      <c r="L15039" s="2"/>
    </row>
    <row r="15040" spans="1:12" x14ac:dyDescent="0.2">
      <c r="A15040"/>
      <c r="B15040"/>
      <c r="C15040"/>
      <c r="D15040"/>
      <c r="E15040"/>
      <c r="F15040"/>
      <c r="G15040"/>
      <c r="H15040"/>
      <c r="I15040"/>
      <c r="J15040"/>
      <c r="K15040" s="1"/>
      <c r="L15040" s="2"/>
    </row>
    <row r="15041" spans="1:12" x14ac:dyDescent="0.2">
      <c r="A15041"/>
      <c r="B15041"/>
      <c r="C15041"/>
      <c r="D15041"/>
      <c r="E15041"/>
      <c r="F15041"/>
      <c r="G15041"/>
      <c r="H15041"/>
      <c r="I15041"/>
      <c r="J15041"/>
      <c r="K15041" s="1"/>
      <c r="L15041" s="2"/>
    </row>
    <row r="15042" spans="1:12" x14ac:dyDescent="0.2">
      <c r="A15042"/>
      <c r="B15042"/>
      <c r="C15042"/>
      <c r="D15042"/>
      <c r="E15042"/>
      <c r="F15042"/>
      <c r="G15042"/>
      <c r="H15042"/>
      <c r="I15042"/>
      <c r="J15042"/>
      <c r="K15042" s="1"/>
      <c r="L15042" s="2"/>
    </row>
    <row r="15043" spans="1:12" x14ac:dyDescent="0.2">
      <c r="A15043"/>
      <c r="B15043"/>
      <c r="C15043"/>
      <c r="D15043"/>
      <c r="E15043"/>
      <c r="F15043"/>
      <c r="G15043"/>
      <c r="H15043"/>
      <c r="I15043"/>
      <c r="J15043"/>
      <c r="K15043" s="1"/>
      <c r="L15043" s="2"/>
    </row>
    <row r="15044" spans="1:12" x14ac:dyDescent="0.2">
      <c r="A15044"/>
      <c r="B15044"/>
      <c r="C15044"/>
      <c r="D15044"/>
      <c r="E15044"/>
      <c r="F15044"/>
      <c r="G15044"/>
      <c r="H15044"/>
      <c r="I15044"/>
      <c r="J15044"/>
      <c r="K15044" s="1"/>
      <c r="L15044" s="2"/>
    </row>
    <row r="15045" spans="1:12" x14ac:dyDescent="0.2">
      <c r="A15045"/>
      <c r="B15045"/>
      <c r="C15045"/>
      <c r="D15045"/>
      <c r="E15045"/>
      <c r="F15045"/>
      <c r="G15045"/>
      <c r="H15045"/>
      <c r="I15045"/>
      <c r="J15045"/>
      <c r="K15045" s="1"/>
      <c r="L15045" s="2"/>
    </row>
    <row r="15046" spans="1:12" x14ac:dyDescent="0.2">
      <c r="A15046"/>
      <c r="B15046"/>
      <c r="C15046"/>
      <c r="D15046"/>
      <c r="E15046"/>
      <c r="F15046"/>
      <c r="G15046"/>
      <c r="H15046"/>
      <c r="I15046"/>
      <c r="J15046"/>
      <c r="K15046" s="1"/>
      <c r="L15046" s="2"/>
    </row>
    <row r="15047" spans="1:12" x14ac:dyDescent="0.2">
      <c r="A15047"/>
      <c r="B15047"/>
      <c r="C15047"/>
      <c r="D15047"/>
      <c r="E15047"/>
      <c r="F15047"/>
      <c r="G15047"/>
      <c r="H15047"/>
      <c r="I15047"/>
      <c r="J15047"/>
      <c r="K15047" s="1"/>
      <c r="L15047" s="2"/>
    </row>
    <row r="15048" spans="1:12" x14ac:dyDescent="0.2">
      <c r="A15048"/>
      <c r="B15048"/>
      <c r="C15048"/>
      <c r="D15048"/>
      <c r="E15048"/>
      <c r="F15048"/>
      <c r="G15048"/>
      <c r="H15048"/>
      <c r="I15048"/>
      <c r="J15048"/>
      <c r="K15048" s="1"/>
      <c r="L15048" s="2"/>
    </row>
    <row r="15049" spans="1:12" x14ac:dyDescent="0.2">
      <c r="A15049"/>
      <c r="B15049"/>
      <c r="C15049"/>
      <c r="D15049"/>
      <c r="E15049"/>
      <c r="F15049"/>
      <c r="G15049"/>
      <c r="H15049"/>
      <c r="I15049"/>
      <c r="J15049"/>
      <c r="K15049" s="1"/>
      <c r="L15049" s="2"/>
    </row>
    <row r="15050" spans="1:12" x14ac:dyDescent="0.2">
      <c r="A15050"/>
      <c r="B15050"/>
      <c r="C15050"/>
      <c r="D15050"/>
      <c r="E15050"/>
      <c r="F15050"/>
      <c r="G15050"/>
      <c r="H15050"/>
      <c r="I15050"/>
      <c r="J15050"/>
      <c r="K15050" s="1"/>
      <c r="L15050" s="2"/>
    </row>
    <row r="15051" spans="1:12" x14ac:dyDescent="0.2">
      <c r="A15051"/>
      <c r="B15051"/>
      <c r="C15051"/>
      <c r="D15051"/>
      <c r="E15051"/>
      <c r="F15051"/>
      <c r="G15051"/>
      <c r="H15051"/>
      <c r="I15051"/>
      <c r="J15051"/>
      <c r="K15051" s="1"/>
      <c r="L15051" s="2"/>
    </row>
    <row r="15052" spans="1:12" x14ac:dyDescent="0.2">
      <c r="A15052"/>
      <c r="B15052"/>
      <c r="C15052"/>
      <c r="D15052"/>
      <c r="E15052"/>
      <c r="F15052"/>
      <c r="G15052"/>
      <c r="H15052"/>
      <c r="I15052"/>
      <c r="J15052"/>
      <c r="K15052" s="1"/>
      <c r="L15052" s="2"/>
    </row>
    <row r="15053" spans="1:12" x14ac:dyDescent="0.2">
      <c r="A15053"/>
      <c r="B15053"/>
      <c r="C15053"/>
      <c r="D15053"/>
      <c r="E15053"/>
      <c r="F15053"/>
      <c r="G15053"/>
      <c r="H15053"/>
      <c r="I15053"/>
      <c r="J15053"/>
      <c r="K15053" s="1"/>
      <c r="L15053" s="2"/>
    </row>
    <row r="15054" spans="1:12" x14ac:dyDescent="0.2">
      <c r="A15054"/>
      <c r="B15054"/>
      <c r="C15054"/>
      <c r="D15054"/>
      <c r="E15054"/>
      <c r="F15054"/>
      <c r="G15054"/>
      <c r="H15054"/>
      <c r="I15054"/>
      <c r="J15054"/>
      <c r="K15054" s="1"/>
      <c r="L15054" s="2"/>
    </row>
    <row r="15055" spans="1:12" x14ac:dyDescent="0.2">
      <c r="A15055"/>
      <c r="B15055"/>
      <c r="C15055"/>
      <c r="D15055"/>
      <c r="E15055"/>
      <c r="F15055"/>
      <c r="G15055"/>
      <c r="H15055"/>
      <c r="I15055"/>
      <c r="J15055"/>
      <c r="K15055" s="1"/>
      <c r="L15055" s="2"/>
    </row>
    <row r="15056" spans="1:12" x14ac:dyDescent="0.2">
      <c r="A15056"/>
      <c r="B15056"/>
      <c r="C15056"/>
      <c r="D15056"/>
      <c r="E15056"/>
      <c r="F15056"/>
      <c r="G15056"/>
      <c r="H15056"/>
      <c r="I15056"/>
      <c r="J15056"/>
      <c r="K15056" s="1"/>
      <c r="L15056" s="2"/>
    </row>
    <row r="15057" spans="1:12" x14ac:dyDescent="0.2">
      <c r="A15057"/>
      <c r="B15057"/>
      <c r="C15057"/>
      <c r="D15057"/>
      <c r="E15057"/>
      <c r="F15057"/>
      <c r="G15057"/>
      <c r="H15057"/>
      <c r="I15057"/>
      <c r="J15057"/>
      <c r="K15057" s="1"/>
      <c r="L15057" s="2"/>
    </row>
    <row r="15058" spans="1:12" x14ac:dyDescent="0.2">
      <c r="A15058"/>
      <c r="B15058"/>
      <c r="C15058"/>
      <c r="D15058"/>
      <c r="E15058"/>
      <c r="F15058"/>
      <c r="G15058"/>
      <c r="H15058"/>
      <c r="I15058"/>
      <c r="J15058"/>
      <c r="K15058" s="1"/>
      <c r="L15058" s="2"/>
    </row>
    <row r="15059" spans="1:12" x14ac:dyDescent="0.2">
      <c r="A15059"/>
      <c r="B15059"/>
      <c r="C15059"/>
      <c r="D15059"/>
      <c r="E15059"/>
      <c r="F15059"/>
      <c r="G15059"/>
      <c r="H15059"/>
      <c r="I15059"/>
      <c r="J15059"/>
      <c r="K15059" s="1"/>
      <c r="L15059" s="2"/>
    </row>
    <row r="15060" spans="1:12" x14ac:dyDescent="0.2">
      <c r="A15060"/>
      <c r="B15060"/>
      <c r="C15060"/>
      <c r="D15060"/>
      <c r="E15060"/>
      <c r="F15060"/>
      <c r="G15060"/>
      <c r="H15060"/>
      <c r="I15060"/>
      <c r="J15060"/>
      <c r="K15060" s="1"/>
      <c r="L15060" s="2"/>
    </row>
    <row r="15061" spans="1:12" x14ac:dyDescent="0.2">
      <c r="A15061"/>
      <c r="B15061"/>
      <c r="C15061"/>
      <c r="D15061"/>
      <c r="E15061"/>
      <c r="F15061"/>
      <c r="G15061"/>
      <c r="H15061"/>
      <c r="I15061"/>
      <c r="J15061"/>
      <c r="K15061" s="1"/>
      <c r="L15061" s="2"/>
    </row>
    <row r="15062" spans="1:12" x14ac:dyDescent="0.2">
      <c r="A15062"/>
      <c r="B15062"/>
      <c r="C15062"/>
      <c r="D15062"/>
      <c r="E15062"/>
      <c r="F15062"/>
      <c r="G15062"/>
      <c r="H15062"/>
      <c r="I15062"/>
      <c r="J15062"/>
      <c r="K15062" s="1"/>
      <c r="L15062" s="2"/>
    </row>
    <row r="15063" spans="1:12" x14ac:dyDescent="0.2">
      <c r="A15063"/>
      <c r="B15063"/>
      <c r="C15063"/>
      <c r="D15063"/>
      <c r="E15063"/>
      <c r="F15063"/>
      <c r="G15063"/>
      <c r="H15063"/>
      <c r="I15063"/>
      <c r="J15063"/>
      <c r="K15063" s="1"/>
      <c r="L15063" s="2"/>
    </row>
    <row r="15064" spans="1:12" x14ac:dyDescent="0.2">
      <c r="A15064"/>
      <c r="B15064"/>
      <c r="C15064"/>
      <c r="D15064"/>
      <c r="E15064"/>
      <c r="F15064"/>
      <c r="G15064"/>
      <c r="H15064"/>
      <c r="I15064"/>
      <c r="J15064"/>
      <c r="K15064" s="1"/>
      <c r="L15064" s="2"/>
    </row>
    <row r="15065" spans="1:12" x14ac:dyDescent="0.2">
      <c r="A15065"/>
      <c r="B15065"/>
      <c r="C15065"/>
      <c r="D15065"/>
      <c r="E15065"/>
      <c r="F15065"/>
      <c r="G15065"/>
      <c r="H15065"/>
      <c r="I15065"/>
      <c r="J15065"/>
      <c r="K15065" s="1"/>
      <c r="L15065" s="2"/>
    </row>
    <row r="15066" spans="1:12" x14ac:dyDescent="0.2">
      <c r="A15066"/>
      <c r="B15066"/>
      <c r="C15066"/>
      <c r="D15066"/>
      <c r="E15066"/>
      <c r="F15066"/>
      <c r="G15066"/>
      <c r="H15066"/>
      <c r="I15066"/>
      <c r="J15066"/>
      <c r="K15066" s="1"/>
      <c r="L15066" s="2"/>
    </row>
    <row r="15067" spans="1:12" x14ac:dyDescent="0.2">
      <c r="A15067"/>
      <c r="B15067"/>
      <c r="C15067"/>
      <c r="D15067"/>
      <c r="E15067"/>
      <c r="F15067"/>
      <c r="G15067"/>
      <c r="H15067"/>
      <c r="I15067"/>
      <c r="J15067"/>
      <c r="K15067" s="1"/>
      <c r="L15067" s="2"/>
    </row>
    <row r="15068" spans="1:12" x14ac:dyDescent="0.2">
      <c r="A15068"/>
      <c r="B15068"/>
      <c r="C15068"/>
      <c r="D15068"/>
      <c r="E15068"/>
      <c r="F15068"/>
      <c r="G15068"/>
      <c r="H15068"/>
      <c r="I15068"/>
      <c r="J15068"/>
      <c r="K15068" s="1"/>
      <c r="L15068" s="2"/>
    </row>
    <row r="15069" spans="1:12" x14ac:dyDescent="0.2">
      <c r="A15069"/>
      <c r="B15069"/>
      <c r="C15069"/>
      <c r="D15069"/>
      <c r="E15069"/>
      <c r="F15069"/>
      <c r="G15069"/>
      <c r="H15069"/>
      <c r="I15069"/>
      <c r="J15069"/>
      <c r="K15069" s="1"/>
      <c r="L15069" s="2"/>
    </row>
    <row r="15070" spans="1:12" x14ac:dyDescent="0.2">
      <c r="A15070"/>
      <c r="B15070"/>
      <c r="C15070"/>
      <c r="D15070"/>
      <c r="E15070"/>
      <c r="F15070"/>
      <c r="G15070"/>
      <c r="H15070"/>
      <c r="I15070"/>
      <c r="J15070"/>
      <c r="K15070" s="1"/>
      <c r="L15070" s="2"/>
    </row>
    <row r="15071" spans="1:12" x14ac:dyDescent="0.2">
      <c r="A15071"/>
      <c r="B15071"/>
      <c r="C15071"/>
      <c r="D15071"/>
      <c r="E15071"/>
      <c r="F15071"/>
      <c r="G15071"/>
      <c r="H15071"/>
      <c r="I15071"/>
      <c r="J15071"/>
      <c r="K15071" s="1"/>
      <c r="L15071" s="2"/>
    </row>
    <row r="15072" spans="1:12" x14ac:dyDescent="0.2">
      <c r="A15072"/>
      <c r="B15072"/>
      <c r="C15072"/>
      <c r="D15072"/>
      <c r="E15072"/>
      <c r="F15072"/>
      <c r="G15072"/>
      <c r="H15072"/>
      <c r="I15072"/>
      <c r="J15072"/>
      <c r="K15072" s="1"/>
      <c r="L15072" s="2"/>
    </row>
    <row r="15073" spans="1:12" x14ac:dyDescent="0.2">
      <c r="A15073"/>
      <c r="B15073"/>
      <c r="C15073"/>
      <c r="D15073"/>
      <c r="E15073"/>
      <c r="F15073"/>
      <c r="G15073"/>
      <c r="H15073"/>
      <c r="I15073"/>
      <c r="J15073"/>
      <c r="K15073" s="1"/>
      <c r="L15073" s="2"/>
    </row>
    <row r="15074" spans="1:12" x14ac:dyDescent="0.2">
      <c r="A15074"/>
      <c r="B15074"/>
      <c r="C15074"/>
      <c r="D15074"/>
      <c r="E15074"/>
      <c r="F15074"/>
      <c r="G15074"/>
      <c r="H15074"/>
      <c r="I15074"/>
      <c r="J15074"/>
      <c r="K15074" s="1"/>
      <c r="L15074" s="2"/>
    </row>
    <row r="15075" spans="1:12" x14ac:dyDescent="0.2">
      <c r="A15075"/>
      <c r="B15075"/>
      <c r="C15075"/>
      <c r="D15075"/>
      <c r="E15075"/>
      <c r="F15075"/>
      <c r="G15075"/>
      <c r="H15075"/>
      <c r="I15075"/>
      <c r="J15075"/>
      <c r="K15075" s="1"/>
      <c r="L15075" s="2"/>
    </row>
    <row r="15076" spans="1:12" x14ac:dyDescent="0.2">
      <c r="A15076"/>
      <c r="B15076"/>
      <c r="C15076"/>
      <c r="D15076"/>
      <c r="E15076"/>
      <c r="F15076"/>
      <c r="G15076"/>
      <c r="H15076"/>
      <c r="I15076"/>
      <c r="J15076"/>
      <c r="K15076" s="1"/>
      <c r="L15076" s="2"/>
    </row>
    <row r="15077" spans="1:12" x14ac:dyDescent="0.2">
      <c r="A15077"/>
      <c r="B15077"/>
      <c r="C15077"/>
      <c r="D15077"/>
      <c r="E15077"/>
      <c r="F15077"/>
      <c r="G15077"/>
      <c r="H15077"/>
      <c r="I15077"/>
      <c r="J15077"/>
      <c r="K15077" s="1"/>
      <c r="L15077" s="2"/>
    </row>
    <row r="15078" spans="1:12" x14ac:dyDescent="0.2">
      <c r="A15078"/>
      <c r="B15078"/>
      <c r="C15078"/>
      <c r="D15078"/>
      <c r="E15078"/>
      <c r="F15078"/>
      <c r="G15078"/>
      <c r="H15078"/>
      <c r="I15078"/>
      <c r="J15078"/>
      <c r="K15078" s="1"/>
      <c r="L15078" s="2"/>
    </row>
    <row r="15079" spans="1:12" x14ac:dyDescent="0.2">
      <c r="A15079"/>
      <c r="B15079"/>
      <c r="C15079"/>
      <c r="D15079"/>
      <c r="E15079"/>
      <c r="F15079"/>
      <c r="G15079"/>
      <c r="H15079"/>
      <c r="I15079"/>
      <c r="J15079"/>
      <c r="K15079" s="1"/>
      <c r="L15079" s="2"/>
    </row>
    <row r="15080" spans="1:12" x14ac:dyDescent="0.2">
      <c r="A15080"/>
      <c r="B15080"/>
      <c r="C15080"/>
      <c r="D15080"/>
      <c r="E15080"/>
      <c r="F15080"/>
      <c r="G15080"/>
      <c r="H15080"/>
      <c r="I15080"/>
      <c r="J15080"/>
      <c r="K15080" s="1"/>
      <c r="L15080" s="2"/>
    </row>
    <row r="15081" spans="1:12" x14ac:dyDescent="0.2">
      <c r="A15081"/>
      <c r="B15081"/>
      <c r="C15081"/>
      <c r="D15081"/>
      <c r="E15081"/>
      <c r="F15081"/>
      <c r="G15081"/>
      <c r="H15081"/>
      <c r="I15081"/>
      <c r="J15081"/>
      <c r="K15081" s="1"/>
      <c r="L15081" s="2"/>
    </row>
    <row r="15082" spans="1:12" x14ac:dyDescent="0.2">
      <c r="A15082"/>
      <c r="B15082"/>
      <c r="C15082"/>
      <c r="D15082"/>
      <c r="E15082"/>
      <c r="F15082"/>
      <c r="G15082"/>
      <c r="H15082"/>
      <c r="I15082"/>
      <c r="J15082"/>
      <c r="K15082" s="1"/>
      <c r="L15082" s="2"/>
    </row>
    <row r="15083" spans="1:12" x14ac:dyDescent="0.2">
      <c r="A15083"/>
      <c r="B15083"/>
      <c r="C15083"/>
      <c r="D15083"/>
      <c r="E15083"/>
      <c r="F15083"/>
      <c r="G15083"/>
      <c r="H15083"/>
      <c r="I15083"/>
      <c r="J15083"/>
      <c r="K15083" s="1"/>
      <c r="L15083" s="2"/>
    </row>
    <row r="15084" spans="1:12" x14ac:dyDescent="0.2">
      <c r="A15084"/>
      <c r="B15084"/>
      <c r="C15084"/>
      <c r="D15084"/>
      <c r="E15084"/>
      <c r="F15084"/>
      <c r="G15084"/>
      <c r="H15084"/>
      <c r="I15084"/>
      <c r="J15084"/>
      <c r="K15084" s="1"/>
      <c r="L15084" s="2"/>
    </row>
    <row r="15085" spans="1:12" x14ac:dyDescent="0.2">
      <c r="A15085"/>
      <c r="B15085"/>
      <c r="C15085"/>
      <c r="D15085"/>
      <c r="E15085"/>
      <c r="F15085"/>
      <c r="G15085"/>
      <c r="H15085"/>
      <c r="I15085"/>
      <c r="J15085"/>
      <c r="K15085" s="1"/>
      <c r="L15085" s="2"/>
    </row>
    <row r="15086" spans="1:12" x14ac:dyDescent="0.2">
      <c r="A15086"/>
      <c r="B15086"/>
      <c r="C15086"/>
      <c r="D15086"/>
      <c r="E15086"/>
      <c r="F15086"/>
      <c r="G15086"/>
      <c r="H15086"/>
      <c r="I15086"/>
      <c r="J15086"/>
      <c r="K15086" s="1"/>
      <c r="L15086" s="2"/>
    </row>
    <row r="15087" spans="1:12" x14ac:dyDescent="0.2">
      <c r="A15087"/>
      <c r="B15087"/>
      <c r="C15087"/>
      <c r="D15087"/>
      <c r="E15087"/>
      <c r="F15087"/>
      <c r="G15087"/>
      <c r="H15087"/>
      <c r="I15087"/>
      <c r="J15087"/>
      <c r="K15087" s="1"/>
      <c r="L15087" s="2"/>
    </row>
    <row r="15088" spans="1:12" x14ac:dyDescent="0.2">
      <c r="A15088"/>
      <c r="B15088"/>
      <c r="C15088"/>
      <c r="D15088"/>
      <c r="E15088"/>
      <c r="F15088"/>
      <c r="G15088"/>
      <c r="H15088"/>
      <c r="I15088"/>
      <c r="J15088"/>
      <c r="K15088" s="1"/>
      <c r="L15088" s="2"/>
    </row>
    <row r="15089" spans="1:12" x14ac:dyDescent="0.2">
      <c r="A15089"/>
      <c r="B15089"/>
      <c r="C15089"/>
      <c r="D15089"/>
      <c r="E15089"/>
      <c r="F15089"/>
      <c r="G15089"/>
      <c r="H15089"/>
      <c r="I15089"/>
      <c r="J15089"/>
      <c r="K15089" s="1"/>
      <c r="L15089" s="2"/>
    </row>
    <row r="15090" spans="1:12" x14ac:dyDescent="0.2">
      <c r="A15090"/>
      <c r="B15090"/>
      <c r="C15090"/>
      <c r="D15090"/>
      <c r="E15090"/>
      <c r="F15090"/>
      <c r="G15090"/>
      <c r="H15090"/>
      <c r="I15090"/>
      <c r="J15090"/>
      <c r="K15090" s="1"/>
      <c r="L15090" s="2"/>
    </row>
    <row r="15091" spans="1:12" x14ac:dyDescent="0.2">
      <c r="A15091"/>
      <c r="B15091"/>
      <c r="C15091"/>
      <c r="D15091"/>
      <c r="E15091"/>
      <c r="F15091"/>
      <c r="G15091"/>
      <c r="H15091"/>
      <c r="I15091"/>
      <c r="J15091"/>
      <c r="K15091" s="1"/>
      <c r="L15091" s="2"/>
    </row>
    <row r="15092" spans="1:12" x14ac:dyDescent="0.2">
      <c r="A15092"/>
      <c r="B15092"/>
      <c r="C15092"/>
      <c r="D15092"/>
      <c r="E15092"/>
      <c r="F15092"/>
      <c r="G15092"/>
      <c r="H15092"/>
      <c r="I15092"/>
      <c r="J15092"/>
      <c r="K15092" s="1"/>
      <c r="L15092" s="2"/>
    </row>
    <row r="15093" spans="1:12" x14ac:dyDescent="0.2">
      <c r="A15093"/>
      <c r="B15093"/>
      <c r="C15093"/>
      <c r="D15093"/>
      <c r="E15093"/>
      <c r="F15093"/>
      <c r="G15093"/>
      <c r="H15093"/>
      <c r="I15093"/>
      <c r="J15093"/>
      <c r="K15093" s="1"/>
      <c r="L15093" s="2"/>
    </row>
    <row r="15094" spans="1:12" x14ac:dyDescent="0.2">
      <c r="A15094"/>
      <c r="B15094"/>
      <c r="C15094"/>
      <c r="D15094"/>
      <c r="E15094"/>
      <c r="F15094"/>
      <c r="G15094"/>
      <c r="H15094"/>
      <c r="I15094"/>
      <c r="J15094"/>
      <c r="K15094" s="1"/>
      <c r="L15094" s="2"/>
    </row>
    <row r="15095" spans="1:12" x14ac:dyDescent="0.2">
      <c r="A15095"/>
      <c r="B15095"/>
      <c r="C15095"/>
      <c r="D15095"/>
      <c r="E15095"/>
      <c r="F15095"/>
      <c r="G15095"/>
      <c r="H15095"/>
      <c r="I15095"/>
      <c r="J15095"/>
      <c r="K15095" s="1"/>
      <c r="L15095" s="2"/>
    </row>
    <row r="15096" spans="1:12" x14ac:dyDescent="0.2">
      <c r="A15096"/>
      <c r="B15096"/>
      <c r="C15096"/>
      <c r="D15096"/>
      <c r="E15096"/>
      <c r="F15096"/>
      <c r="G15096"/>
      <c r="H15096"/>
      <c r="I15096"/>
      <c r="J15096"/>
      <c r="K15096" s="1"/>
      <c r="L15096" s="2"/>
    </row>
    <row r="15097" spans="1:12" x14ac:dyDescent="0.2">
      <c r="A15097"/>
      <c r="B15097"/>
      <c r="C15097"/>
      <c r="D15097"/>
      <c r="E15097"/>
      <c r="F15097"/>
      <c r="G15097"/>
      <c r="H15097"/>
      <c r="I15097"/>
      <c r="J15097"/>
      <c r="K15097" s="1"/>
      <c r="L15097" s="2"/>
    </row>
    <row r="15098" spans="1:12" x14ac:dyDescent="0.2">
      <c r="A15098"/>
      <c r="B15098"/>
      <c r="C15098"/>
      <c r="D15098"/>
      <c r="E15098"/>
      <c r="F15098"/>
      <c r="G15098"/>
      <c r="H15098"/>
      <c r="I15098"/>
      <c r="J15098"/>
      <c r="K15098" s="1"/>
      <c r="L15098" s="2"/>
    </row>
    <row r="15099" spans="1:12" x14ac:dyDescent="0.2">
      <c r="A15099"/>
      <c r="B15099"/>
      <c r="C15099"/>
      <c r="D15099"/>
      <c r="E15099"/>
      <c r="F15099"/>
      <c r="G15099"/>
      <c r="H15099"/>
      <c r="I15099"/>
      <c r="J15099"/>
      <c r="K15099" s="1"/>
      <c r="L15099" s="2"/>
    </row>
    <row r="15100" spans="1:12" x14ac:dyDescent="0.2">
      <c r="A15100"/>
      <c r="B15100"/>
      <c r="C15100"/>
      <c r="D15100"/>
      <c r="E15100"/>
      <c r="F15100"/>
      <c r="G15100"/>
      <c r="H15100"/>
      <c r="I15100"/>
      <c r="J15100"/>
      <c r="K15100" s="1"/>
      <c r="L15100" s="2"/>
    </row>
    <row r="15101" spans="1:12" x14ac:dyDescent="0.2">
      <c r="A15101"/>
      <c r="B15101"/>
      <c r="C15101"/>
      <c r="D15101"/>
      <c r="E15101"/>
      <c r="F15101"/>
      <c r="G15101"/>
      <c r="H15101"/>
      <c r="I15101"/>
      <c r="J15101"/>
      <c r="K15101" s="1"/>
      <c r="L15101" s="2"/>
    </row>
    <row r="15102" spans="1:12" x14ac:dyDescent="0.2">
      <c r="A15102"/>
      <c r="B15102"/>
      <c r="C15102"/>
      <c r="D15102"/>
      <c r="E15102"/>
      <c r="F15102"/>
      <c r="G15102"/>
      <c r="H15102"/>
      <c r="I15102"/>
      <c r="J15102"/>
      <c r="K15102" s="1"/>
      <c r="L15102" s="2"/>
    </row>
    <row r="15103" spans="1:12" x14ac:dyDescent="0.2">
      <c r="A15103"/>
      <c r="B15103"/>
      <c r="C15103"/>
      <c r="D15103"/>
      <c r="E15103"/>
      <c r="F15103"/>
      <c r="G15103"/>
      <c r="H15103"/>
      <c r="I15103"/>
      <c r="J15103"/>
      <c r="K15103" s="1"/>
      <c r="L15103" s="2"/>
    </row>
    <row r="15104" spans="1:12" x14ac:dyDescent="0.2">
      <c r="A15104"/>
      <c r="B15104"/>
      <c r="C15104"/>
      <c r="D15104"/>
      <c r="E15104"/>
      <c r="F15104"/>
      <c r="G15104"/>
      <c r="H15104"/>
      <c r="I15104"/>
      <c r="J15104"/>
      <c r="K15104" s="1"/>
      <c r="L15104" s="2"/>
    </row>
    <row r="15105" spans="1:12" x14ac:dyDescent="0.2">
      <c r="A15105"/>
      <c r="B15105"/>
      <c r="C15105"/>
      <c r="D15105"/>
      <c r="E15105"/>
      <c r="F15105"/>
      <c r="G15105"/>
      <c r="H15105"/>
      <c r="I15105"/>
      <c r="J15105"/>
      <c r="K15105" s="1"/>
      <c r="L15105" s="2"/>
    </row>
    <row r="15106" spans="1:12" x14ac:dyDescent="0.2">
      <c r="A15106"/>
      <c r="B15106"/>
      <c r="C15106"/>
      <c r="D15106"/>
      <c r="E15106"/>
      <c r="F15106"/>
      <c r="G15106"/>
      <c r="H15106"/>
      <c r="I15106"/>
      <c r="J15106"/>
      <c r="K15106" s="1"/>
      <c r="L15106" s="2"/>
    </row>
    <row r="15107" spans="1:12" x14ac:dyDescent="0.2">
      <c r="A15107"/>
      <c r="B15107"/>
      <c r="C15107"/>
      <c r="D15107"/>
      <c r="E15107"/>
      <c r="F15107"/>
      <c r="G15107"/>
      <c r="H15107"/>
      <c r="I15107"/>
      <c r="J15107"/>
      <c r="K15107" s="1"/>
      <c r="L15107" s="2"/>
    </row>
    <row r="15108" spans="1:12" x14ac:dyDescent="0.2">
      <c r="A15108"/>
      <c r="B15108"/>
      <c r="C15108"/>
      <c r="D15108"/>
      <c r="E15108"/>
      <c r="F15108"/>
      <c r="G15108"/>
      <c r="H15108"/>
      <c r="I15108"/>
      <c r="J15108"/>
      <c r="K15108" s="1"/>
      <c r="L15108" s="2"/>
    </row>
    <row r="15109" spans="1:12" x14ac:dyDescent="0.2">
      <c r="A15109"/>
      <c r="B15109"/>
      <c r="C15109"/>
      <c r="D15109"/>
      <c r="E15109"/>
      <c r="F15109"/>
      <c r="G15109"/>
      <c r="H15109"/>
      <c r="I15109"/>
      <c r="J15109"/>
      <c r="K15109" s="1"/>
      <c r="L15109" s="2"/>
    </row>
    <row r="15110" spans="1:12" x14ac:dyDescent="0.2">
      <c r="A15110"/>
      <c r="B15110"/>
      <c r="C15110"/>
      <c r="D15110"/>
      <c r="E15110"/>
      <c r="F15110"/>
      <c r="G15110"/>
      <c r="H15110"/>
      <c r="I15110"/>
      <c r="J15110"/>
      <c r="K15110" s="1"/>
      <c r="L15110" s="2"/>
    </row>
    <row r="15111" spans="1:12" x14ac:dyDescent="0.2">
      <c r="A15111"/>
      <c r="B15111"/>
      <c r="C15111"/>
      <c r="D15111"/>
      <c r="E15111"/>
      <c r="F15111"/>
      <c r="G15111"/>
      <c r="H15111"/>
      <c r="I15111"/>
      <c r="J15111"/>
      <c r="K15111" s="1"/>
      <c r="L15111" s="2"/>
    </row>
    <row r="15112" spans="1:12" x14ac:dyDescent="0.2">
      <c r="A15112"/>
      <c r="B15112"/>
      <c r="C15112"/>
      <c r="D15112"/>
      <c r="E15112"/>
      <c r="F15112"/>
      <c r="G15112"/>
      <c r="H15112"/>
      <c r="I15112"/>
      <c r="J15112"/>
      <c r="K15112" s="1"/>
      <c r="L15112" s="2"/>
    </row>
    <row r="15113" spans="1:12" x14ac:dyDescent="0.2">
      <c r="A15113"/>
      <c r="B15113"/>
      <c r="C15113"/>
      <c r="D15113"/>
      <c r="E15113"/>
      <c r="F15113"/>
      <c r="G15113"/>
      <c r="H15113"/>
      <c r="I15113"/>
      <c r="J15113"/>
      <c r="K15113" s="1"/>
      <c r="L15113" s="2"/>
    </row>
    <row r="15114" spans="1:12" x14ac:dyDescent="0.2">
      <c r="A15114"/>
      <c r="B15114"/>
      <c r="C15114"/>
      <c r="D15114"/>
      <c r="E15114"/>
      <c r="F15114"/>
      <c r="G15114"/>
      <c r="H15114"/>
      <c r="I15114"/>
      <c r="J15114"/>
      <c r="K15114" s="1"/>
      <c r="L15114" s="2"/>
    </row>
    <row r="15115" spans="1:12" x14ac:dyDescent="0.2">
      <c r="A15115"/>
      <c r="B15115"/>
      <c r="C15115"/>
      <c r="D15115"/>
      <c r="E15115"/>
      <c r="F15115"/>
      <c r="G15115"/>
      <c r="H15115"/>
      <c r="I15115"/>
      <c r="J15115"/>
      <c r="K15115" s="1"/>
      <c r="L15115" s="2"/>
    </row>
    <row r="15116" spans="1:12" x14ac:dyDescent="0.2">
      <c r="A15116"/>
      <c r="B15116"/>
      <c r="C15116"/>
      <c r="D15116"/>
      <c r="E15116"/>
      <c r="F15116"/>
      <c r="G15116"/>
      <c r="H15116"/>
      <c r="I15116"/>
      <c r="J15116"/>
      <c r="K15116" s="1"/>
      <c r="L15116" s="2"/>
    </row>
    <row r="15117" spans="1:12" x14ac:dyDescent="0.2">
      <c r="A15117"/>
      <c r="B15117"/>
      <c r="C15117"/>
      <c r="D15117"/>
      <c r="E15117"/>
      <c r="F15117"/>
      <c r="G15117"/>
      <c r="H15117"/>
      <c r="I15117"/>
      <c r="J15117"/>
      <c r="K15117" s="1"/>
      <c r="L15117" s="2"/>
    </row>
    <row r="15118" spans="1:12" x14ac:dyDescent="0.2">
      <c r="A15118"/>
      <c r="B15118"/>
      <c r="C15118"/>
      <c r="D15118"/>
      <c r="E15118"/>
      <c r="F15118"/>
      <c r="G15118"/>
      <c r="H15118"/>
      <c r="I15118"/>
      <c r="J15118"/>
      <c r="K15118" s="1"/>
      <c r="L15118" s="2"/>
    </row>
    <row r="15119" spans="1:12" x14ac:dyDescent="0.2">
      <c r="A15119"/>
      <c r="B15119"/>
      <c r="C15119"/>
      <c r="D15119"/>
      <c r="E15119"/>
      <c r="F15119"/>
      <c r="G15119"/>
      <c r="H15119"/>
      <c r="I15119"/>
      <c r="J15119"/>
      <c r="K15119" s="1"/>
      <c r="L15119" s="2"/>
    </row>
    <row r="15120" spans="1:12" x14ac:dyDescent="0.2">
      <c r="A15120"/>
      <c r="B15120"/>
      <c r="C15120"/>
      <c r="D15120"/>
      <c r="E15120"/>
      <c r="F15120"/>
      <c r="G15120"/>
      <c r="H15120"/>
      <c r="I15120"/>
      <c r="J15120"/>
      <c r="K15120" s="1"/>
      <c r="L15120" s="2"/>
    </row>
    <row r="15121" spans="1:12" x14ac:dyDescent="0.2">
      <c r="A15121"/>
      <c r="B15121"/>
      <c r="C15121"/>
      <c r="D15121"/>
      <c r="E15121"/>
      <c r="F15121"/>
      <c r="G15121"/>
      <c r="H15121"/>
      <c r="I15121"/>
      <c r="J15121"/>
      <c r="K15121" s="1"/>
      <c r="L15121" s="2"/>
    </row>
    <row r="15122" spans="1:12" x14ac:dyDescent="0.2">
      <c r="A15122"/>
      <c r="B15122"/>
      <c r="C15122"/>
      <c r="D15122"/>
      <c r="E15122"/>
      <c r="F15122"/>
      <c r="G15122"/>
      <c r="H15122"/>
      <c r="I15122"/>
      <c r="J15122"/>
      <c r="K15122" s="1"/>
      <c r="L15122" s="2"/>
    </row>
    <row r="15123" spans="1:12" x14ac:dyDescent="0.2">
      <c r="A15123"/>
      <c r="B15123"/>
      <c r="C15123"/>
      <c r="D15123"/>
      <c r="E15123"/>
      <c r="F15123"/>
      <c r="G15123"/>
      <c r="H15123"/>
      <c r="I15123"/>
      <c r="J15123"/>
      <c r="K15123" s="1"/>
      <c r="L15123" s="2"/>
    </row>
    <row r="15124" spans="1:12" x14ac:dyDescent="0.2">
      <c r="A15124"/>
      <c r="B15124"/>
      <c r="C15124"/>
      <c r="D15124"/>
      <c r="E15124"/>
      <c r="F15124"/>
      <c r="G15124"/>
      <c r="H15124"/>
      <c r="I15124"/>
      <c r="J15124"/>
      <c r="K15124" s="1"/>
      <c r="L15124" s="2"/>
    </row>
    <row r="15125" spans="1:12" x14ac:dyDescent="0.2">
      <c r="A15125"/>
      <c r="B15125"/>
      <c r="C15125"/>
      <c r="D15125"/>
      <c r="E15125"/>
      <c r="F15125"/>
      <c r="G15125"/>
      <c r="H15125"/>
      <c r="I15125"/>
      <c r="J15125"/>
      <c r="K15125" s="1"/>
      <c r="L15125" s="2"/>
    </row>
    <row r="15126" spans="1:12" x14ac:dyDescent="0.2">
      <c r="A15126"/>
      <c r="B15126"/>
      <c r="C15126"/>
      <c r="D15126"/>
      <c r="E15126"/>
      <c r="F15126"/>
      <c r="G15126"/>
      <c r="H15126"/>
      <c r="I15126"/>
      <c r="J15126"/>
      <c r="K15126" s="1"/>
      <c r="L15126" s="2"/>
    </row>
    <row r="15127" spans="1:12" x14ac:dyDescent="0.2">
      <c r="A15127"/>
      <c r="B15127"/>
      <c r="C15127"/>
      <c r="D15127"/>
      <c r="E15127"/>
      <c r="F15127"/>
      <c r="G15127"/>
      <c r="H15127"/>
      <c r="I15127"/>
      <c r="J15127"/>
      <c r="K15127" s="1"/>
      <c r="L15127" s="2"/>
    </row>
    <row r="15128" spans="1:12" x14ac:dyDescent="0.2">
      <c r="A15128"/>
      <c r="B15128"/>
      <c r="C15128"/>
      <c r="D15128"/>
      <c r="E15128"/>
      <c r="F15128"/>
      <c r="G15128"/>
      <c r="H15128"/>
      <c r="I15128"/>
      <c r="J15128"/>
      <c r="K15128" s="1"/>
      <c r="L15128" s="2"/>
    </row>
    <row r="15129" spans="1:12" x14ac:dyDescent="0.2">
      <c r="A15129"/>
      <c r="B15129"/>
      <c r="C15129"/>
      <c r="D15129"/>
      <c r="E15129"/>
      <c r="F15129"/>
      <c r="G15129"/>
      <c r="H15129"/>
      <c r="I15129"/>
      <c r="J15129"/>
      <c r="K15129" s="1"/>
      <c r="L15129" s="2"/>
    </row>
    <row r="15130" spans="1:12" x14ac:dyDescent="0.2">
      <c r="A15130"/>
      <c r="B15130"/>
      <c r="C15130"/>
      <c r="D15130"/>
      <c r="E15130"/>
      <c r="F15130"/>
      <c r="G15130"/>
      <c r="H15130"/>
      <c r="I15130"/>
      <c r="J15130"/>
      <c r="K15130" s="1"/>
      <c r="L15130" s="2"/>
    </row>
    <row r="15131" spans="1:12" x14ac:dyDescent="0.2">
      <c r="A15131"/>
      <c r="B15131"/>
      <c r="C15131"/>
      <c r="D15131"/>
      <c r="E15131"/>
      <c r="F15131"/>
      <c r="G15131"/>
      <c r="H15131"/>
      <c r="I15131"/>
      <c r="J15131"/>
      <c r="K15131" s="1"/>
      <c r="L15131" s="2"/>
    </row>
    <row r="15132" spans="1:12" x14ac:dyDescent="0.2">
      <c r="A15132"/>
      <c r="B15132"/>
      <c r="C15132"/>
      <c r="D15132"/>
      <c r="E15132"/>
      <c r="F15132"/>
      <c r="G15132"/>
      <c r="H15132"/>
      <c r="I15132"/>
      <c r="J15132"/>
      <c r="K15132" s="1"/>
      <c r="L15132" s="2"/>
    </row>
    <row r="15133" spans="1:12" x14ac:dyDescent="0.2">
      <c r="A15133"/>
      <c r="B15133"/>
      <c r="C15133"/>
      <c r="D15133"/>
      <c r="E15133"/>
      <c r="F15133"/>
      <c r="G15133"/>
      <c r="H15133"/>
      <c r="I15133"/>
      <c r="J15133"/>
      <c r="K15133" s="1"/>
      <c r="L15133" s="2"/>
    </row>
    <row r="15134" spans="1:12" x14ac:dyDescent="0.2">
      <c r="A15134"/>
      <c r="B15134"/>
      <c r="C15134"/>
      <c r="D15134"/>
      <c r="E15134"/>
      <c r="F15134"/>
      <c r="G15134"/>
      <c r="H15134"/>
      <c r="I15134"/>
      <c r="J15134"/>
      <c r="K15134" s="1"/>
      <c r="L15134" s="2"/>
    </row>
    <row r="15135" spans="1:12" x14ac:dyDescent="0.2">
      <c r="A15135"/>
      <c r="B15135"/>
      <c r="C15135"/>
      <c r="D15135"/>
      <c r="E15135"/>
      <c r="F15135"/>
      <c r="G15135"/>
      <c r="H15135"/>
      <c r="I15135"/>
      <c r="J15135"/>
      <c r="K15135" s="1"/>
      <c r="L15135" s="2"/>
    </row>
    <row r="15136" spans="1:12" x14ac:dyDescent="0.2">
      <c r="A15136"/>
      <c r="B15136"/>
      <c r="C15136"/>
      <c r="D15136"/>
      <c r="E15136"/>
      <c r="F15136"/>
      <c r="G15136"/>
      <c r="H15136"/>
      <c r="I15136"/>
      <c r="J15136"/>
      <c r="K15136" s="1"/>
      <c r="L15136" s="2"/>
    </row>
    <row r="15137" spans="1:12" x14ac:dyDescent="0.2">
      <c r="A15137"/>
      <c r="B15137"/>
      <c r="C15137"/>
      <c r="D15137"/>
      <c r="E15137"/>
      <c r="F15137"/>
      <c r="G15137"/>
      <c r="H15137"/>
      <c r="I15137"/>
      <c r="J15137"/>
      <c r="K15137" s="1"/>
      <c r="L15137" s="2"/>
    </row>
    <row r="15138" spans="1:12" x14ac:dyDescent="0.2">
      <c r="A15138"/>
      <c r="B15138"/>
      <c r="C15138"/>
      <c r="D15138"/>
      <c r="E15138"/>
      <c r="F15138"/>
      <c r="G15138"/>
      <c r="H15138"/>
      <c r="I15138"/>
      <c r="J15138"/>
      <c r="K15138" s="1"/>
      <c r="L15138" s="2"/>
    </row>
    <row r="15139" spans="1:12" x14ac:dyDescent="0.2">
      <c r="A15139"/>
      <c r="B15139"/>
      <c r="C15139"/>
      <c r="D15139"/>
      <c r="E15139"/>
      <c r="F15139"/>
      <c r="G15139"/>
      <c r="H15139"/>
      <c r="I15139"/>
      <c r="J15139"/>
      <c r="K15139" s="1"/>
      <c r="L15139" s="2"/>
    </row>
    <row r="15140" spans="1:12" x14ac:dyDescent="0.2">
      <c r="A15140"/>
      <c r="B15140"/>
      <c r="C15140"/>
      <c r="D15140"/>
      <c r="E15140"/>
      <c r="F15140"/>
      <c r="G15140"/>
      <c r="H15140"/>
      <c r="I15140"/>
      <c r="J15140"/>
      <c r="K15140" s="1"/>
      <c r="L15140" s="2"/>
    </row>
    <row r="15141" spans="1:12" x14ac:dyDescent="0.2">
      <c r="A15141"/>
      <c r="B15141"/>
      <c r="C15141"/>
      <c r="D15141"/>
      <c r="E15141"/>
      <c r="F15141"/>
      <c r="G15141"/>
      <c r="H15141"/>
      <c r="I15141"/>
      <c r="J15141"/>
      <c r="K15141" s="1"/>
      <c r="L15141" s="2"/>
    </row>
    <row r="15142" spans="1:12" x14ac:dyDescent="0.2">
      <c r="A15142"/>
      <c r="B15142"/>
      <c r="C15142"/>
      <c r="D15142"/>
      <c r="E15142"/>
      <c r="F15142"/>
      <c r="G15142"/>
      <c r="H15142"/>
      <c r="I15142"/>
      <c r="J15142"/>
      <c r="K15142" s="1"/>
      <c r="L15142" s="2"/>
    </row>
    <row r="15143" spans="1:12" x14ac:dyDescent="0.2">
      <c r="A15143"/>
      <c r="B15143"/>
      <c r="C15143"/>
      <c r="D15143"/>
      <c r="E15143"/>
      <c r="F15143"/>
      <c r="G15143"/>
      <c r="H15143"/>
      <c r="I15143"/>
      <c r="J15143"/>
      <c r="K15143" s="1"/>
      <c r="L15143" s="2"/>
    </row>
    <row r="15144" spans="1:12" x14ac:dyDescent="0.2">
      <c r="A15144"/>
      <c r="B15144"/>
      <c r="C15144"/>
      <c r="D15144"/>
      <c r="E15144"/>
      <c r="F15144"/>
      <c r="G15144"/>
      <c r="H15144"/>
      <c r="I15144"/>
      <c r="J15144"/>
      <c r="K15144" s="1"/>
      <c r="L15144" s="2"/>
    </row>
    <row r="15145" spans="1:12" x14ac:dyDescent="0.2">
      <c r="A15145"/>
      <c r="B15145"/>
      <c r="C15145"/>
      <c r="D15145"/>
      <c r="E15145"/>
      <c r="F15145"/>
      <c r="G15145"/>
      <c r="H15145"/>
      <c r="I15145"/>
      <c r="J15145"/>
      <c r="K15145" s="1"/>
      <c r="L15145" s="2"/>
    </row>
    <row r="15146" spans="1:12" x14ac:dyDescent="0.2">
      <c r="A15146"/>
      <c r="B15146"/>
      <c r="C15146"/>
      <c r="D15146"/>
      <c r="E15146"/>
      <c r="F15146"/>
      <c r="G15146"/>
      <c r="H15146"/>
      <c r="I15146"/>
      <c r="J15146"/>
      <c r="K15146" s="1"/>
      <c r="L15146" s="2"/>
    </row>
    <row r="15147" spans="1:12" x14ac:dyDescent="0.2">
      <c r="A15147"/>
      <c r="B15147"/>
      <c r="C15147"/>
      <c r="D15147"/>
      <c r="E15147"/>
      <c r="F15147"/>
      <c r="G15147"/>
      <c r="H15147"/>
      <c r="I15147"/>
      <c r="J15147"/>
      <c r="K15147" s="1"/>
      <c r="L15147" s="2"/>
    </row>
    <row r="15148" spans="1:12" x14ac:dyDescent="0.2">
      <c r="A15148"/>
      <c r="B15148"/>
      <c r="C15148"/>
      <c r="D15148"/>
      <c r="E15148"/>
      <c r="F15148"/>
      <c r="G15148"/>
      <c r="H15148"/>
      <c r="I15148"/>
      <c r="J15148"/>
      <c r="K15148" s="1"/>
      <c r="L15148" s="2"/>
    </row>
    <row r="15149" spans="1:12" x14ac:dyDescent="0.2">
      <c r="A15149"/>
      <c r="B15149"/>
      <c r="C15149"/>
      <c r="D15149"/>
      <c r="E15149"/>
      <c r="F15149"/>
      <c r="G15149"/>
      <c r="H15149"/>
      <c r="I15149"/>
      <c r="J15149"/>
      <c r="K15149" s="1"/>
      <c r="L15149" s="2"/>
    </row>
    <row r="15150" spans="1:12" x14ac:dyDescent="0.2">
      <c r="A15150"/>
      <c r="B15150"/>
      <c r="C15150"/>
      <c r="D15150"/>
      <c r="E15150"/>
      <c r="F15150"/>
      <c r="G15150"/>
      <c r="H15150"/>
      <c r="I15150"/>
      <c r="J15150"/>
      <c r="K15150" s="1"/>
      <c r="L15150" s="2"/>
    </row>
    <row r="15151" spans="1:12" x14ac:dyDescent="0.2">
      <c r="A15151"/>
      <c r="B15151"/>
      <c r="C15151"/>
      <c r="D15151"/>
      <c r="E15151"/>
      <c r="F15151"/>
      <c r="G15151"/>
      <c r="H15151"/>
      <c r="I15151"/>
      <c r="J15151"/>
      <c r="K15151" s="1"/>
      <c r="L15151" s="2"/>
    </row>
    <row r="15152" spans="1:12" x14ac:dyDescent="0.2">
      <c r="A15152"/>
      <c r="B15152"/>
      <c r="C15152"/>
      <c r="D15152"/>
      <c r="E15152"/>
      <c r="F15152"/>
      <c r="G15152"/>
      <c r="H15152"/>
      <c r="I15152"/>
      <c r="J15152"/>
      <c r="K15152" s="1"/>
      <c r="L15152" s="2"/>
    </row>
    <row r="15153" spans="1:12" x14ac:dyDescent="0.2">
      <c r="A15153"/>
      <c r="B15153"/>
      <c r="C15153"/>
      <c r="D15153"/>
      <c r="E15153"/>
      <c r="F15153"/>
      <c r="G15153"/>
      <c r="H15153"/>
      <c r="I15153"/>
      <c r="J15153"/>
      <c r="K15153" s="1"/>
      <c r="L15153" s="2"/>
    </row>
    <row r="15154" spans="1:12" x14ac:dyDescent="0.2">
      <c r="A15154"/>
      <c r="B15154"/>
      <c r="C15154"/>
      <c r="D15154"/>
      <c r="E15154"/>
      <c r="F15154"/>
      <c r="G15154"/>
      <c r="H15154"/>
      <c r="I15154"/>
      <c r="J15154"/>
      <c r="K15154" s="1"/>
      <c r="L15154" s="2"/>
    </row>
    <row r="15155" spans="1:12" x14ac:dyDescent="0.2">
      <c r="A15155"/>
      <c r="B15155"/>
      <c r="C15155"/>
      <c r="D15155"/>
      <c r="E15155"/>
      <c r="F15155"/>
      <c r="G15155"/>
      <c r="H15155"/>
      <c r="I15155"/>
      <c r="J15155"/>
      <c r="K15155" s="1"/>
      <c r="L15155" s="2"/>
    </row>
    <row r="15156" spans="1:12" x14ac:dyDescent="0.2">
      <c r="A15156"/>
      <c r="B15156"/>
      <c r="C15156"/>
      <c r="D15156"/>
      <c r="E15156"/>
      <c r="F15156"/>
      <c r="G15156"/>
      <c r="H15156"/>
      <c r="I15156"/>
      <c r="J15156"/>
      <c r="K15156" s="1"/>
      <c r="L15156" s="2"/>
    </row>
    <row r="15157" spans="1:12" x14ac:dyDescent="0.2">
      <c r="A15157"/>
      <c r="B15157"/>
      <c r="C15157"/>
      <c r="D15157"/>
      <c r="E15157"/>
      <c r="F15157"/>
      <c r="G15157"/>
      <c r="H15157"/>
      <c r="I15157"/>
      <c r="J15157"/>
      <c r="K15157" s="1"/>
      <c r="L15157" s="2"/>
    </row>
    <row r="15158" spans="1:12" x14ac:dyDescent="0.2">
      <c r="A15158"/>
      <c r="B15158"/>
      <c r="C15158"/>
      <c r="D15158"/>
      <c r="E15158"/>
      <c r="F15158"/>
      <c r="G15158"/>
      <c r="H15158"/>
      <c r="I15158"/>
      <c r="J15158"/>
      <c r="K15158" s="1"/>
      <c r="L15158" s="2"/>
    </row>
    <row r="15159" spans="1:12" x14ac:dyDescent="0.2">
      <c r="A15159"/>
      <c r="B15159"/>
      <c r="C15159"/>
      <c r="D15159"/>
      <c r="E15159"/>
      <c r="F15159"/>
      <c r="G15159"/>
      <c r="H15159"/>
      <c r="I15159"/>
      <c r="J15159"/>
      <c r="K15159" s="1"/>
      <c r="L15159" s="2"/>
    </row>
    <row r="15160" spans="1:12" x14ac:dyDescent="0.2">
      <c r="A15160"/>
      <c r="B15160"/>
      <c r="C15160"/>
      <c r="D15160"/>
      <c r="E15160"/>
      <c r="F15160"/>
      <c r="G15160"/>
      <c r="H15160"/>
      <c r="I15160"/>
      <c r="J15160"/>
      <c r="K15160" s="1"/>
      <c r="L15160" s="2"/>
    </row>
    <row r="15161" spans="1:12" x14ac:dyDescent="0.2">
      <c r="A15161"/>
      <c r="B15161"/>
      <c r="C15161"/>
      <c r="D15161"/>
      <c r="E15161"/>
      <c r="F15161"/>
      <c r="G15161"/>
      <c r="H15161"/>
      <c r="I15161"/>
      <c r="J15161"/>
      <c r="K15161" s="1"/>
      <c r="L15161" s="2"/>
    </row>
    <row r="15162" spans="1:12" x14ac:dyDescent="0.2">
      <c r="A15162"/>
      <c r="B15162"/>
      <c r="C15162"/>
      <c r="D15162"/>
      <c r="E15162"/>
      <c r="F15162"/>
      <c r="G15162"/>
      <c r="H15162"/>
      <c r="I15162"/>
      <c r="J15162"/>
      <c r="K15162" s="1"/>
      <c r="L15162" s="2"/>
    </row>
    <row r="15163" spans="1:12" x14ac:dyDescent="0.2">
      <c r="A15163"/>
      <c r="B15163"/>
      <c r="C15163"/>
      <c r="D15163"/>
      <c r="E15163"/>
      <c r="F15163"/>
      <c r="G15163"/>
      <c r="H15163"/>
      <c r="I15163"/>
      <c r="J15163"/>
      <c r="K15163" s="1"/>
      <c r="L15163" s="2"/>
    </row>
    <row r="15164" spans="1:12" x14ac:dyDescent="0.2">
      <c r="A15164"/>
      <c r="B15164"/>
      <c r="C15164"/>
      <c r="D15164"/>
      <c r="E15164"/>
      <c r="F15164"/>
      <c r="G15164"/>
      <c r="H15164"/>
      <c r="I15164"/>
      <c r="J15164"/>
      <c r="K15164" s="1"/>
      <c r="L15164" s="2"/>
    </row>
    <row r="15165" spans="1:12" x14ac:dyDescent="0.2">
      <c r="A15165"/>
      <c r="B15165"/>
      <c r="C15165"/>
      <c r="D15165"/>
      <c r="E15165"/>
      <c r="F15165"/>
      <c r="G15165"/>
      <c r="H15165"/>
      <c r="I15165"/>
      <c r="J15165"/>
      <c r="K15165" s="1"/>
      <c r="L15165" s="2"/>
    </row>
    <row r="15166" spans="1:12" x14ac:dyDescent="0.2">
      <c r="A15166"/>
      <c r="B15166"/>
      <c r="C15166"/>
      <c r="D15166"/>
      <c r="E15166"/>
      <c r="F15166"/>
      <c r="G15166"/>
      <c r="H15166"/>
      <c r="I15166"/>
      <c r="J15166"/>
      <c r="K15166" s="1"/>
      <c r="L15166" s="2"/>
    </row>
    <row r="15167" spans="1:12" x14ac:dyDescent="0.2">
      <c r="A15167"/>
      <c r="B15167"/>
      <c r="C15167"/>
      <c r="D15167"/>
      <c r="E15167"/>
      <c r="F15167"/>
      <c r="G15167"/>
      <c r="H15167"/>
      <c r="I15167"/>
      <c r="J15167"/>
      <c r="K15167" s="1"/>
      <c r="L15167" s="2"/>
    </row>
    <row r="15168" spans="1:12" x14ac:dyDescent="0.2">
      <c r="A15168"/>
      <c r="B15168"/>
      <c r="C15168"/>
      <c r="D15168"/>
      <c r="E15168"/>
      <c r="F15168"/>
      <c r="G15168"/>
      <c r="H15168"/>
      <c r="I15168"/>
      <c r="J15168"/>
      <c r="K15168" s="1"/>
      <c r="L15168" s="2"/>
    </row>
    <row r="15169" spans="1:12" x14ac:dyDescent="0.2">
      <c r="A15169"/>
      <c r="B15169"/>
      <c r="C15169"/>
      <c r="D15169"/>
      <c r="E15169"/>
      <c r="F15169"/>
      <c r="G15169"/>
      <c r="H15169"/>
      <c r="I15169"/>
      <c r="J15169"/>
      <c r="K15169" s="1"/>
      <c r="L15169" s="2"/>
    </row>
    <row r="15170" spans="1:12" x14ac:dyDescent="0.2">
      <c r="A15170"/>
      <c r="B15170"/>
      <c r="C15170"/>
      <c r="D15170"/>
      <c r="E15170"/>
      <c r="F15170"/>
      <c r="G15170"/>
      <c r="H15170"/>
      <c r="I15170"/>
      <c r="J15170"/>
      <c r="K15170" s="1"/>
      <c r="L15170" s="2"/>
    </row>
    <row r="15171" spans="1:12" x14ac:dyDescent="0.2">
      <c r="A15171"/>
      <c r="B15171"/>
      <c r="C15171"/>
      <c r="D15171"/>
      <c r="E15171"/>
      <c r="F15171"/>
      <c r="G15171"/>
      <c r="H15171"/>
      <c r="I15171"/>
      <c r="J15171"/>
      <c r="K15171" s="1"/>
      <c r="L15171" s="2"/>
    </row>
    <row r="15172" spans="1:12" x14ac:dyDescent="0.2">
      <c r="A15172"/>
      <c r="B15172"/>
      <c r="C15172"/>
      <c r="D15172"/>
      <c r="E15172"/>
      <c r="F15172"/>
      <c r="G15172"/>
      <c r="H15172"/>
      <c r="I15172"/>
      <c r="J15172"/>
      <c r="K15172" s="1"/>
      <c r="L15172" s="2"/>
    </row>
    <row r="15173" spans="1:12" x14ac:dyDescent="0.2">
      <c r="A15173"/>
      <c r="B15173"/>
      <c r="C15173"/>
      <c r="D15173"/>
      <c r="E15173"/>
      <c r="F15173"/>
      <c r="G15173"/>
      <c r="H15173"/>
      <c r="I15173"/>
      <c r="J15173"/>
      <c r="K15173" s="1"/>
      <c r="L15173" s="2"/>
    </row>
    <row r="15174" spans="1:12" x14ac:dyDescent="0.2">
      <c r="A15174"/>
      <c r="B15174"/>
      <c r="C15174"/>
      <c r="D15174"/>
      <c r="E15174"/>
      <c r="F15174"/>
      <c r="G15174"/>
      <c r="H15174"/>
      <c r="I15174"/>
      <c r="J15174"/>
      <c r="K15174" s="1"/>
      <c r="L15174" s="2"/>
    </row>
    <row r="15175" spans="1:12" x14ac:dyDescent="0.2">
      <c r="A15175"/>
      <c r="B15175"/>
      <c r="C15175"/>
      <c r="D15175"/>
      <c r="E15175"/>
      <c r="F15175"/>
      <c r="G15175"/>
      <c r="H15175"/>
      <c r="I15175"/>
      <c r="J15175"/>
      <c r="K15175" s="1"/>
      <c r="L15175" s="2"/>
    </row>
    <row r="15176" spans="1:12" x14ac:dyDescent="0.2">
      <c r="A15176"/>
      <c r="B15176"/>
      <c r="C15176"/>
      <c r="D15176"/>
      <c r="E15176"/>
      <c r="F15176"/>
      <c r="G15176"/>
      <c r="H15176"/>
      <c r="I15176"/>
      <c r="J15176"/>
      <c r="K15176" s="1"/>
      <c r="L15176" s="2"/>
    </row>
    <row r="15177" spans="1:12" x14ac:dyDescent="0.2">
      <c r="A15177"/>
      <c r="B15177"/>
      <c r="C15177"/>
      <c r="D15177"/>
      <c r="E15177"/>
      <c r="F15177"/>
      <c r="G15177"/>
      <c r="H15177"/>
      <c r="I15177"/>
      <c r="J15177"/>
      <c r="K15177" s="1"/>
      <c r="L15177" s="2"/>
    </row>
    <row r="15178" spans="1:12" x14ac:dyDescent="0.2">
      <c r="A15178"/>
      <c r="B15178"/>
      <c r="C15178"/>
      <c r="D15178"/>
      <c r="E15178"/>
      <c r="F15178"/>
      <c r="G15178"/>
      <c r="H15178"/>
      <c r="I15178"/>
      <c r="J15178"/>
      <c r="K15178" s="1"/>
      <c r="L15178" s="2"/>
    </row>
    <row r="15179" spans="1:12" x14ac:dyDescent="0.2">
      <c r="A15179"/>
      <c r="B15179"/>
      <c r="C15179"/>
      <c r="D15179"/>
      <c r="E15179"/>
      <c r="F15179"/>
      <c r="G15179"/>
      <c r="H15179"/>
      <c r="I15179"/>
      <c r="J15179"/>
      <c r="K15179" s="1"/>
      <c r="L15179" s="2"/>
    </row>
    <row r="15180" spans="1:12" x14ac:dyDescent="0.2">
      <c r="A15180"/>
      <c r="B15180"/>
      <c r="C15180"/>
      <c r="D15180"/>
      <c r="E15180"/>
      <c r="F15180"/>
      <c r="G15180"/>
      <c r="H15180"/>
      <c r="I15180"/>
      <c r="J15180"/>
      <c r="K15180" s="1"/>
      <c r="L15180" s="2"/>
    </row>
    <row r="15181" spans="1:12" x14ac:dyDescent="0.2">
      <c r="A15181"/>
      <c r="B15181"/>
      <c r="C15181"/>
      <c r="D15181"/>
      <c r="E15181"/>
      <c r="F15181"/>
      <c r="G15181"/>
      <c r="H15181"/>
      <c r="I15181"/>
      <c r="J15181"/>
      <c r="K15181" s="1"/>
      <c r="L15181" s="2"/>
    </row>
    <row r="15182" spans="1:12" x14ac:dyDescent="0.2">
      <c r="A15182"/>
      <c r="B15182"/>
      <c r="C15182"/>
      <c r="D15182"/>
      <c r="E15182"/>
      <c r="F15182"/>
      <c r="G15182"/>
      <c r="H15182"/>
      <c r="I15182"/>
      <c r="J15182"/>
      <c r="K15182" s="1"/>
      <c r="L15182" s="2"/>
    </row>
    <row r="15183" spans="1:12" x14ac:dyDescent="0.2">
      <c r="A15183"/>
      <c r="B15183"/>
      <c r="C15183"/>
      <c r="D15183"/>
      <c r="E15183"/>
      <c r="F15183"/>
      <c r="G15183"/>
      <c r="H15183"/>
      <c r="I15183"/>
      <c r="J15183"/>
      <c r="K15183" s="1"/>
      <c r="L15183" s="2"/>
    </row>
    <row r="15184" spans="1:12" x14ac:dyDescent="0.2">
      <c r="A15184"/>
      <c r="B15184"/>
      <c r="C15184"/>
      <c r="D15184"/>
      <c r="E15184"/>
      <c r="F15184"/>
      <c r="G15184"/>
      <c r="H15184"/>
      <c r="I15184"/>
      <c r="J15184"/>
      <c r="K15184" s="1"/>
      <c r="L15184" s="2"/>
    </row>
    <row r="15185" spans="1:12" x14ac:dyDescent="0.2">
      <c r="A15185"/>
      <c r="B15185"/>
      <c r="C15185"/>
      <c r="D15185"/>
      <c r="E15185"/>
      <c r="F15185"/>
      <c r="G15185"/>
      <c r="H15185"/>
      <c r="I15185"/>
      <c r="J15185"/>
      <c r="K15185" s="1"/>
      <c r="L15185" s="2"/>
    </row>
    <row r="15186" spans="1:12" x14ac:dyDescent="0.2">
      <c r="A15186"/>
      <c r="B15186"/>
      <c r="C15186"/>
      <c r="D15186"/>
      <c r="E15186"/>
      <c r="F15186"/>
      <c r="G15186"/>
      <c r="H15186"/>
      <c r="I15186"/>
      <c r="J15186"/>
      <c r="K15186" s="1"/>
      <c r="L15186" s="2"/>
    </row>
    <row r="15187" spans="1:12" x14ac:dyDescent="0.2">
      <c r="A15187"/>
      <c r="B15187"/>
      <c r="C15187"/>
      <c r="D15187"/>
      <c r="E15187"/>
      <c r="F15187"/>
      <c r="G15187"/>
      <c r="H15187"/>
      <c r="I15187"/>
      <c r="J15187"/>
      <c r="K15187" s="1"/>
      <c r="L15187" s="2"/>
    </row>
    <row r="15188" spans="1:12" x14ac:dyDescent="0.2">
      <c r="A15188"/>
      <c r="B15188"/>
      <c r="C15188"/>
      <c r="D15188"/>
      <c r="E15188"/>
      <c r="F15188"/>
      <c r="G15188"/>
      <c r="H15188"/>
      <c r="I15188"/>
      <c r="J15188"/>
      <c r="K15188" s="1"/>
      <c r="L15188" s="2"/>
    </row>
    <row r="15189" spans="1:12" x14ac:dyDescent="0.2">
      <c r="A15189"/>
      <c r="B15189"/>
      <c r="C15189"/>
      <c r="D15189"/>
      <c r="E15189"/>
      <c r="F15189"/>
      <c r="G15189"/>
      <c r="H15189"/>
      <c r="I15189"/>
      <c r="J15189"/>
      <c r="K15189" s="1"/>
      <c r="L15189" s="2"/>
    </row>
    <row r="15190" spans="1:12" x14ac:dyDescent="0.2">
      <c r="A15190"/>
      <c r="B15190"/>
      <c r="C15190"/>
      <c r="D15190"/>
      <c r="E15190"/>
      <c r="F15190"/>
      <c r="G15190"/>
      <c r="H15190"/>
      <c r="I15190"/>
      <c r="J15190"/>
      <c r="K15190" s="1"/>
      <c r="L15190" s="2"/>
    </row>
    <row r="15191" spans="1:12" x14ac:dyDescent="0.2">
      <c r="A15191"/>
      <c r="B15191"/>
      <c r="C15191"/>
      <c r="D15191"/>
      <c r="E15191"/>
      <c r="F15191"/>
      <c r="G15191"/>
      <c r="H15191"/>
      <c r="I15191"/>
      <c r="J15191"/>
      <c r="K15191" s="1"/>
      <c r="L15191" s="2"/>
    </row>
    <row r="15192" spans="1:12" x14ac:dyDescent="0.2">
      <c r="A15192"/>
      <c r="B15192"/>
      <c r="C15192"/>
      <c r="D15192"/>
      <c r="E15192"/>
      <c r="F15192"/>
      <c r="G15192"/>
      <c r="H15192"/>
      <c r="I15192"/>
      <c r="J15192"/>
      <c r="K15192" s="1"/>
      <c r="L15192" s="2"/>
    </row>
    <row r="15193" spans="1:12" x14ac:dyDescent="0.2">
      <c r="A15193"/>
      <c r="B15193"/>
      <c r="C15193"/>
      <c r="D15193"/>
      <c r="E15193"/>
      <c r="F15193"/>
      <c r="G15193"/>
      <c r="H15193"/>
      <c r="I15193"/>
      <c r="J15193"/>
      <c r="K15193" s="1"/>
      <c r="L15193" s="2"/>
    </row>
    <row r="15194" spans="1:12" x14ac:dyDescent="0.2">
      <c r="A15194"/>
      <c r="B15194"/>
      <c r="C15194"/>
      <c r="D15194"/>
      <c r="E15194"/>
      <c r="F15194"/>
      <c r="G15194"/>
      <c r="H15194"/>
      <c r="I15194"/>
      <c r="J15194"/>
      <c r="K15194" s="1"/>
      <c r="L15194" s="2"/>
    </row>
    <row r="15195" spans="1:12" x14ac:dyDescent="0.2">
      <c r="A15195"/>
      <c r="B15195"/>
      <c r="C15195"/>
      <c r="D15195"/>
      <c r="E15195"/>
      <c r="F15195"/>
      <c r="G15195"/>
      <c r="H15195"/>
      <c r="I15195"/>
      <c r="J15195"/>
      <c r="K15195" s="1"/>
      <c r="L15195" s="2"/>
    </row>
    <row r="15196" spans="1:12" x14ac:dyDescent="0.2">
      <c r="A15196"/>
      <c r="B15196"/>
      <c r="C15196"/>
      <c r="D15196"/>
      <c r="E15196"/>
      <c r="F15196"/>
      <c r="G15196"/>
      <c r="H15196"/>
      <c r="I15196"/>
      <c r="J15196"/>
      <c r="K15196" s="1"/>
      <c r="L15196" s="2"/>
    </row>
    <row r="15197" spans="1:12" x14ac:dyDescent="0.2">
      <c r="A15197"/>
      <c r="B15197"/>
      <c r="C15197"/>
      <c r="D15197"/>
      <c r="E15197"/>
      <c r="F15197"/>
      <c r="G15197"/>
      <c r="H15197"/>
      <c r="I15197"/>
      <c r="J15197"/>
      <c r="K15197" s="1"/>
      <c r="L15197" s="2"/>
    </row>
    <row r="15198" spans="1:12" x14ac:dyDescent="0.2">
      <c r="A15198"/>
      <c r="B15198"/>
      <c r="C15198"/>
      <c r="D15198"/>
      <c r="E15198"/>
      <c r="F15198"/>
      <c r="G15198"/>
      <c r="H15198"/>
      <c r="I15198"/>
      <c r="J15198"/>
      <c r="K15198" s="1"/>
      <c r="L15198" s="2"/>
    </row>
    <row r="15199" spans="1:12" x14ac:dyDescent="0.2">
      <c r="A15199"/>
      <c r="B15199"/>
      <c r="C15199"/>
      <c r="D15199"/>
      <c r="E15199"/>
      <c r="F15199"/>
      <c r="G15199"/>
      <c r="H15199"/>
      <c r="I15199"/>
      <c r="J15199"/>
      <c r="K15199" s="1"/>
      <c r="L15199" s="2"/>
    </row>
    <row r="15200" spans="1:12" x14ac:dyDescent="0.2">
      <c r="A15200"/>
      <c r="B15200"/>
      <c r="C15200"/>
      <c r="D15200"/>
      <c r="E15200"/>
      <c r="F15200"/>
      <c r="G15200"/>
      <c r="H15200"/>
      <c r="I15200"/>
      <c r="J15200"/>
      <c r="K15200" s="1"/>
      <c r="L15200" s="2"/>
    </row>
    <row r="15201" spans="1:12" x14ac:dyDescent="0.2">
      <c r="A15201"/>
      <c r="B15201"/>
      <c r="C15201"/>
      <c r="D15201"/>
      <c r="E15201"/>
      <c r="F15201"/>
      <c r="G15201"/>
      <c r="H15201"/>
      <c r="I15201"/>
      <c r="J15201"/>
      <c r="K15201" s="1"/>
      <c r="L15201" s="2"/>
    </row>
    <row r="15202" spans="1:12" x14ac:dyDescent="0.2">
      <c r="A15202"/>
      <c r="B15202"/>
      <c r="C15202"/>
      <c r="D15202"/>
      <c r="E15202"/>
      <c r="F15202"/>
      <c r="G15202"/>
      <c r="H15202"/>
      <c r="I15202"/>
      <c r="J15202"/>
      <c r="K15202" s="1"/>
      <c r="L15202" s="2"/>
    </row>
    <row r="15203" spans="1:12" x14ac:dyDescent="0.2">
      <c r="A15203"/>
      <c r="B15203"/>
      <c r="C15203"/>
      <c r="D15203"/>
      <c r="E15203"/>
      <c r="F15203"/>
      <c r="G15203"/>
      <c r="H15203"/>
      <c r="I15203"/>
      <c r="J15203"/>
      <c r="K15203" s="1"/>
      <c r="L15203" s="2"/>
    </row>
    <row r="15204" spans="1:12" x14ac:dyDescent="0.2">
      <c r="A15204"/>
      <c r="B15204"/>
      <c r="C15204"/>
      <c r="D15204"/>
      <c r="E15204"/>
      <c r="F15204"/>
      <c r="G15204"/>
      <c r="H15204"/>
      <c r="I15204"/>
      <c r="J15204"/>
      <c r="K15204" s="1"/>
      <c r="L15204" s="2"/>
    </row>
    <row r="15205" spans="1:12" x14ac:dyDescent="0.2">
      <c r="A15205"/>
      <c r="B15205"/>
      <c r="C15205"/>
      <c r="D15205"/>
      <c r="E15205"/>
      <c r="F15205"/>
      <c r="G15205"/>
      <c r="H15205"/>
      <c r="I15205"/>
      <c r="J15205"/>
      <c r="K15205" s="1"/>
      <c r="L15205" s="2"/>
    </row>
    <row r="15206" spans="1:12" x14ac:dyDescent="0.2">
      <c r="A15206"/>
      <c r="B15206"/>
      <c r="C15206"/>
      <c r="D15206"/>
      <c r="E15206"/>
      <c r="F15206"/>
      <c r="G15206"/>
      <c r="H15206"/>
      <c r="I15206"/>
      <c r="J15206"/>
      <c r="K15206" s="1"/>
      <c r="L15206" s="2"/>
    </row>
    <row r="15207" spans="1:12" x14ac:dyDescent="0.2">
      <c r="A15207"/>
      <c r="B15207"/>
      <c r="C15207"/>
      <c r="D15207"/>
      <c r="E15207"/>
      <c r="F15207"/>
      <c r="G15207"/>
      <c r="H15207"/>
      <c r="I15207"/>
      <c r="J15207"/>
      <c r="K15207" s="1"/>
      <c r="L15207" s="2"/>
    </row>
    <row r="15208" spans="1:12" x14ac:dyDescent="0.2">
      <c r="A15208"/>
      <c r="B15208"/>
      <c r="C15208"/>
      <c r="D15208"/>
      <c r="E15208"/>
      <c r="F15208"/>
      <c r="G15208"/>
      <c r="H15208"/>
      <c r="I15208"/>
      <c r="J15208"/>
      <c r="K15208" s="1"/>
      <c r="L15208" s="2"/>
    </row>
    <row r="15209" spans="1:12" x14ac:dyDescent="0.2">
      <c r="A15209"/>
      <c r="B15209"/>
      <c r="C15209"/>
      <c r="D15209"/>
      <c r="E15209"/>
      <c r="F15209"/>
      <c r="G15209"/>
      <c r="H15209"/>
      <c r="I15209"/>
      <c r="J15209"/>
      <c r="K15209" s="1"/>
      <c r="L15209" s="2"/>
    </row>
    <row r="15210" spans="1:12" x14ac:dyDescent="0.2">
      <c r="A15210"/>
      <c r="B15210"/>
      <c r="C15210"/>
      <c r="D15210"/>
      <c r="E15210"/>
      <c r="F15210"/>
      <c r="G15210"/>
      <c r="H15210"/>
      <c r="I15210"/>
      <c r="J15210"/>
      <c r="K15210" s="1"/>
      <c r="L15210" s="2"/>
    </row>
    <row r="15211" spans="1:12" x14ac:dyDescent="0.2">
      <c r="A15211"/>
      <c r="B15211"/>
      <c r="C15211"/>
      <c r="D15211"/>
      <c r="E15211"/>
      <c r="F15211"/>
      <c r="G15211"/>
      <c r="H15211"/>
      <c r="I15211"/>
      <c r="J15211"/>
      <c r="K15211" s="1"/>
      <c r="L15211" s="2"/>
    </row>
    <row r="15212" spans="1:12" x14ac:dyDescent="0.2">
      <c r="A15212"/>
      <c r="B15212"/>
      <c r="C15212"/>
      <c r="D15212"/>
      <c r="E15212"/>
      <c r="F15212"/>
      <c r="G15212"/>
      <c r="H15212"/>
      <c r="I15212"/>
      <c r="J15212"/>
      <c r="K15212" s="1"/>
      <c r="L15212" s="2"/>
    </row>
    <row r="15213" spans="1:12" x14ac:dyDescent="0.2">
      <c r="A15213"/>
      <c r="B15213"/>
      <c r="C15213"/>
      <c r="D15213"/>
      <c r="E15213"/>
      <c r="F15213"/>
      <c r="G15213"/>
      <c r="H15213"/>
      <c r="I15213"/>
      <c r="J15213"/>
      <c r="K15213" s="1"/>
      <c r="L15213" s="2"/>
    </row>
    <row r="15214" spans="1:12" x14ac:dyDescent="0.2">
      <c r="A15214"/>
      <c r="B15214"/>
      <c r="C15214"/>
      <c r="D15214"/>
      <c r="E15214"/>
      <c r="F15214"/>
      <c r="G15214"/>
      <c r="H15214"/>
      <c r="I15214"/>
      <c r="J15214"/>
      <c r="K15214" s="1"/>
      <c r="L15214" s="2"/>
    </row>
    <row r="15215" spans="1:12" x14ac:dyDescent="0.2">
      <c r="A15215"/>
      <c r="B15215"/>
      <c r="C15215"/>
      <c r="D15215"/>
      <c r="E15215"/>
      <c r="F15215"/>
      <c r="G15215"/>
      <c r="H15215"/>
      <c r="I15215"/>
      <c r="J15215"/>
      <c r="K15215" s="1"/>
      <c r="L15215" s="2"/>
    </row>
    <row r="15216" spans="1:12" x14ac:dyDescent="0.2">
      <c r="A15216"/>
      <c r="B15216"/>
      <c r="C15216"/>
      <c r="D15216"/>
      <c r="E15216"/>
      <c r="F15216"/>
      <c r="G15216"/>
      <c r="H15216"/>
      <c r="I15216"/>
      <c r="J15216"/>
      <c r="K15216" s="1"/>
      <c r="L15216" s="2"/>
    </row>
    <row r="15217" spans="1:12" x14ac:dyDescent="0.2">
      <c r="A15217"/>
      <c r="B15217"/>
      <c r="C15217"/>
      <c r="D15217"/>
      <c r="E15217"/>
      <c r="F15217"/>
      <c r="G15217"/>
      <c r="H15217"/>
      <c r="I15217"/>
      <c r="J15217"/>
      <c r="K15217" s="1"/>
      <c r="L15217" s="2"/>
    </row>
    <row r="15218" spans="1:12" x14ac:dyDescent="0.2">
      <c r="A15218"/>
      <c r="B15218"/>
      <c r="C15218"/>
      <c r="D15218"/>
      <c r="E15218"/>
      <c r="F15218"/>
      <c r="G15218"/>
      <c r="H15218"/>
      <c r="I15218"/>
      <c r="J15218"/>
      <c r="K15218" s="1"/>
      <c r="L15218" s="2"/>
    </row>
    <row r="15219" spans="1:12" x14ac:dyDescent="0.2">
      <c r="A15219"/>
      <c r="B15219"/>
      <c r="C15219"/>
      <c r="D15219"/>
      <c r="E15219"/>
      <c r="F15219"/>
      <c r="G15219"/>
      <c r="H15219"/>
      <c r="I15219"/>
      <c r="J15219"/>
      <c r="K15219" s="1"/>
      <c r="L15219" s="2"/>
    </row>
    <row r="15220" spans="1:12" x14ac:dyDescent="0.2">
      <c r="A15220"/>
      <c r="B15220"/>
      <c r="C15220"/>
      <c r="D15220"/>
      <c r="E15220"/>
      <c r="F15220"/>
      <c r="G15220"/>
      <c r="H15220"/>
      <c r="I15220"/>
      <c r="J15220"/>
      <c r="K15220" s="1"/>
      <c r="L15220" s="2"/>
    </row>
    <row r="15221" spans="1:12" x14ac:dyDescent="0.2">
      <c r="A15221"/>
      <c r="B15221"/>
      <c r="C15221"/>
      <c r="D15221"/>
      <c r="E15221"/>
      <c r="F15221"/>
      <c r="G15221"/>
      <c r="H15221"/>
      <c r="I15221"/>
      <c r="J15221"/>
      <c r="K15221" s="1"/>
      <c r="L15221" s="2"/>
    </row>
    <row r="15222" spans="1:12" x14ac:dyDescent="0.2">
      <c r="A15222"/>
      <c r="B15222"/>
      <c r="C15222"/>
      <c r="D15222"/>
      <c r="E15222"/>
      <c r="F15222"/>
      <c r="G15222"/>
      <c r="H15222"/>
      <c r="I15222"/>
      <c r="J15222"/>
      <c r="K15222" s="1"/>
      <c r="L15222" s="2"/>
    </row>
    <row r="15223" spans="1:12" x14ac:dyDescent="0.2">
      <c r="A15223"/>
      <c r="B15223"/>
      <c r="C15223"/>
      <c r="D15223"/>
      <c r="E15223"/>
      <c r="F15223"/>
      <c r="G15223"/>
      <c r="H15223"/>
      <c r="I15223"/>
      <c r="J15223"/>
      <c r="K15223" s="1"/>
      <c r="L15223" s="2"/>
    </row>
    <row r="15224" spans="1:12" x14ac:dyDescent="0.2">
      <c r="A15224"/>
      <c r="B15224"/>
      <c r="C15224"/>
      <c r="D15224"/>
      <c r="E15224"/>
      <c r="F15224"/>
      <c r="G15224"/>
      <c r="H15224"/>
      <c r="I15224"/>
      <c r="J15224"/>
      <c r="K15224" s="1"/>
      <c r="L15224" s="2"/>
    </row>
    <row r="15225" spans="1:12" x14ac:dyDescent="0.2">
      <c r="A15225"/>
      <c r="B15225"/>
      <c r="C15225"/>
      <c r="D15225"/>
      <c r="E15225"/>
      <c r="F15225"/>
      <c r="G15225"/>
      <c r="H15225"/>
      <c r="I15225"/>
      <c r="J15225"/>
      <c r="K15225" s="1"/>
      <c r="L15225" s="2"/>
    </row>
    <row r="15226" spans="1:12" x14ac:dyDescent="0.2">
      <c r="A15226"/>
      <c r="B15226"/>
      <c r="C15226"/>
      <c r="D15226"/>
      <c r="E15226"/>
      <c r="F15226"/>
      <c r="G15226"/>
      <c r="H15226"/>
      <c r="I15226"/>
      <c r="J15226"/>
      <c r="K15226" s="1"/>
      <c r="L15226" s="2"/>
    </row>
    <row r="15227" spans="1:12" x14ac:dyDescent="0.2">
      <c r="A15227"/>
      <c r="B15227"/>
      <c r="C15227"/>
      <c r="D15227"/>
      <c r="E15227"/>
      <c r="F15227"/>
      <c r="G15227"/>
      <c r="H15227"/>
      <c r="I15227"/>
      <c r="J15227"/>
      <c r="K15227" s="1"/>
      <c r="L15227" s="2"/>
    </row>
    <row r="15228" spans="1:12" x14ac:dyDescent="0.2">
      <c r="A15228"/>
      <c r="B15228"/>
      <c r="C15228"/>
      <c r="D15228"/>
      <c r="E15228"/>
      <c r="F15228"/>
      <c r="G15228"/>
      <c r="H15228"/>
      <c r="I15228"/>
      <c r="J15228"/>
      <c r="K15228" s="1"/>
      <c r="L15228" s="2"/>
    </row>
    <row r="15229" spans="1:12" x14ac:dyDescent="0.2">
      <c r="A15229"/>
      <c r="B15229"/>
      <c r="C15229"/>
      <c r="D15229"/>
      <c r="E15229"/>
      <c r="F15229"/>
      <c r="G15229"/>
      <c r="H15229"/>
      <c r="I15229"/>
      <c r="J15229"/>
      <c r="K15229" s="1"/>
      <c r="L15229" s="2"/>
    </row>
    <row r="15230" spans="1:12" x14ac:dyDescent="0.2">
      <c r="A15230"/>
      <c r="B15230"/>
      <c r="C15230"/>
      <c r="D15230"/>
      <c r="E15230"/>
      <c r="F15230"/>
      <c r="G15230"/>
      <c r="H15230"/>
      <c r="I15230"/>
      <c r="J15230"/>
      <c r="K15230" s="1"/>
      <c r="L15230" s="2"/>
    </row>
    <row r="15231" spans="1:12" x14ac:dyDescent="0.2">
      <c r="A15231"/>
      <c r="B15231"/>
      <c r="C15231"/>
      <c r="D15231"/>
      <c r="E15231"/>
      <c r="F15231"/>
      <c r="G15231"/>
      <c r="H15231"/>
      <c r="I15231"/>
      <c r="J15231"/>
      <c r="K15231" s="1"/>
      <c r="L15231" s="2"/>
    </row>
    <row r="15232" spans="1:12" x14ac:dyDescent="0.2">
      <c r="A15232"/>
      <c r="B15232"/>
      <c r="C15232"/>
      <c r="D15232"/>
      <c r="E15232"/>
      <c r="F15232"/>
      <c r="G15232"/>
      <c r="H15232"/>
      <c r="I15232"/>
      <c r="J15232"/>
      <c r="K15232" s="1"/>
      <c r="L15232" s="2"/>
    </row>
    <row r="15233" spans="1:12" x14ac:dyDescent="0.2">
      <c r="A15233"/>
      <c r="B15233"/>
      <c r="C15233"/>
      <c r="D15233"/>
      <c r="E15233"/>
      <c r="F15233"/>
      <c r="G15233"/>
      <c r="H15233"/>
      <c r="I15233"/>
      <c r="J15233"/>
      <c r="K15233" s="1"/>
      <c r="L15233" s="2"/>
    </row>
    <row r="15234" spans="1:12" x14ac:dyDescent="0.2">
      <c r="A15234"/>
      <c r="B15234"/>
      <c r="C15234"/>
      <c r="D15234"/>
      <c r="E15234"/>
      <c r="F15234"/>
      <c r="G15234"/>
      <c r="H15234"/>
      <c r="I15234"/>
      <c r="J15234"/>
      <c r="K15234" s="1"/>
      <c r="L15234" s="2"/>
    </row>
    <row r="15235" spans="1:12" x14ac:dyDescent="0.2">
      <c r="A15235"/>
      <c r="B15235"/>
      <c r="C15235"/>
      <c r="D15235"/>
      <c r="E15235"/>
      <c r="F15235"/>
      <c r="G15235"/>
      <c r="H15235"/>
      <c r="I15235"/>
      <c r="J15235"/>
      <c r="K15235" s="1"/>
      <c r="L15235" s="2"/>
    </row>
    <row r="15236" spans="1:12" x14ac:dyDescent="0.2">
      <c r="A15236"/>
      <c r="B15236"/>
      <c r="C15236"/>
      <c r="D15236"/>
      <c r="E15236"/>
      <c r="F15236"/>
      <c r="G15236"/>
      <c r="H15236"/>
      <c r="I15236"/>
      <c r="J15236"/>
      <c r="K15236" s="1"/>
      <c r="L15236" s="2"/>
    </row>
    <row r="15237" spans="1:12" x14ac:dyDescent="0.2">
      <c r="A15237"/>
      <c r="B15237"/>
      <c r="C15237"/>
      <c r="D15237"/>
      <c r="E15237"/>
      <c r="F15237"/>
      <c r="G15237"/>
      <c r="H15237"/>
      <c r="I15237"/>
      <c r="J15237"/>
      <c r="K15237" s="1"/>
      <c r="L15237" s="2"/>
    </row>
    <row r="15238" spans="1:12" x14ac:dyDescent="0.2">
      <c r="A15238"/>
      <c r="B15238"/>
      <c r="C15238"/>
      <c r="D15238"/>
      <c r="E15238"/>
      <c r="F15238"/>
      <c r="G15238"/>
      <c r="H15238"/>
      <c r="I15238"/>
      <c r="J15238"/>
      <c r="K15238" s="1"/>
      <c r="L15238" s="2"/>
    </row>
    <row r="15239" spans="1:12" x14ac:dyDescent="0.2">
      <c r="A15239"/>
      <c r="B15239"/>
      <c r="C15239"/>
      <c r="D15239"/>
      <c r="E15239"/>
      <c r="F15239"/>
      <c r="G15239"/>
      <c r="H15239"/>
      <c r="I15239"/>
      <c r="J15239"/>
      <c r="K15239" s="1"/>
      <c r="L15239" s="2"/>
    </row>
    <row r="15240" spans="1:12" x14ac:dyDescent="0.2">
      <c r="A15240"/>
      <c r="B15240"/>
      <c r="C15240"/>
      <c r="D15240"/>
      <c r="E15240"/>
      <c r="F15240"/>
      <c r="G15240"/>
      <c r="H15240"/>
      <c r="I15240"/>
      <c r="J15240"/>
      <c r="K15240" s="1"/>
      <c r="L15240" s="2"/>
    </row>
    <row r="15241" spans="1:12" x14ac:dyDescent="0.2">
      <c r="A15241"/>
      <c r="B15241"/>
      <c r="C15241"/>
      <c r="D15241"/>
      <c r="E15241"/>
      <c r="F15241"/>
      <c r="G15241"/>
      <c r="H15241"/>
      <c r="I15241"/>
      <c r="J15241"/>
      <c r="K15241" s="1"/>
      <c r="L15241" s="2"/>
    </row>
    <row r="15242" spans="1:12" x14ac:dyDescent="0.2">
      <c r="A15242"/>
      <c r="B15242"/>
      <c r="C15242"/>
      <c r="D15242"/>
      <c r="E15242"/>
      <c r="F15242"/>
      <c r="G15242"/>
      <c r="H15242"/>
      <c r="I15242"/>
      <c r="J15242"/>
      <c r="K15242" s="1"/>
      <c r="L15242" s="2"/>
    </row>
    <row r="15243" spans="1:12" x14ac:dyDescent="0.2">
      <c r="A15243"/>
      <c r="B15243"/>
      <c r="C15243"/>
      <c r="D15243"/>
      <c r="E15243"/>
      <c r="F15243"/>
      <c r="G15243"/>
      <c r="H15243"/>
      <c r="I15243"/>
      <c r="J15243"/>
      <c r="K15243" s="1"/>
      <c r="L15243" s="2"/>
    </row>
    <row r="15244" spans="1:12" x14ac:dyDescent="0.2">
      <c r="A15244"/>
      <c r="B15244"/>
      <c r="C15244"/>
      <c r="D15244"/>
      <c r="E15244"/>
      <c r="F15244"/>
      <c r="G15244"/>
      <c r="H15244"/>
      <c r="I15244"/>
      <c r="J15244"/>
      <c r="K15244" s="1"/>
      <c r="L15244" s="2"/>
    </row>
    <row r="15245" spans="1:12" x14ac:dyDescent="0.2">
      <c r="A15245"/>
      <c r="B15245"/>
      <c r="C15245"/>
      <c r="D15245"/>
      <c r="E15245"/>
      <c r="F15245"/>
      <c r="G15245"/>
      <c r="H15245"/>
      <c r="I15245"/>
      <c r="J15245"/>
      <c r="K15245" s="1"/>
      <c r="L15245" s="2"/>
    </row>
    <row r="15246" spans="1:12" x14ac:dyDescent="0.2">
      <c r="A15246"/>
      <c r="B15246"/>
      <c r="C15246"/>
      <c r="D15246"/>
      <c r="E15246"/>
      <c r="F15246"/>
      <c r="G15246"/>
      <c r="H15246"/>
      <c r="I15246"/>
      <c r="J15246"/>
      <c r="K15246" s="1"/>
      <c r="L15246" s="2"/>
    </row>
    <row r="15247" spans="1:12" x14ac:dyDescent="0.2">
      <c r="A15247"/>
      <c r="B15247"/>
      <c r="C15247"/>
      <c r="D15247"/>
      <c r="E15247"/>
      <c r="F15247"/>
      <c r="G15247"/>
      <c r="H15247"/>
      <c r="I15247"/>
      <c r="J15247"/>
      <c r="K15247" s="1"/>
      <c r="L15247" s="2"/>
    </row>
    <row r="15248" spans="1:12" x14ac:dyDescent="0.2">
      <c r="A15248"/>
      <c r="B15248"/>
      <c r="C15248"/>
      <c r="D15248"/>
      <c r="E15248"/>
      <c r="F15248"/>
      <c r="G15248"/>
      <c r="H15248"/>
      <c r="I15248"/>
      <c r="J15248"/>
      <c r="K15248" s="1"/>
      <c r="L15248" s="2"/>
    </row>
    <row r="15249" spans="1:12" x14ac:dyDescent="0.2">
      <c r="A15249"/>
      <c r="B15249"/>
      <c r="C15249"/>
      <c r="D15249"/>
      <c r="E15249"/>
      <c r="F15249"/>
      <c r="G15249"/>
      <c r="H15249"/>
      <c r="I15249"/>
      <c r="J15249"/>
      <c r="K15249" s="1"/>
      <c r="L15249" s="2"/>
    </row>
    <row r="15250" spans="1:12" x14ac:dyDescent="0.2">
      <c r="A15250"/>
      <c r="B15250"/>
      <c r="C15250"/>
      <c r="D15250"/>
      <c r="E15250"/>
      <c r="F15250"/>
      <c r="G15250"/>
      <c r="H15250"/>
      <c r="I15250"/>
      <c r="J15250"/>
      <c r="K15250" s="1"/>
      <c r="L15250" s="2"/>
    </row>
    <row r="15251" spans="1:12" x14ac:dyDescent="0.2">
      <c r="A15251"/>
      <c r="B15251"/>
      <c r="C15251"/>
      <c r="D15251"/>
      <c r="E15251"/>
      <c r="F15251"/>
      <c r="G15251"/>
      <c r="H15251"/>
      <c r="I15251"/>
      <c r="J15251"/>
      <c r="K15251" s="1"/>
      <c r="L15251" s="2"/>
    </row>
    <row r="15252" spans="1:12" x14ac:dyDescent="0.2">
      <c r="A15252"/>
      <c r="B15252"/>
      <c r="C15252"/>
      <c r="D15252"/>
      <c r="E15252"/>
      <c r="F15252"/>
      <c r="G15252"/>
      <c r="H15252"/>
      <c r="I15252"/>
      <c r="J15252"/>
      <c r="K15252" s="1"/>
      <c r="L15252" s="2"/>
    </row>
    <row r="15253" spans="1:12" x14ac:dyDescent="0.2">
      <c r="A15253"/>
      <c r="B15253"/>
      <c r="C15253"/>
      <c r="D15253"/>
      <c r="E15253"/>
      <c r="F15253"/>
      <c r="G15253"/>
      <c r="H15253"/>
      <c r="I15253"/>
      <c r="J15253"/>
      <c r="K15253" s="1"/>
      <c r="L15253" s="2"/>
    </row>
    <row r="15254" spans="1:12" x14ac:dyDescent="0.2">
      <c r="A15254"/>
      <c r="B15254"/>
      <c r="C15254"/>
      <c r="D15254"/>
      <c r="E15254"/>
      <c r="F15254"/>
      <c r="G15254"/>
      <c r="H15254"/>
      <c r="I15254"/>
      <c r="J15254"/>
      <c r="K15254" s="1"/>
      <c r="L15254" s="2"/>
    </row>
    <row r="15255" spans="1:12" x14ac:dyDescent="0.2">
      <c r="A15255"/>
      <c r="B15255"/>
      <c r="C15255"/>
      <c r="D15255"/>
      <c r="E15255"/>
      <c r="F15255"/>
      <c r="G15255"/>
      <c r="H15255"/>
      <c r="I15255"/>
      <c r="J15255"/>
      <c r="K15255" s="1"/>
      <c r="L15255" s="2"/>
    </row>
    <row r="15256" spans="1:12" x14ac:dyDescent="0.2">
      <c r="A15256"/>
      <c r="B15256"/>
      <c r="C15256"/>
      <c r="D15256"/>
      <c r="E15256"/>
      <c r="F15256"/>
      <c r="G15256"/>
      <c r="H15256"/>
      <c r="I15256"/>
      <c r="J15256"/>
      <c r="K15256" s="1"/>
      <c r="L15256" s="2"/>
    </row>
    <row r="15257" spans="1:12" x14ac:dyDescent="0.2">
      <c r="A15257"/>
      <c r="B15257"/>
      <c r="C15257"/>
      <c r="D15257"/>
      <c r="E15257"/>
      <c r="F15257"/>
      <c r="G15257"/>
      <c r="H15257"/>
      <c r="I15257"/>
      <c r="J15257"/>
      <c r="K15257" s="1"/>
      <c r="L15257" s="2"/>
    </row>
    <row r="15258" spans="1:12" x14ac:dyDescent="0.2">
      <c r="A15258"/>
      <c r="B15258"/>
      <c r="C15258"/>
      <c r="D15258"/>
      <c r="E15258"/>
      <c r="F15258"/>
      <c r="G15258"/>
      <c r="H15258"/>
      <c r="I15258"/>
      <c r="J15258"/>
      <c r="K15258" s="1"/>
      <c r="L15258" s="2"/>
    </row>
    <row r="15259" spans="1:12" x14ac:dyDescent="0.2">
      <c r="A15259"/>
      <c r="B15259"/>
      <c r="C15259"/>
      <c r="D15259"/>
      <c r="E15259"/>
      <c r="F15259"/>
      <c r="G15259"/>
      <c r="H15259"/>
      <c r="I15259"/>
      <c r="J15259"/>
      <c r="K15259" s="1"/>
      <c r="L15259" s="2"/>
    </row>
    <row r="15260" spans="1:12" x14ac:dyDescent="0.2">
      <c r="A15260"/>
      <c r="B15260"/>
      <c r="C15260"/>
      <c r="D15260"/>
      <c r="E15260"/>
      <c r="F15260"/>
      <c r="G15260"/>
      <c r="H15260"/>
      <c r="I15260"/>
      <c r="J15260"/>
      <c r="K15260" s="1"/>
      <c r="L15260" s="2"/>
    </row>
    <row r="15261" spans="1:12" x14ac:dyDescent="0.2">
      <c r="A15261"/>
      <c r="B15261"/>
      <c r="C15261"/>
      <c r="D15261"/>
      <c r="E15261"/>
      <c r="F15261"/>
      <c r="G15261"/>
      <c r="H15261"/>
      <c r="I15261"/>
      <c r="J15261"/>
      <c r="K15261" s="1"/>
      <c r="L15261" s="2"/>
    </row>
    <row r="15262" spans="1:12" x14ac:dyDescent="0.2">
      <c r="A15262"/>
      <c r="B15262"/>
      <c r="C15262"/>
      <c r="D15262"/>
      <c r="E15262"/>
      <c r="F15262"/>
      <c r="G15262"/>
      <c r="H15262"/>
      <c r="I15262"/>
      <c r="J15262"/>
      <c r="K15262" s="1"/>
      <c r="L15262" s="2"/>
    </row>
    <row r="15263" spans="1:12" x14ac:dyDescent="0.2">
      <c r="A15263"/>
      <c r="B15263"/>
      <c r="C15263"/>
      <c r="D15263"/>
      <c r="E15263"/>
      <c r="F15263"/>
      <c r="G15263"/>
      <c r="H15263"/>
      <c r="I15263"/>
      <c r="J15263"/>
      <c r="K15263" s="1"/>
      <c r="L15263" s="2"/>
    </row>
    <row r="15264" spans="1:12" x14ac:dyDescent="0.2">
      <c r="A15264"/>
      <c r="B15264"/>
      <c r="C15264"/>
      <c r="D15264"/>
      <c r="E15264"/>
      <c r="F15264"/>
      <c r="G15264"/>
      <c r="H15264"/>
      <c r="I15264"/>
      <c r="J15264"/>
      <c r="K15264" s="1"/>
      <c r="L15264" s="2"/>
    </row>
    <row r="15265" spans="1:12" x14ac:dyDescent="0.2">
      <c r="A15265"/>
      <c r="B15265"/>
      <c r="C15265"/>
      <c r="D15265"/>
      <c r="E15265"/>
      <c r="F15265"/>
      <c r="G15265"/>
      <c r="H15265"/>
      <c r="I15265"/>
      <c r="J15265"/>
      <c r="K15265" s="1"/>
      <c r="L15265" s="2"/>
    </row>
    <row r="15266" spans="1:12" x14ac:dyDescent="0.2">
      <c r="A15266"/>
      <c r="B15266"/>
      <c r="C15266"/>
      <c r="D15266"/>
      <c r="E15266"/>
      <c r="F15266"/>
      <c r="G15266"/>
      <c r="H15266"/>
      <c r="I15266"/>
      <c r="J15266"/>
      <c r="K15266" s="1"/>
      <c r="L15266" s="2"/>
    </row>
    <row r="15267" spans="1:12" x14ac:dyDescent="0.2">
      <c r="A15267"/>
      <c r="B15267"/>
      <c r="C15267"/>
      <c r="D15267"/>
      <c r="E15267"/>
      <c r="F15267"/>
      <c r="G15267"/>
      <c r="H15267"/>
      <c r="I15267"/>
      <c r="J15267"/>
      <c r="K15267" s="1"/>
      <c r="L15267" s="2"/>
    </row>
    <row r="15268" spans="1:12" x14ac:dyDescent="0.2">
      <c r="A15268"/>
      <c r="B15268"/>
      <c r="C15268"/>
      <c r="D15268"/>
      <c r="E15268"/>
      <c r="F15268"/>
      <c r="G15268"/>
      <c r="H15268"/>
      <c r="I15268"/>
      <c r="J15268"/>
      <c r="K15268" s="1"/>
      <c r="L15268" s="2"/>
    </row>
    <row r="15269" spans="1:12" x14ac:dyDescent="0.2">
      <c r="A15269"/>
      <c r="B15269"/>
      <c r="C15269"/>
      <c r="D15269"/>
      <c r="E15269"/>
      <c r="F15269"/>
      <c r="G15269"/>
      <c r="H15269"/>
      <c r="I15269"/>
      <c r="J15269"/>
      <c r="K15269" s="1"/>
      <c r="L15269" s="2"/>
    </row>
    <row r="15270" spans="1:12" x14ac:dyDescent="0.2">
      <c r="A15270"/>
      <c r="B15270"/>
      <c r="C15270"/>
      <c r="D15270"/>
      <c r="E15270"/>
      <c r="F15270"/>
      <c r="G15270"/>
      <c r="H15270"/>
      <c r="I15270"/>
      <c r="J15270"/>
      <c r="K15270" s="1"/>
      <c r="L15270" s="2"/>
    </row>
    <row r="15271" spans="1:12" x14ac:dyDescent="0.2">
      <c r="A15271"/>
      <c r="B15271"/>
      <c r="C15271"/>
      <c r="D15271"/>
      <c r="E15271"/>
      <c r="F15271"/>
      <c r="G15271"/>
      <c r="H15271"/>
      <c r="I15271"/>
      <c r="J15271"/>
      <c r="K15271" s="1"/>
      <c r="L15271" s="2"/>
    </row>
    <row r="15272" spans="1:12" x14ac:dyDescent="0.2">
      <c r="A15272"/>
      <c r="B15272"/>
      <c r="C15272"/>
      <c r="D15272"/>
      <c r="E15272"/>
      <c r="F15272"/>
      <c r="G15272"/>
      <c r="H15272"/>
      <c r="I15272"/>
      <c r="J15272"/>
      <c r="K15272" s="1"/>
      <c r="L15272" s="2"/>
    </row>
    <row r="15273" spans="1:12" x14ac:dyDescent="0.2">
      <c r="A15273"/>
      <c r="B15273"/>
      <c r="C15273"/>
      <c r="D15273"/>
      <c r="E15273"/>
      <c r="F15273"/>
      <c r="G15273"/>
      <c r="H15273"/>
      <c r="I15273"/>
      <c r="J15273"/>
      <c r="K15273" s="1"/>
      <c r="L15273" s="2"/>
    </row>
    <row r="15274" spans="1:12" x14ac:dyDescent="0.2">
      <c r="A15274"/>
      <c r="B15274"/>
      <c r="C15274"/>
      <c r="D15274"/>
      <c r="E15274"/>
      <c r="F15274"/>
      <c r="G15274"/>
      <c r="H15274"/>
      <c r="I15274"/>
      <c r="J15274"/>
      <c r="K15274" s="1"/>
      <c r="L15274" s="2"/>
    </row>
    <row r="15275" spans="1:12" x14ac:dyDescent="0.2">
      <c r="A15275"/>
      <c r="B15275"/>
      <c r="C15275"/>
      <c r="D15275"/>
      <c r="E15275"/>
      <c r="F15275"/>
      <c r="G15275"/>
      <c r="H15275"/>
      <c r="I15275"/>
      <c r="J15275"/>
      <c r="K15275" s="1"/>
      <c r="L15275" s="2"/>
    </row>
    <row r="15276" spans="1:12" x14ac:dyDescent="0.2">
      <c r="A15276"/>
      <c r="B15276"/>
      <c r="C15276"/>
      <c r="D15276"/>
      <c r="E15276"/>
      <c r="F15276"/>
      <c r="G15276"/>
      <c r="H15276"/>
      <c r="I15276"/>
      <c r="J15276"/>
      <c r="K15276" s="1"/>
      <c r="L15276" s="2"/>
    </row>
    <row r="15277" spans="1:12" x14ac:dyDescent="0.2">
      <c r="A15277"/>
      <c r="B15277"/>
      <c r="C15277"/>
      <c r="D15277"/>
      <c r="E15277"/>
      <c r="F15277"/>
      <c r="G15277"/>
      <c r="H15277"/>
      <c r="I15277"/>
      <c r="J15277"/>
      <c r="K15277" s="1"/>
      <c r="L15277" s="2"/>
    </row>
    <row r="15278" spans="1:12" x14ac:dyDescent="0.2">
      <c r="A15278"/>
      <c r="B15278"/>
      <c r="C15278"/>
      <c r="D15278"/>
      <c r="E15278"/>
      <c r="F15278"/>
      <c r="G15278"/>
      <c r="H15278"/>
      <c r="I15278"/>
      <c r="J15278"/>
      <c r="K15278" s="1"/>
      <c r="L15278" s="2"/>
    </row>
    <row r="15279" spans="1:12" x14ac:dyDescent="0.2">
      <c r="A15279"/>
      <c r="B15279"/>
      <c r="C15279"/>
      <c r="D15279"/>
      <c r="E15279"/>
      <c r="F15279"/>
      <c r="G15279"/>
      <c r="H15279"/>
      <c r="I15279"/>
      <c r="J15279"/>
      <c r="K15279" s="1"/>
      <c r="L15279" s="2"/>
    </row>
    <row r="15280" spans="1:12" x14ac:dyDescent="0.2">
      <c r="A15280"/>
      <c r="B15280"/>
      <c r="C15280"/>
      <c r="D15280"/>
      <c r="E15280"/>
      <c r="F15280"/>
      <c r="G15280"/>
      <c r="H15280"/>
      <c r="I15280"/>
      <c r="J15280"/>
      <c r="K15280" s="1"/>
      <c r="L15280" s="2"/>
    </row>
    <row r="15281" spans="1:12" x14ac:dyDescent="0.2">
      <c r="A15281"/>
      <c r="B15281"/>
      <c r="C15281"/>
      <c r="D15281"/>
      <c r="E15281"/>
      <c r="F15281"/>
      <c r="G15281"/>
      <c r="H15281"/>
      <c r="I15281"/>
      <c r="J15281"/>
      <c r="K15281" s="1"/>
      <c r="L15281" s="2"/>
    </row>
    <row r="15282" spans="1:12" x14ac:dyDescent="0.2">
      <c r="A15282"/>
      <c r="B15282"/>
      <c r="C15282"/>
      <c r="D15282"/>
      <c r="E15282"/>
      <c r="F15282"/>
      <c r="G15282"/>
      <c r="H15282"/>
      <c r="I15282"/>
      <c r="J15282"/>
      <c r="K15282" s="1"/>
      <c r="L15282" s="2"/>
    </row>
    <row r="15283" spans="1:12" x14ac:dyDescent="0.2">
      <c r="A15283"/>
      <c r="B15283"/>
      <c r="C15283"/>
      <c r="D15283"/>
      <c r="E15283"/>
      <c r="F15283"/>
      <c r="G15283"/>
      <c r="H15283"/>
      <c r="I15283"/>
      <c r="J15283"/>
      <c r="K15283" s="1"/>
      <c r="L15283" s="2"/>
    </row>
    <row r="15284" spans="1:12" x14ac:dyDescent="0.2">
      <c r="A15284"/>
      <c r="B15284"/>
      <c r="C15284"/>
      <c r="D15284"/>
      <c r="E15284"/>
      <c r="F15284"/>
      <c r="G15284"/>
      <c r="H15284"/>
      <c r="I15284"/>
      <c r="J15284"/>
      <c r="K15284" s="1"/>
      <c r="L15284" s="2"/>
    </row>
    <row r="15285" spans="1:12" x14ac:dyDescent="0.2">
      <c r="A15285"/>
      <c r="B15285"/>
      <c r="C15285"/>
      <c r="D15285"/>
      <c r="E15285"/>
      <c r="F15285"/>
      <c r="G15285"/>
      <c r="H15285"/>
      <c r="I15285"/>
      <c r="J15285"/>
      <c r="K15285" s="1"/>
      <c r="L15285" s="2"/>
    </row>
    <row r="15286" spans="1:12" x14ac:dyDescent="0.2">
      <c r="A15286"/>
      <c r="B15286"/>
      <c r="C15286"/>
      <c r="D15286"/>
      <c r="E15286"/>
      <c r="F15286"/>
      <c r="G15286"/>
      <c r="H15286"/>
      <c r="I15286"/>
      <c r="J15286"/>
      <c r="K15286" s="1"/>
      <c r="L15286" s="2"/>
    </row>
    <row r="15287" spans="1:12" x14ac:dyDescent="0.2">
      <c r="A15287"/>
      <c r="B15287"/>
      <c r="C15287"/>
      <c r="D15287"/>
      <c r="E15287"/>
      <c r="F15287"/>
      <c r="G15287"/>
      <c r="H15287"/>
      <c r="I15287"/>
      <c r="J15287"/>
      <c r="K15287" s="1"/>
      <c r="L15287" s="2"/>
    </row>
    <row r="15288" spans="1:12" x14ac:dyDescent="0.2">
      <c r="A15288"/>
      <c r="B15288"/>
      <c r="C15288"/>
      <c r="D15288"/>
      <c r="E15288"/>
      <c r="F15288"/>
      <c r="G15288"/>
      <c r="H15288"/>
      <c r="I15288"/>
      <c r="J15288"/>
      <c r="K15288" s="1"/>
      <c r="L15288" s="2"/>
    </row>
    <row r="15289" spans="1:12" x14ac:dyDescent="0.2">
      <c r="A15289"/>
      <c r="B15289"/>
      <c r="C15289"/>
      <c r="D15289"/>
      <c r="E15289"/>
      <c r="F15289"/>
      <c r="G15289"/>
      <c r="H15289"/>
      <c r="I15289"/>
      <c r="J15289"/>
      <c r="K15289" s="1"/>
      <c r="L15289" s="2"/>
    </row>
    <row r="15290" spans="1:12" x14ac:dyDescent="0.2">
      <c r="A15290"/>
      <c r="B15290"/>
      <c r="C15290"/>
      <c r="D15290"/>
      <c r="E15290"/>
      <c r="F15290"/>
      <c r="G15290"/>
      <c r="H15290"/>
      <c r="I15290"/>
      <c r="J15290"/>
      <c r="K15290" s="1"/>
      <c r="L15290" s="2"/>
    </row>
    <row r="15291" spans="1:12" x14ac:dyDescent="0.2">
      <c r="A15291"/>
      <c r="B15291"/>
      <c r="C15291"/>
      <c r="D15291"/>
      <c r="E15291"/>
      <c r="F15291"/>
      <c r="G15291"/>
      <c r="H15291"/>
      <c r="I15291"/>
      <c r="J15291"/>
      <c r="K15291" s="1"/>
      <c r="L15291" s="2"/>
    </row>
    <row r="15292" spans="1:12" x14ac:dyDescent="0.2">
      <c r="A15292"/>
      <c r="B15292"/>
      <c r="C15292"/>
      <c r="D15292"/>
      <c r="E15292"/>
      <c r="F15292"/>
      <c r="G15292"/>
      <c r="H15292"/>
      <c r="I15292"/>
      <c r="J15292"/>
      <c r="K15292" s="1"/>
      <c r="L15292" s="2"/>
    </row>
    <row r="15293" spans="1:12" x14ac:dyDescent="0.2">
      <c r="A15293"/>
      <c r="B15293"/>
      <c r="C15293"/>
      <c r="D15293"/>
      <c r="E15293"/>
      <c r="F15293"/>
      <c r="G15293"/>
      <c r="H15293"/>
      <c r="I15293"/>
      <c r="J15293"/>
      <c r="K15293" s="1"/>
      <c r="L15293" s="2"/>
    </row>
    <row r="15294" spans="1:12" x14ac:dyDescent="0.2">
      <c r="A15294"/>
      <c r="B15294"/>
      <c r="C15294"/>
      <c r="D15294"/>
      <c r="E15294"/>
      <c r="F15294"/>
      <c r="G15294"/>
      <c r="H15294"/>
      <c r="I15294"/>
      <c r="J15294"/>
      <c r="K15294" s="1"/>
      <c r="L15294" s="2"/>
    </row>
    <row r="15295" spans="1:12" x14ac:dyDescent="0.2">
      <c r="A15295"/>
      <c r="B15295"/>
      <c r="C15295"/>
      <c r="D15295"/>
      <c r="E15295"/>
      <c r="F15295"/>
      <c r="G15295"/>
      <c r="H15295"/>
      <c r="I15295"/>
      <c r="J15295"/>
      <c r="K15295" s="1"/>
      <c r="L15295" s="2"/>
    </row>
    <row r="15296" spans="1:12" x14ac:dyDescent="0.2">
      <c r="A15296"/>
      <c r="B15296"/>
      <c r="C15296"/>
      <c r="D15296"/>
      <c r="E15296"/>
      <c r="F15296"/>
      <c r="G15296"/>
      <c r="H15296"/>
      <c r="I15296"/>
      <c r="J15296"/>
      <c r="K15296" s="1"/>
      <c r="L15296" s="2"/>
    </row>
    <row r="15297" spans="1:12" x14ac:dyDescent="0.2">
      <c r="A15297"/>
      <c r="B15297"/>
      <c r="C15297"/>
      <c r="D15297"/>
      <c r="E15297"/>
      <c r="F15297"/>
      <c r="G15297"/>
      <c r="H15297"/>
      <c r="I15297"/>
      <c r="J15297"/>
      <c r="K15297" s="1"/>
      <c r="L15297" s="2"/>
    </row>
    <row r="15298" spans="1:12" x14ac:dyDescent="0.2">
      <c r="A15298"/>
      <c r="B15298"/>
      <c r="C15298"/>
      <c r="D15298"/>
      <c r="E15298"/>
      <c r="F15298"/>
      <c r="G15298"/>
      <c r="H15298"/>
      <c r="I15298"/>
      <c r="J15298"/>
      <c r="K15298" s="1"/>
      <c r="L15298" s="2"/>
    </row>
    <row r="15299" spans="1:12" x14ac:dyDescent="0.2">
      <c r="A15299"/>
      <c r="B15299"/>
      <c r="C15299"/>
      <c r="D15299"/>
      <c r="E15299"/>
      <c r="F15299"/>
      <c r="G15299"/>
      <c r="H15299"/>
      <c r="I15299"/>
      <c r="J15299"/>
      <c r="K15299" s="1"/>
      <c r="L15299" s="2"/>
    </row>
    <row r="15300" spans="1:12" x14ac:dyDescent="0.2">
      <c r="A15300"/>
      <c r="B15300"/>
      <c r="C15300"/>
      <c r="D15300"/>
      <c r="E15300"/>
      <c r="F15300"/>
      <c r="G15300"/>
      <c r="H15300"/>
      <c r="I15300"/>
      <c r="J15300"/>
      <c r="K15300" s="1"/>
      <c r="L15300" s="2"/>
    </row>
    <row r="15301" spans="1:12" x14ac:dyDescent="0.2">
      <c r="A15301"/>
      <c r="B15301"/>
      <c r="C15301"/>
      <c r="D15301"/>
      <c r="E15301"/>
      <c r="F15301"/>
      <c r="G15301"/>
      <c r="H15301"/>
      <c r="I15301"/>
      <c r="J15301"/>
      <c r="K15301" s="1"/>
      <c r="L15301" s="2"/>
    </row>
    <row r="15302" spans="1:12" x14ac:dyDescent="0.2">
      <c r="A15302"/>
      <c r="B15302"/>
      <c r="C15302"/>
      <c r="D15302"/>
      <c r="E15302"/>
      <c r="F15302"/>
      <c r="G15302"/>
      <c r="H15302"/>
      <c r="I15302"/>
      <c r="J15302"/>
      <c r="K15302" s="1"/>
      <c r="L15302" s="2"/>
    </row>
    <row r="15303" spans="1:12" x14ac:dyDescent="0.2">
      <c r="A15303"/>
      <c r="B15303"/>
      <c r="C15303"/>
      <c r="D15303"/>
      <c r="E15303"/>
      <c r="F15303"/>
      <c r="G15303"/>
      <c r="H15303"/>
      <c r="I15303"/>
      <c r="J15303"/>
      <c r="K15303" s="1"/>
      <c r="L15303" s="2"/>
    </row>
    <row r="15304" spans="1:12" x14ac:dyDescent="0.2">
      <c r="A15304"/>
      <c r="B15304"/>
      <c r="C15304"/>
      <c r="D15304"/>
      <c r="E15304"/>
      <c r="F15304"/>
      <c r="G15304"/>
      <c r="H15304"/>
      <c r="I15304"/>
      <c r="J15304"/>
      <c r="K15304" s="1"/>
      <c r="L15304" s="2"/>
    </row>
    <row r="15305" spans="1:12" x14ac:dyDescent="0.2">
      <c r="A15305"/>
      <c r="B15305"/>
      <c r="C15305"/>
      <c r="D15305"/>
      <c r="E15305"/>
      <c r="F15305"/>
      <c r="G15305"/>
      <c r="H15305"/>
      <c r="I15305"/>
      <c r="J15305"/>
      <c r="K15305" s="1"/>
      <c r="L15305" s="2"/>
    </row>
    <row r="15306" spans="1:12" x14ac:dyDescent="0.2">
      <c r="A15306"/>
      <c r="B15306"/>
      <c r="C15306"/>
      <c r="D15306"/>
      <c r="E15306"/>
      <c r="F15306"/>
      <c r="G15306"/>
      <c r="H15306"/>
      <c r="I15306"/>
      <c r="J15306"/>
      <c r="K15306" s="1"/>
      <c r="L15306" s="2"/>
    </row>
    <row r="15307" spans="1:12" x14ac:dyDescent="0.2">
      <c r="A15307"/>
      <c r="B15307"/>
      <c r="C15307"/>
      <c r="D15307"/>
      <c r="E15307"/>
      <c r="F15307"/>
      <c r="G15307"/>
      <c r="H15307"/>
      <c r="I15307"/>
      <c r="J15307"/>
      <c r="K15307" s="1"/>
      <c r="L15307" s="2"/>
    </row>
    <row r="15308" spans="1:12" x14ac:dyDescent="0.2">
      <c r="A15308"/>
      <c r="B15308"/>
      <c r="C15308"/>
      <c r="D15308"/>
      <c r="E15308"/>
      <c r="F15308"/>
      <c r="G15308"/>
      <c r="H15308"/>
      <c r="I15308"/>
      <c r="J15308"/>
      <c r="K15308" s="1"/>
      <c r="L15308" s="2"/>
    </row>
    <row r="15309" spans="1:12" x14ac:dyDescent="0.2">
      <c r="A15309"/>
      <c r="B15309"/>
      <c r="C15309"/>
      <c r="D15309"/>
      <c r="E15309"/>
      <c r="F15309"/>
      <c r="G15309"/>
      <c r="H15309"/>
      <c r="I15309"/>
      <c r="J15309"/>
      <c r="K15309" s="1"/>
      <c r="L15309" s="2"/>
    </row>
    <row r="15310" spans="1:12" x14ac:dyDescent="0.2">
      <c r="A15310"/>
      <c r="B15310"/>
      <c r="C15310"/>
      <c r="D15310"/>
      <c r="E15310"/>
      <c r="F15310"/>
      <c r="G15310"/>
      <c r="H15310"/>
      <c r="I15310"/>
      <c r="J15310"/>
      <c r="K15310" s="1"/>
      <c r="L15310" s="2"/>
    </row>
    <row r="15311" spans="1:12" x14ac:dyDescent="0.2">
      <c r="A15311"/>
      <c r="B15311"/>
      <c r="C15311"/>
      <c r="D15311"/>
      <c r="E15311"/>
      <c r="F15311"/>
      <c r="G15311"/>
      <c r="H15311"/>
      <c r="I15311"/>
      <c r="J15311"/>
      <c r="K15311" s="1"/>
      <c r="L15311" s="2"/>
    </row>
    <row r="15312" spans="1:12" x14ac:dyDescent="0.2">
      <c r="A15312"/>
      <c r="B15312"/>
      <c r="C15312"/>
      <c r="D15312"/>
      <c r="E15312"/>
      <c r="F15312"/>
      <c r="G15312"/>
      <c r="H15312"/>
      <c r="I15312"/>
      <c r="J15312"/>
      <c r="K15312" s="1"/>
      <c r="L15312" s="2"/>
    </row>
    <row r="15313" spans="1:12" x14ac:dyDescent="0.2">
      <c r="A15313"/>
      <c r="B15313"/>
      <c r="C15313"/>
      <c r="D15313"/>
      <c r="E15313"/>
      <c r="F15313"/>
      <c r="G15313"/>
      <c r="H15313"/>
      <c r="I15313"/>
      <c r="J15313"/>
      <c r="K15313" s="1"/>
      <c r="L15313" s="2"/>
    </row>
    <row r="15314" spans="1:12" x14ac:dyDescent="0.2">
      <c r="A15314"/>
      <c r="B15314"/>
      <c r="C15314"/>
      <c r="D15314"/>
      <c r="E15314"/>
      <c r="F15314"/>
      <c r="G15314"/>
      <c r="H15314"/>
      <c r="I15314"/>
      <c r="J15314"/>
      <c r="K15314" s="1"/>
      <c r="L15314" s="2"/>
    </row>
    <row r="15315" spans="1:12" x14ac:dyDescent="0.2">
      <c r="A15315"/>
      <c r="B15315"/>
      <c r="C15315"/>
      <c r="D15315"/>
      <c r="E15315"/>
      <c r="F15315"/>
      <c r="G15315"/>
      <c r="H15315"/>
      <c r="I15315"/>
      <c r="J15315"/>
      <c r="K15315" s="1"/>
      <c r="L15315" s="2"/>
    </row>
    <row r="15316" spans="1:12" x14ac:dyDescent="0.2">
      <c r="A15316"/>
      <c r="B15316"/>
      <c r="C15316"/>
      <c r="D15316"/>
      <c r="E15316"/>
      <c r="F15316"/>
      <c r="G15316"/>
      <c r="H15316"/>
      <c r="I15316"/>
      <c r="J15316"/>
      <c r="K15316" s="1"/>
      <c r="L15316" s="2"/>
    </row>
    <row r="15317" spans="1:12" x14ac:dyDescent="0.2">
      <c r="A15317"/>
      <c r="B15317"/>
      <c r="C15317"/>
      <c r="D15317"/>
      <c r="E15317"/>
      <c r="F15317"/>
      <c r="G15317"/>
      <c r="H15317"/>
      <c r="I15317"/>
      <c r="J15317"/>
      <c r="K15317" s="1"/>
      <c r="L15317" s="2"/>
    </row>
    <row r="15318" spans="1:12" x14ac:dyDescent="0.2">
      <c r="A15318"/>
      <c r="B15318"/>
      <c r="C15318"/>
      <c r="D15318"/>
      <c r="E15318"/>
      <c r="F15318"/>
      <c r="G15318"/>
      <c r="H15318"/>
      <c r="I15318"/>
      <c r="J15318"/>
      <c r="K15318" s="1"/>
      <c r="L15318" s="2"/>
    </row>
    <row r="15319" spans="1:12" x14ac:dyDescent="0.2">
      <c r="A15319"/>
      <c r="B15319"/>
      <c r="C15319"/>
      <c r="D15319"/>
      <c r="E15319"/>
      <c r="F15319"/>
      <c r="G15319"/>
      <c r="H15319"/>
      <c r="I15319"/>
      <c r="J15319"/>
      <c r="K15319" s="1"/>
      <c r="L15319" s="2"/>
    </row>
    <row r="15320" spans="1:12" x14ac:dyDescent="0.2">
      <c r="A15320"/>
      <c r="B15320"/>
      <c r="C15320"/>
      <c r="D15320"/>
      <c r="E15320"/>
      <c r="F15320"/>
      <c r="G15320"/>
      <c r="H15320"/>
      <c r="I15320"/>
      <c r="J15320"/>
      <c r="K15320" s="1"/>
      <c r="L15320" s="2"/>
    </row>
    <row r="15321" spans="1:12" x14ac:dyDescent="0.2">
      <c r="A15321"/>
      <c r="B15321"/>
      <c r="C15321"/>
      <c r="D15321"/>
      <c r="E15321"/>
      <c r="F15321"/>
      <c r="G15321"/>
      <c r="H15321"/>
      <c r="I15321"/>
      <c r="J15321"/>
      <c r="K15321" s="1"/>
      <c r="L15321" s="2"/>
    </row>
    <row r="15322" spans="1:12" x14ac:dyDescent="0.2">
      <c r="A15322"/>
      <c r="B15322"/>
      <c r="C15322"/>
      <c r="D15322"/>
      <c r="E15322"/>
      <c r="F15322"/>
      <c r="G15322"/>
      <c r="H15322"/>
      <c r="I15322"/>
      <c r="J15322"/>
      <c r="K15322" s="1"/>
      <c r="L15322" s="2"/>
    </row>
    <row r="15323" spans="1:12" x14ac:dyDescent="0.2">
      <c r="A15323"/>
      <c r="B15323"/>
      <c r="C15323"/>
      <c r="D15323"/>
      <c r="E15323"/>
      <c r="F15323"/>
      <c r="G15323"/>
      <c r="H15323"/>
      <c r="I15323"/>
      <c r="J15323"/>
      <c r="K15323" s="1"/>
      <c r="L15323" s="2"/>
    </row>
    <row r="15324" spans="1:12" x14ac:dyDescent="0.2">
      <c r="A15324"/>
      <c r="B15324"/>
      <c r="C15324"/>
      <c r="D15324"/>
      <c r="E15324"/>
      <c r="F15324"/>
      <c r="G15324"/>
      <c r="H15324"/>
      <c r="I15324"/>
      <c r="J15324"/>
      <c r="K15324" s="1"/>
      <c r="L15324" s="2"/>
    </row>
    <row r="15325" spans="1:12" x14ac:dyDescent="0.2">
      <c r="A15325"/>
      <c r="B15325"/>
      <c r="C15325"/>
      <c r="D15325"/>
      <c r="E15325"/>
      <c r="F15325"/>
      <c r="G15325"/>
      <c r="H15325"/>
      <c r="I15325"/>
      <c r="J15325"/>
      <c r="K15325" s="1"/>
      <c r="L15325" s="2"/>
    </row>
    <row r="15326" spans="1:12" x14ac:dyDescent="0.2">
      <c r="A15326"/>
      <c r="B15326"/>
      <c r="C15326"/>
      <c r="D15326"/>
      <c r="E15326"/>
      <c r="F15326"/>
      <c r="G15326"/>
      <c r="H15326"/>
      <c r="I15326"/>
      <c r="J15326"/>
      <c r="K15326" s="1"/>
      <c r="L15326" s="2"/>
    </row>
    <row r="15327" spans="1:12" x14ac:dyDescent="0.2">
      <c r="A15327"/>
      <c r="B15327"/>
      <c r="C15327"/>
      <c r="D15327"/>
      <c r="E15327"/>
      <c r="F15327"/>
      <c r="G15327"/>
      <c r="H15327"/>
      <c r="I15327"/>
      <c r="J15327"/>
      <c r="K15327" s="1"/>
      <c r="L15327" s="2"/>
    </row>
    <row r="15328" spans="1:12" x14ac:dyDescent="0.2">
      <c r="A15328"/>
      <c r="B15328"/>
      <c r="C15328"/>
      <c r="D15328"/>
      <c r="E15328"/>
      <c r="F15328"/>
      <c r="G15328"/>
      <c r="H15328"/>
      <c r="I15328"/>
      <c r="J15328"/>
      <c r="K15328" s="1"/>
      <c r="L15328" s="2"/>
    </row>
    <row r="15329" spans="1:12" x14ac:dyDescent="0.2">
      <c r="A15329"/>
      <c r="B15329"/>
      <c r="C15329"/>
      <c r="D15329"/>
      <c r="E15329"/>
      <c r="F15329"/>
      <c r="G15329"/>
      <c r="H15329"/>
      <c r="I15329"/>
      <c r="J15329"/>
      <c r="K15329" s="1"/>
      <c r="L15329" s="2"/>
    </row>
    <row r="15330" spans="1:12" x14ac:dyDescent="0.2">
      <c r="A15330"/>
      <c r="B15330"/>
      <c r="C15330"/>
      <c r="D15330"/>
      <c r="E15330"/>
      <c r="F15330"/>
      <c r="G15330"/>
      <c r="H15330"/>
      <c r="I15330"/>
      <c r="J15330"/>
      <c r="K15330" s="1"/>
      <c r="L15330" s="2"/>
    </row>
    <row r="15331" spans="1:12" x14ac:dyDescent="0.2">
      <c r="A15331"/>
      <c r="B15331"/>
      <c r="C15331"/>
      <c r="D15331"/>
      <c r="E15331"/>
      <c r="F15331"/>
      <c r="G15331"/>
      <c r="H15331"/>
      <c r="I15331"/>
      <c r="J15331"/>
      <c r="K15331" s="1"/>
      <c r="L15331" s="2"/>
    </row>
    <row r="15332" spans="1:12" x14ac:dyDescent="0.2">
      <c r="A15332"/>
      <c r="B15332"/>
      <c r="C15332"/>
      <c r="D15332"/>
      <c r="E15332"/>
      <c r="F15332"/>
      <c r="G15332"/>
      <c r="H15332"/>
      <c r="I15332"/>
      <c r="J15332"/>
      <c r="K15332" s="1"/>
      <c r="L15332" s="2"/>
    </row>
    <row r="15333" spans="1:12" x14ac:dyDescent="0.2">
      <c r="A15333"/>
      <c r="B15333"/>
      <c r="C15333"/>
      <c r="D15333"/>
      <c r="E15333"/>
      <c r="F15333"/>
      <c r="G15333"/>
      <c r="H15333"/>
      <c r="I15333"/>
      <c r="J15333"/>
      <c r="K15333" s="1"/>
      <c r="L15333" s="2"/>
    </row>
    <row r="15334" spans="1:12" x14ac:dyDescent="0.2">
      <c r="A15334"/>
      <c r="B15334"/>
      <c r="C15334"/>
      <c r="D15334"/>
      <c r="E15334"/>
      <c r="F15334"/>
      <c r="G15334"/>
      <c r="H15334"/>
      <c r="I15334"/>
      <c r="J15334"/>
      <c r="K15334" s="1"/>
      <c r="L15334" s="2"/>
    </row>
    <row r="15335" spans="1:12" x14ac:dyDescent="0.2">
      <c r="A15335"/>
      <c r="B15335"/>
      <c r="C15335"/>
      <c r="D15335"/>
      <c r="E15335"/>
      <c r="F15335"/>
      <c r="G15335"/>
      <c r="H15335"/>
      <c r="I15335"/>
      <c r="J15335"/>
      <c r="K15335" s="1"/>
      <c r="L15335" s="2"/>
    </row>
    <row r="15336" spans="1:12" x14ac:dyDescent="0.2">
      <c r="A15336"/>
      <c r="B15336"/>
      <c r="C15336"/>
      <c r="D15336"/>
      <c r="E15336"/>
      <c r="F15336"/>
      <c r="G15336"/>
      <c r="H15336"/>
      <c r="I15336"/>
      <c r="J15336"/>
      <c r="K15336" s="1"/>
      <c r="L15336" s="2"/>
    </row>
    <row r="15337" spans="1:12" x14ac:dyDescent="0.2">
      <c r="A15337"/>
      <c r="B15337"/>
      <c r="C15337"/>
      <c r="D15337"/>
      <c r="E15337"/>
      <c r="F15337"/>
      <c r="G15337"/>
      <c r="H15337"/>
      <c r="I15337"/>
      <c r="J15337"/>
      <c r="K15337" s="1"/>
      <c r="L15337" s="2"/>
    </row>
    <row r="15338" spans="1:12" x14ac:dyDescent="0.2">
      <c r="A15338"/>
      <c r="B15338"/>
      <c r="C15338"/>
      <c r="D15338"/>
      <c r="E15338"/>
      <c r="F15338"/>
      <c r="G15338"/>
      <c r="H15338"/>
      <c r="I15338"/>
      <c r="J15338"/>
      <c r="K15338" s="1"/>
      <c r="L15338" s="2"/>
    </row>
    <row r="15339" spans="1:12" x14ac:dyDescent="0.2">
      <c r="A15339"/>
      <c r="B15339"/>
      <c r="C15339"/>
      <c r="D15339"/>
      <c r="E15339"/>
      <c r="F15339"/>
      <c r="G15339"/>
      <c r="H15339"/>
      <c r="I15339"/>
      <c r="J15339"/>
      <c r="K15339" s="1"/>
      <c r="L15339" s="2"/>
    </row>
    <row r="15340" spans="1:12" x14ac:dyDescent="0.2">
      <c r="A15340"/>
      <c r="B15340"/>
      <c r="C15340"/>
      <c r="D15340"/>
      <c r="E15340"/>
      <c r="F15340"/>
      <c r="G15340"/>
      <c r="H15340"/>
      <c r="I15340"/>
      <c r="J15340"/>
      <c r="K15340" s="1"/>
      <c r="L15340" s="2"/>
    </row>
    <row r="15341" spans="1:12" x14ac:dyDescent="0.2">
      <c r="A15341"/>
      <c r="B15341"/>
      <c r="C15341"/>
      <c r="D15341"/>
      <c r="E15341"/>
      <c r="F15341"/>
      <c r="G15341"/>
      <c r="H15341"/>
      <c r="I15341"/>
      <c r="J15341"/>
      <c r="K15341" s="1"/>
      <c r="L15341" s="2"/>
    </row>
    <row r="15342" spans="1:12" x14ac:dyDescent="0.2">
      <c r="A15342"/>
      <c r="B15342"/>
      <c r="C15342"/>
      <c r="D15342"/>
      <c r="E15342"/>
      <c r="F15342"/>
      <c r="G15342"/>
      <c r="H15342"/>
      <c r="I15342"/>
      <c r="J15342"/>
      <c r="K15342" s="1"/>
      <c r="L15342" s="2"/>
    </row>
    <row r="15343" spans="1:12" x14ac:dyDescent="0.2">
      <c r="A15343"/>
      <c r="B15343"/>
      <c r="C15343"/>
      <c r="D15343"/>
      <c r="E15343"/>
      <c r="F15343"/>
      <c r="G15343"/>
      <c r="H15343"/>
      <c r="I15343"/>
      <c r="J15343"/>
      <c r="K15343" s="1"/>
      <c r="L15343" s="2"/>
    </row>
    <row r="15344" spans="1:12" x14ac:dyDescent="0.2">
      <c r="A15344"/>
      <c r="B15344"/>
      <c r="C15344"/>
      <c r="D15344"/>
      <c r="E15344"/>
      <c r="F15344"/>
      <c r="G15344"/>
      <c r="H15344"/>
      <c r="I15344"/>
      <c r="J15344"/>
      <c r="K15344" s="1"/>
      <c r="L15344" s="2"/>
    </row>
    <row r="15345" spans="1:12" x14ac:dyDescent="0.2">
      <c r="A15345"/>
      <c r="B15345"/>
      <c r="C15345"/>
      <c r="D15345"/>
      <c r="E15345"/>
      <c r="F15345"/>
      <c r="G15345"/>
      <c r="H15345"/>
      <c r="I15345"/>
      <c r="J15345"/>
      <c r="K15345" s="1"/>
      <c r="L15345" s="2"/>
    </row>
    <row r="15346" spans="1:12" x14ac:dyDescent="0.2">
      <c r="A15346"/>
      <c r="B15346"/>
      <c r="C15346"/>
      <c r="D15346"/>
      <c r="E15346"/>
      <c r="F15346"/>
      <c r="G15346"/>
      <c r="H15346"/>
      <c r="I15346"/>
      <c r="J15346"/>
      <c r="K15346" s="1"/>
      <c r="L15346" s="2"/>
    </row>
    <row r="15347" spans="1:12" x14ac:dyDescent="0.2">
      <c r="A15347"/>
      <c r="B15347"/>
      <c r="C15347"/>
      <c r="D15347"/>
      <c r="E15347"/>
      <c r="F15347"/>
      <c r="G15347"/>
      <c r="H15347"/>
      <c r="I15347"/>
      <c r="J15347"/>
      <c r="K15347" s="1"/>
      <c r="L15347" s="2"/>
    </row>
    <row r="15348" spans="1:12" x14ac:dyDescent="0.2">
      <c r="A15348"/>
      <c r="B15348"/>
      <c r="C15348"/>
      <c r="D15348"/>
      <c r="E15348"/>
      <c r="F15348"/>
      <c r="G15348"/>
      <c r="H15348"/>
      <c r="I15348"/>
      <c r="J15348"/>
      <c r="K15348" s="1"/>
      <c r="L15348" s="2"/>
    </row>
    <row r="15349" spans="1:12" x14ac:dyDescent="0.2">
      <c r="A15349"/>
      <c r="B15349"/>
      <c r="C15349"/>
      <c r="D15349"/>
      <c r="E15349"/>
      <c r="F15349"/>
      <c r="G15349"/>
      <c r="H15349"/>
      <c r="I15349"/>
      <c r="J15349"/>
      <c r="K15349" s="1"/>
      <c r="L15349" s="2"/>
    </row>
    <row r="15350" spans="1:12" x14ac:dyDescent="0.2">
      <c r="A15350"/>
      <c r="B15350"/>
      <c r="C15350"/>
      <c r="D15350"/>
      <c r="E15350"/>
      <c r="F15350"/>
      <c r="G15350"/>
      <c r="H15350"/>
      <c r="I15350"/>
      <c r="J15350"/>
      <c r="K15350" s="1"/>
      <c r="L15350" s="2"/>
    </row>
    <row r="15351" spans="1:12" x14ac:dyDescent="0.2">
      <c r="A15351"/>
      <c r="B15351"/>
      <c r="C15351"/>
      <c r="D15351"/>
      <c r="E15351"/>
      <c r="F15351"/>
      <c r="G15351"/>
      <c r="H15351"/>
      <c r="I15351"/>
      <c r="J15351"/>
      <c r="K15351" s="1"/>
      <c r="L15351" s="2"/>
    </row>
    <row r="15352" spans="1:12" x14ac:dyDescent="0.2">
      <c r="A15352"/>
      <c r="B15352"/>
      <c r="C15352"/>
      <c r="D15352"/>
      <c r="E15352"/>
      <c r="F15352"/>
      <c r="G15352"/>
      <c r="H15352"/>
      <c r="I15352"/>
      <c r="J15352"/>
      <c r="K15352" s="1"/>
      <c r="L15352" s="2"/>
    </row>
    <row r="15353" spans="1:12" x14ac:dyDescent="0.2">
      <c r="A15353"/>
      <c r="B15353"/>
      <c r="C15353"/>
      <c r="D15353"/>
      <c r="E15353"/>
      <c r="F15353"/>
      <c r="G15353"/>
      <c r="H15353"/>
      <c r="I15353"/>
      <c r="J15353"/>
      <c r="K15353" s="1"/>
      <c r="L15353" s="2"/>
    </row>
    <row r="15354" spans="1:12" x14ac:dyDescent="0.2">
      <c r="A15354"/>
      <c r="B15354"/>
      <c r="C15354"/>
      <c r="D15354"/>
      <c r="E15354"/>
      <c r="F15354"/>
      <c r="G15354"/>
      <c r="H15354"/>
      <c r="I15354"/>
      <c r="J15354"/>
      <c r="K15354" s="1"/>
      <c r="L15354" s="2"/>
    </row>
    <row r="15355" spans="1:12" x14ac:dyDescent="0.2">
      <c r="A15355"/>
      <c r="B15355"/>
      <c r="C15355"/>
      <c r="D15355"/>
      <c r="E15355"/>
      <c r="F15355"/>
      <c r="G15355"/>
      <c r="H15355"/>
      <c r="I15355"/>
      <c r="J15355"/>
      <c r="K15355" s="1"/>
      <c r="L15355" s="2"/>
    </row>
    <row r="15356" spans="1:12" x14ac:dyDescent="0.2">
      <c r="A15356"/>
      <c r="B15356"/>
      <c r="C15356"/>
      <c r="D15356"/>
      <c r="E15356"/>
      <c r="F15356"/>
      <c r="G15356"/>
      <c r="H15356"/>
      <c r="I15356"/>
      <c r="J15356"/>
      <c r="K15356" s="1"/>
      <c r="L15356" s="2"/>
    </row>
    <row r="15357" spans="1:12" x14ac:dyDescent="0.2">
      <c r="A15357"/>
      <c r="B15357"/>
      <c r="C15357"/>
      <c r="D15357"/>
      <c r="E15357"/>
      <c r="F15357"/>
      <c r="G15357"/>
      <c r="H15357"/>
      <c r="I15357"/>
      <c r="J15357"/>
      <c r="K15357" s="1"/>
      <c r="L15357" s="2"/>
    </row>
    <row r="15358" spans="1:12" x14ac:dyDescent="0.2">
      <c r="A15358"/>
      <c r="B15358"/>
      <c r="C15358"/>
      <c r="D15358"/>
      <c r="E15358"/>
      <c r="F15358"/>
      <c r="G15358"/>
      <c r="H15358"/>
      <c r="I15358"/>
      <c r="J15358"/>
      <c r="K15358" s="1"/>
      <c r="L15358" s="2"/>
    </row>
    <row r="15359" spans="1:12" x14ac:dyDescent="0.2">
      <c r="A15359"/>
      <c r="B15359"/>
      <c r="C15359"/>
      <c r="D15359"/>
      <c r="E15359"/>
      <c r="F15359"/>
      <c r="G15359"/>
      <c r="H15359"/>
      <c r="I15359"/>
      <c r="J15359"/>
      <c r="K15359" s="1"/>
      <c r="L15359" s="2"/>
    </row>
    <row r="15360" spans="1:12" x14ac:dyDescent="0.2">
      <c r="A15360"/>
      <c r="B15360"/>
      <c r="C15360"/>
      <c r="D15360"/>
      <c r="E15360"/>
      <c r="F15360"/>
      <c r="G15360"/>
      <c r="H15360"/>
      <c r="I15360"/>
      <c r="J15360"/>
      <c r="K15360" s="1"/>
      <c r="L15360" s="2"/>
    </row>
    <row r="15361" spans="1:12" x14ac:dyDescent="0.2">
      <c r="A15361"/>
      <c r="B15361"/>
      <c r="C15361"/>
      <c r="D15361"/>
      <c r="E15361"/>
      <c r="F15361"/>
      <c r="G15361"/>
      <c r="H15361"/>
      <c r="I15361"/>
      <c r="J15361"/>
      <c r="K15361" s="1"/>
      <c r="L15361" s="2"/>
    </row>
    <row r="15362" spans="1:12" x14ac:dyDescent="0.2">
      <c r="A15362"/>
      <c r="B15362"/>
      <c r="C15362"/>
      <c r="D15362"/>
      <c r="E15362"/>
      <c r="F15362"/>
      <c r="G15362"/>
      <c r="H15362"/>
      <c r="I15362"/>
      <c r="J15362"/>
      <c r="K15362" s="1"/>
      <c r="L15362" s="2"/>
    </row>
    <row r="15363" spans="1:12" x14ac:dyDescent="0.2">
      <c r="A15363"/>
      <c r="B15363"/>
      <c r="C15363"/>
      <c r="D15363"/>
      <c r="E15363"/>
      <c r="F15363"/>
      <c r="G15363"/>
      <c r="H15363"/>
      <c r="I15363"/>
      <c r="J15363"/>
      <c r="K15363" s="1"/>
      <c r="L15363" s="2"/>
    </row>
    <row r="15364" spans="1:12" x14ac:dyDescent="0.2">
      <c r="A15364"/>
      <c r="B15364"/>
      <c r="C15364"/>
      <c r="D15364"/>
      <c r="E15364"/>
      <c r="F15364"/>
      <c r="G15364"/>
      <c r="H15364"/>
      <c r="I15364"/>
      <c r="J15364"/>
      <c r="K15364" s="1"/>
      <c r="L15364" s="2"/>
    </row>
    <row r="15365" spans="1:12" x14ac:dyDescent="0.2">
      <c r="A15365"/>
      <c r="B15365"/>
      <c r="C15365"/>
      <c r="D15365"/>
      <c r="E15365"/>
      <c r="F15365"/>
      <c r="G15365"/>
      <c r="H15365"/>
      <c r="I15365"/>
      <c r="J15365"/>
      <c r="K15365" s="1"/>
      <c r="L15365" s="2"/>
    </row>
    <row r="15366" spans="1:12" x14ac:dyDescent="0.2">
      <c r="A15366"/>
      <c r="B15366"/>
      <c r="C15366"/>
      <c r="D15366"/>
      <c r="E15366"/>
      <c r="F15366"/>
      <c r="G15366"/>
      <c r="H15366"/>
      <c r="I15366"/>
      <c r="J15366"/>
      <c r="K15366" s="1"/>
      <c r="L15366" s="2"/>
    </row>
    <row r="15367" spans="1:12" x14ac:dyDescent="0.2">
      <c r="A15367"/>
      <c r="B15367"/>
      <c r="C15367"/>
      <c r="D15367"/>
      <c r="E15367"/>
      <c r="F15367"/>
      <c r="G15367"/>
      <c r="H15367"/>
      <c r="I15367"/>
      <c r="J15367"/>
      <c r="K15367" s="1"/>
      <c r="L15367" s="2"/>
    </row>
    <row r="15368" spans="1:12" x14ac:dyDescent="0.2">
      <c r="A15368"/>
      <c r="B15368"/>
      <c r="C15368"/>
      <c r="D15368"/>
      <c r="E15368"/>
      <c r="F15368"/>
      <c r="G15368"/>
      <c r="H15368"/>
      <c r="I15368"/>
      <c r="J15368"/>
      <c r="K15368" s="1"/>
      <c r="L15368" s="2"/>
    </row>
    <row r="15369" spans="1:12" x14ac:dyDescent="0.2">
      <c r="A15369"/>
      <c r="B15369"/>
      <c r="C15369"/>
      <c r="D15369"/>
      <c r="E15369"/>
      <c r="F15369"/>
      <c r="G15369"/>
      <c r="H15369"/>
      <c r="I15369"/>
      <c r="J15369"/>
      <c r="K15369" s="1"/>
      <c r="L15369" s="2"/>
    </row>
    <row r="15370" spans="1:12" x14ac:dyDescent="0.2">
      <c r="A15370"/>
      <c r="B15370"/>
      <c r="C15370"/>
      <c r="D15370"/>
      <c r="E15370"/>
      <c r="F15370"/>
      <c r="G15370"/>
      <c r="H15370"/>
      <c r="I15370"/>
      <c r="J15370"/>
      <c r="K15370" s="1"/>
      <c r="L15370" s="2"/>
    </row>
    <row r="15371" spans="1:12" x14ac:dyDescent="0.2">
      <c r="A15371"/>
      <c r="B15371"/>
      <c r="C15371"/>
      <c r="D15371"/>
      <c r="E15371"/>
      <c r="F15371"/>
      <c r="G15371"/>
      <c r="H15371"/>
      <c r="I15371"/>
      <c r="J15371"/>
      <c r="K15371" s="1"/>
      <c r="L15371" s="2"/>
    </row>
    <row r="15372" spans="1:12" x14ac:dyDescent="0.2">
      <c r="A15372"/>
      <c r="B15372"/>
      <c r="C15372"/>
      <c r="D15372"/>
      <c r="E15372"/>
      <c r="F15372"/>
      <c r="G15372"/>
      <c r="H15372"/>
      <c r="I15372"/>
      <c r="J15372"/>
      <c r="K15372" s="1"/>
      <c r="L15372" s="2"/>
    </row>
    <row r="15373" spans="1:12" x14ac:dyDescent="0.2">
      <c r="A15373"/>
      <c r="B15373"/>
      <c r="C15373"/>
      <c r="D15373"/>
      <c r="E15373"/>
      <c r="F15373"/>
      <c r="G15373"/>
      <c r="H15373"/>
      <c r="I15373"/>
      <c r="J15373"/>
      <c r="K15373" s="1"/>
      <c r="L15373" s="2"/>
    </row>
    <row r="15374" spans="1:12" x14ac:dyDescent="0.2">
      <c r="A15374"/>
      <c r="B15374"/>
      <c r="C15374"/>
      <c r="D15374"/>
      <c r="E15374"/>
      <c r="F15374"/>
      <c r="G15374"/>
      <c r="H15374"/>
      <c r="I15374"/>
      <c r="J15374"/>
      <c r="K15374" s="1"/>
      <c r="L15374" s="2"/>
    </row>
    <row r="15375" spans="1:12" x14ac:dyDescent="0.2">
      <c r="A15375"/>
      <c r="B15375"/>
      <c r="C15375"/>
      <c r="D15375"/>
      <c r="E15375"/>
      <c r="F15375"/>
      <c r="G15375"/>
      <c r="H15375"/>
      <c r="I15375"/>
      <c r="J15375"/>
      <c r="K15375" s="1"/>
      <c r="L15375" s="2"/>
    </row>
    <row r="15376" spans="1:12" x14ac:dyDescent="0.2">
      <c r="A15376"/>
      <c r="B15376"/>
      <c r="C15376"/>
      <c r="D15376"/>
      <c r="E15376"/>
      <c r="F15376"/>
      <c r="G15376"/>
      <c r="H15376"/>
      <c r="I15376"/>
      <c r="J15376"/>
      <c r="K15376" s="1"/>
      <c r="L15376" s="2"/>
    </row>
    <row r="15377" spans="1:12" x14ac:dyDescent="0.2">
      <c r="A15377"/>
      <c r="B15377"/>
      <c r="C15377"/>
      <c r="D15377"/>
      <c r="E15377"/>
      <c r="F15377"/>
      <c r="G15377"/>
      <c r="H15377"/>
      <c r="I15377"/>
      <c r="J15377"/>
      <c r="K15377" s="1"/>
      <c r="L15377" s="2"/>
    </row>
    <row r="15378" spans="1:12" x14ac:dyDescent="0.2">
      <c r="A15378"/>
      <c r="B15378"/>
      <c r="C15378"/>
      <c r="D15378"/>
      <c r="E15378"/>
      <c r="F15378"/>
      <c r="G15378"/>
      <c r="H15378"/>
      <c r="I15378"/>
      <c r="J15378"/>
      <c r="K15378" s="1"/>
      <c r="L15378" s="2"/>
    </row>
    <row r="15379" spans="1:12" x14ac:dyDescent="0.2">
      <c r="A15379"/>
      <c r="B15379"/>
      <c r="C15379"/>
      <c r="D15379"/>
      <c r="E15379"/>
      <c r="F15379"/>
      <c r="G15379"/>
      <c r="H15379"/>
      <c r="I15379"/>
      <c r="J15379"/>
      <c r="K15379" s="1"/>
      <c r="L15379" s="2"/>
    </row>
    <row r="15380" spans="1:12" x14ac:dyDescent="0.2">
      <c r="A15380"/>
      <c r="B15380"/>
      <c r="C15380"/>
      <c r="D15380"/>
      <c r="E15380"/>
      <c r="F15380"/>
      <c r="G15380"/>
      <c r="H15380"/>
      <c r="I15380"/>
      <c r="J15380"/>
      <c r="K15380" s="1"/>
      <c r="L15380" s="2"/>
    </row>
    <row r="15381" spans="1:12" x14ac:dyDescent="0.2">
      <c r="A15381"/>
      <c r="B15381"/>
      <c r="C15381"/>
      <c r="D15381"/>
      <c r="E15381"/>
      <c r="F15381"/>
      <c r="G15381"/>
      <c r="H15381"/>
      <c r="I15381"/>
      <c r="J15381"/>
      <c r="K15381" s="1"/>
      <c r="L15381" s="2"/>
    </row>
    <row r="15382" spans="1:12" x14ac:dyDescent="0.2">
      <c r="A15382"/>
      <c r="B15382"/>
      <c r="C15382"/>
      <c r="D15382"/>
      <c r="E15382"/>
      <c r="F15382"/>
      <c r="G15382"/>
      <c r="H15382"/>
      <c r="I15382"/>
      <c r="J15382"/>
      <c r="K15382" s="1"/>
      <c r="L15382" s="2"/>
    </row>
    <row r="15383" spans="1:12" x14ac:dyDescent="0.2">
      <c r="A15383"/>
      <c r="B15383"/>
      <c r="C15383"/>
      <c r="D15383"/>
      <c r="E15383"/>
      <c r="F15383"/>
      <c r="G15383"/>
      <c r="H15383"/>
      <c r="I15383"/>
      <c r="J15383"/>
      <c r="K15383" s="1"/>
      <c r="L15383" s="2"/>
    </row>
    <row r="15384" spans="1:12" x14ac:dyDescent="0.2">
      <c r="A15384"/>
      <c r="B15384"/>
      <c r="C15384"/>
      <c r="D15384"/>
      <c r="E15384"/>
      <c r="F15384"/>
      <c r="G15384"/>
      <c r="H15384"/>
      <c r="I15384"/>
      <c r="J15384"/>
      <c r="K15384" s="1"/>
      <c r="L15384" s="2"/>
    </row>
    <row r="15385" spans="1:12" x14ac:dyDescent="0.2">
      <c r="A15385"/>
      <c r="B15385"/>
      <c r="C15385"/>
      <c r="D15385"/>
      <c r="E15385"/>
      <c r="F15385"/>
      <c r="G15385"/>
      <c r="H15385"/>
      <c r="I15385"/>
      <c r="J15385"/>
      <c r="K15385" s="1"/>
      <c r="L15385" s="2"/>
    </row>
    <row r="15386" spans="1:12" x14ac:dyDescent="0.2">
      <c r="A15386"/>
      <c r="B15386"/>
      <c r="C15386"/>
      <c r="D15386"/>
      <c r="E15386"/>
      <c r="F15386"/>
      <c r="G15386"/>
      <c r="H15386"/>
      <c r="I15386"/>
      <c r="J15386"/>
      <c r="K15386" s="1"/>
      <c r="L15386" s="2"/>
    </row>
    <row r="15387" spans="1:12" x14ac:dyDescent="0.2">
      <c r="A15387"/>
      <c r="B15387"/>
      <c r="C15387"/>
      <c r="D15387"/>
      <c r="E15387"/>
      <c r="F15387"/>
      <c r="G15387"/>
      <c r="H15387"/>
      <c r="I15387"/>
      <c r="J15387"/>
      <c r="K15387" s="1"/>
      <c r="L15387" s="2"/>
    </row>
    <row r="15388" spans="1:12" x14ac:dyDescent="0.2">
      <c r="A15388"/>
      <c r="B15388"/>
      <c r="C15388"/>
      <c r="D15388"/>
      <c r="E15388"/>
      <c r="F15388"/>
      <c r="G15388"/>
      <c r="H15388"/>
      <c r="I15388"/>
      <c r="J15388"/>
      <c r="K15388" s="1"/>
      <c r="L15388" s="2"/>
    </row>
    <row r="15389" spans="1:12" x14ac:dyDescent="0.2">
      <c r="A15389"/>
      <c r="B15389"/>
      <c r="C15389"/>
      <c r="D15389"/>
      <c r="E15389"/>
      <c r="F15389"/>
      <c r="G15389"/>
      <c r="H15389"/>
      <c r="I15389"/>
      <c r="J15389"/>
      <c r="K15389" s="1"/>
      <c r="L15389" s="2"/>
    </row>
    <row r="15390" spans="1:12" x14ac:dyDescent="0.2">
      <c r="A15390"/>
      <c r="B15390"/>
      <c r="C15390"/>
      <c r="D15390"/>
      <c r="E15390"/>
      <c r="F15390"/>
      <c r="G15390"/>
      <c r="H15390"/>
      <c r="I15390"/>
      <c r="J15390"/>
      <c r="K15390" s="1"/>
      <c r="L15390" s="2"/>
    </row>
    <row r="15391" spans="1:12" x14ac:dyDescent="0.2">
      <c r="A15391"/>
      <c r="B15391"/>
      <c r="C15391"/>
      <c r="D15391"/>
      <c r="E15391"/>
      <c r="F15391"/>
      <c r="G15391"/>
      <c r="H15391"/>
      <c r="I15391"/>
      <c r="J15391"/>
      <c r="K15391" s="1"/>
      <c r="L15391" s="2"/>
    </row>
    <row r="15392" spans="1:12" x14ac:dyDescent="0.2">
      <c r="A15392"/>
      <c r="B15392"/>
      <c r="C15392"/>
      <c r="D15392"/>
      <c r="E15392"/>
      <c r="F15392"/>
      <c r="G15392"/>
      <c r="H15392"/>
      <c r="I15392"/>
      <c r="J15392"/>
      <c r="K15392" s="1"/>
      <c r="L15392" s="2"/>
    </row>
    <row r="15393" spans="1:12" x14ac:dyDescent="0.2">
      <c r="A15393"/>
      <c r="B15393"/>
      <c r="C15393"/>
      <c r="D15393"/>
      <c r="E15393"/>
      <c r="F15393"/>
      <c r="G15393"/>
      <c r="H15393"/>
      <c r="I15393"/>
      <c r="J15393"/>
      <c r="K15393" s="1"/>
      <c r="L15393" s="2"/>
    </row>
    <row r="15394" spans="1:12" x14ac:dyDescent="0.2">
      <c r="A15394"/>
      <c r="B15394"/>
      <c r="C15394"/>
      <c r="D15394"/>
      <c r="E15394"/>
      <c r="F15394"/>
      <c r="G15394"/>
      <c r="H15394"/>
      <c r="I15394"/>
      <c r="J15394"/>
      <c r="K15394" s="1"/>
      <c r="L15394" s="2"/>
    </row>
    <row r="15395" spans="1:12" x14ac:dyDescent="0.2">
      <c r="A15395"/>
      <c r="B15395"/>
      <c r="C15395"/>
      <c r="D15395"/>
      <c r="E15395"/>
      <c r="F15395"/>
      <c r="G15395"/>
      <c r="H15395"/>
      <c r="I15395"/>
      <c r="J15395"/>
      <c r="K15395" s="1"/>
      <c r="L15395" s="2"/>
    </row>
    <row r="15396" spans="1:12" x14ac:dyDescent="0.2">
      <c r="A15396"/>
      <c r="B15396"/>
      <c r="C15396"/>
      <c r="D15396"/>
      <c r="E15396"/>
      <c r="F15396"/>
      <c r="G15396"/>
      <c r="H15396"/>
      <c r="I15396"/>
      <c r="J15396"/>
      <c r="K15396" s="1"/>
      <c r="L15396" s="2"/>
    </row>
    <row r="15397" spans="1:12" x14ac:dyDescent="0.2">
      <c r="A15397"/>
      <c r="B15397"/>
      <c r="C15397"/>
      <c r="D15397"/>
      <c r="E15397"/>
      <c r="F15397"/>
      <c r="G15397"/>
      <c r="H15397"/>
      <c r="I15397"/>
      <c r="J15397"/>
      <c r="K15397" s="1"/>
      <c r="L15397" s="2"/>
    </row>
    <row r="15398" spans="1:12" x14ac:dyDescent="0.2">
      <c r="A15398"/>
      <c r="B15398"/>
      <c r="C15398"/>
      <c r="D15398"/>
      <c r="E15398"/>
      <c r="F15398"/>
      <c r="G15398"/>
      <c r="H15398"/>
      <c r="I15398"/>
      <c r="J15398"/>
      <c r="K15398" s="1"/>
      <c r="L15398" s="2"/>
    </row>
    <row r="15399" spans="1:12" x14ac:dyDescent="0.2">
      <c r="A15399"/>
      <c r="B15399"/>
      <c r="C15399"/>
      <c r="D15399"/>
      <c r="E15399"/>
      <c r="F15399"/>
      <c r="G15399"/>
      <c r="H15399"/>
      <c r="I15399"/>
      <c r="J15399"/>
      <c r="K15399" s="1"/>
      <c r="L15399" s="2"/>
    </row>
    <row r="15400" spans="1:12" x14ac:dyDescent="0.2">
      <c r="A15400"/>
      <c r="B15400"/>
      <c r="C15400"/>
      <c r="D15400"/>
      <c r="E15400"/>
      <c r="F15400"/>
      <c r="G15400"/>
      <c r="H15400"/>
      <c r="I15400"/>
      <c r="J15400"/>
      <c r="K15400" s="1"/>
      <c r="L15400" s="2"/>
    </row>
    <row r="15401" spans="1:12" x14ac:dyDescent="0.2">
      <c r="A15401"/>
      <c r="B15401"/>
      <c r="C15401"/>
      <c r="D15401"/>
      <c r="E15401"/>
      <c r="F15401"/>
      <c r="G15401"/>
      <c r="H15401"/>
      <c r="I15401"/>
      <c r="J15401"/>
      <c r="K15401" s="1"/>
      <c r="L15401" s="2"/>
    </row>
    <row r="15402" spans="1:12" x14ac:dyDescent="0.2">
      <c r="A15402"/>
      <c r="B15402"/>
      <c r="C15402"/>
      <c r="D15402"/>
      <c r="E15402"/>
      <c r="F15402"/>
      <c r="G15402"/>
      <c r="H15402"/>
      <c r="I15402"/>
      <c r="J15402"/>
      <c r="K15402" s="1"/>
      <c r="L15402" s="2"/>
    </row>
    <row r="15403" spans="1:12" x14ac:dyDescent="0.2">
      <c r="A15403"/>
      <c r="B15403"/>
      <c r="C15403"/>
      <c r="D15403"/>
      <c r="E15403"/>
      <c r="F15403"/>
      <c r="G15403"/>
      <c r="H15403"/>
      <c r="I15403"/>
      <c r="J15403"/>
      <c r="K15403" s="1"/>
      <c r="L15403" s="2"/>
    </row>
    <row r="15404" spans="1:12" x14ac:dyDescent="0.2">
      <c r="A15404"/>
      <c r="B15404"/>
      <c r="C15404"/>
      <c r="D15404"/>
      <c r="E15404"/>
      <c r="F15404"/>
      <c r="G15404"/>
      <c r="H15404"/>
      <c r="I15404"/>
      <c r="J15404"/>
      <c r="K15404" s="1"/>
      <c r="L15404" s="2"/>
    </row>
    <row r="15405" spans="1:12" x14ac:dyDescent="0.2">
      <c r="A15405"/>
      <c r="B15405"/>
      <c r="C15405"/>
      <c r="D15405"/>
      <c r="E15405"/>
      <c r="F15405"/>
      <c r="G15405"/>
      <c r="H15405"/>
      <c r="I15405"/>
      <c r="J15405"/>
      <c r="K15405" s="1"/>
      <c r="L15405" s="2"/>
    </row>
    <row r="15406" spans="1:12" x14ac:dyDescent="0.2">
      <c r="A15406"/>
      <c r="B15406"/>
      <c r="C15406"/>
      <c r="D15406"/>
      <c r="E15406"/>
      <c r="F15406"/>
      <c r="G15406"/>
      <c r="H15406"/>
      <c r="I15406"/>
      <c r="J15406"/>
      <c r="K15406" s="1"/>
      <c r="L15406" s="2"/>
    </row>
    <row r="15407" spans="1:12" x14ac:dyDescent="0.2">
      <c r="A15407"/>
      <c r="B15407"/>
      <c r="C15407"/>
      <c r="D15407"/>
      <c r="E15407"/>
      <c r="F15407"/>
      <c r="G15407"/>
      <c r="H15407"/>
      <c r="I15407"/>
      <c r="J15407"/>
      <c r="K15407" s="1"/>
      <c r="L15407" s="2"/>
    </row>
    <row r="15408" spans="1:12" x14ac:dyDescent="0.2">
      <c r="A15408"/>
      <c r="B15408"/>
      <c r="C15408"/>
      <c r="D15408"/>
      <c r="E15408"/>
      <c r="F15408"/>
      <c r="G15408"/>
      <c r="H15408"/>
      <c r="I15408"/>
      <c r="J15408"/>
      <c r="K15408" s="1"/>
      <c r="L15408" s="2"/>
    </row>
    <row r="15409" spans="1:12" x14ac:dyDescent="0.2">
      <c r="A15409"/>
      <c r="B15409"/>
      <c r="C15409"/>
      <c r="D15409"/>
      <c r="E15409"/>
      <c r="F15409"/>
      <c r="G15409"/>
      <c r="H15409"/>
      <c r="I15409"/>
      <c r="J15409"/>
      <c r="K15409" s="1"/>
      <c r="L15409" s="2"/>
    </row>
    <row r="15410" spans="1:12" x14ac:dyDescent="0.2">
      <c r="A15410"/>
      <c r="B15410"/>
      <c r="C15410"/>
      <c r="D15410"/>
      <c r="E15410"/>
      <c r="F15410"/>
      <c r="G15410"/>
      <c r="H15410"/>
      <c r="I15410"/>
      <c r="J15410"/>
      <c r="K15410" s="1"/>
      <c r="L15410" s="2"/>
    </row>
    <row r="15411" spans="1:12" x14ac:dyDescent="0.2">
      <c r="A15411"/>
      <c r="B15411"/>
      <c r="C15411"/>
      <c r="D15411"/>
      <c r="E15411"/>
      <c r="F15411"/>
      <c r="G15411"/>
      <c r="H15411"/>
      <c r="I15411"/>
      <c r="J15411"/>
      <c r="K15411" s="1"/>
      <c r="L15411" s="2"/>
    </row>
    <row r="15412" spans="1:12" x14ac:dyDescent="0.2">
      <c r="A15412"/>
      <c r="B15412"/>
      <c r="C15412"/>
      <c r="D15412"/>
      <c r="E15412"/>
      <c r="F15412"/>
      <c r="G15412"/>
      <c r="H15412"/>
      <c r="I15412"/>
      <c r="J15412"/>
      <c r="K15412" s="1"/>
      <c r="L15412" s="2"/>
    </row>
    <row r="15413" spans="1:12" x14ac:dyDescent="0.2">
      <c r="A15413"/>
      <c r="B15413"/>
      <c r="C15413"/>
      <c r="D15413"/>
      <c r="E15413"/>
      <c r="F15413"/>
      <c r="G15413"/>
      <c r="H15413"/>
      <c r="I15413"/>
      <c r="J15413"/>
      <c r="K15413" s="1"/>
      <c r="L15413" s="2"/>
    </row>
    <row r="15414" spans="1:12" x14ac:dyDescent="0.2">
      <c r="A15414"/>
      <c r="B15414"/>
      <c r="C15414"/>
      <c r="D15414"/>
      <c r="E15414"/>
      <c r="F15414"/>
      <c r="G15414"/>
      <c r="H15414"/>
      <c r="I15414"/>
      <c r="J15414"/>
      <c r="K15414" s="1"/>
      <c r="L15414" s="2"/>
    </row>
    <row r="15415" spans="1:12" x14ac:dyDescent="0.2">
      <c r="A15415"/>
      <c r="B15415"/>
      <c r="C15415"/>
      <c r="D15415"/>
      <c r="E15415"/>
      <c r="F15415"/>
      <c r="G15415"/>
      <c r="H15415"/>
      <c r="I15415"/>
      <c r="J15415"/>
      <c r="K15415" s="1"/>
      <c r="L15415" s="2"/>
    </row>
    <row r="15416" spans="1:12" x14ac:dyDescent="0.2">
      <c r="A15416"/>
      <c r="B15416"/>
      <c r="C15416"/>
      <c r="D15416"/>
      <c r="E15416"/>
      <c r="F15416"/>
      <c r="G15416"/>
      <c r="H15416"/>
      <c r="I15416"/>
      <c r="J15416"/>
      <c r="K15416" s="1"/>
      <c r="L15416" s="2"/>
    </row>
    <row r="15417" spans="1:12" x14ac:dyDescent="0.2">
      <c r="A15417"/>
      <c r="B15417"/>
      <c r="C15417"/>
      <c r="D15417"/>
      <c r="E15417"/>
      <c r="F15417"/>
      <c r="G15417"/>
      <c r="H15417"/>
      <c r="I15417"/>
      <c r="J15417"/>
      <c r="K15417" s="1"/>
      <c r="L15417" s="2"/>
    </row>
    <row r="15418" spans="1:12" x14ac:dyDescent="0.2">
      <c r="A15418"/>
      <c r="B15418"/>
      <c r="C15418"/>
      <c r="D15418"/>
      <c r="E15418"/>
      <c r="F15418"/>
      <c r="G15418"/>
      <c r="H15418"/>
      <c r="I15418"/>
      <c r="J15418"/>
      <c r="K15418" s="1"/>
      <c r="L15418" s="2"/>
    </row>
    <row r="15419" spans="1:12" x14ac:dyDescent="0.2">
      <c r="A15419"/>
      <c r="B15419"/>
      <c r="C15419"/>
      <c r="D15419"/>
      <c r="E15419"/>
      <c r="F15419"/>
      <c r="G15419"/>
      <c r="H15419"/>
      <c r="I15419"/>
      <c r="J15419"/>
      <c r="K15419" s="1"/>
      <c r="L15419" s="2"/>
    </row>
    <row r="15420" spans="1:12" x14ac:dyDescent="0.2">
      <c r="A15420"/>
      <c r="B15420"/>
      <c r="C15420"/>
      <c r="D15420"/>
      <c r="E15420"/>
      <c r="F15420"/>
      <c r="G15420"/>
      <c r="H15420"/>
      <c r="I15420"/>
      <c r="J15420"/>
      <c r="K15420" s="1"/>
      <c r="L15420" s="2"/>
    </row>
    <row r="15421" spans="1:12" x14ac:dyDescent="0.2">
      <c r="A15421"/>
      <c r="B15421"/>
      <c r="C15421"/>
      <c r="D15421"/>
      <c r="E15421"/>
      <c r="F15421"/>
      <c r="G15421"/>
      <c r="H15421"/>
      <c r="I15421"/>
      <c r="J15421"/>
      <c r="K15421" s="1"/>
      <c r="L15421" s="2"/>
    </row>
    <row r="15422" spans="1:12" x14ac:dyDescent="0.2">
      <c r="A15422"/>
      <c r="B15422"/>
      <c r="C15422"/>
      <c r="D15422"/>
      <c r="E15422"/>
      <c r="F15422"/>
      <c r="G15422"/>
      <c r="H15422"/>
      <c r="I15422"/>
      <c r="J15422"/>
      <c r="K15422" s="1"/>
      <c r="L15422" s="2"/>
    </row>
    <row r="15423" spans="1:12" x14ac:dyDescent="0.2">
      <c r="A15423"/>
      <c r="B15423"/>
      <c r="C15423"/>
      <c r="D15423"/>
      <c r="E15423"/>
      <c r="F15423"/>
      <c r="G15423"/>
      <c r="H15423"/>
      <c r="I15423"/>
      <c r="J15423"/>
      <c r="K15423" s="1"/>
      <c r="L15423" s="2"/>
    </row>
    <row r="15424" spans="1:12" x14ac:dyDescent="0.2">
      <c r="A15424"/>
      <c r="B15424"/>
      <c r="C15424"/>
      <c r="D15424"/>
      <c r="E15424"/>
      <c r="F15424"/>
      <c r="G15424"/>
      <c r="H15424"/>
      <c r="I15424"/>
      <c r="J15424"/>
      <c r="K15424" s="1"/>
      <c r="L15424" s="2"/>
    </row>
    <row r="15425" spans="1:12" x14ac:dyDescent="0.2">
      <c r="A15425"/>
      <c r="B15425"/>
      <c r="C15425"/>
      <c r="D15425"/>
      <c r="E15425"/>
      <c r="F15425"/>
      <c r="G15425"/>
      <c r="H15425"/>
      <c r="I15425"/>
      <c r="J15425"/>
      <c r="K15425" s="1"/>
      <c r="L15425" s="2"/>
    </row>
    <row r="15426" spans="1:12" x14ac:dyDescent="0.2">
      <c r="A15426"/>
      <c r="B15426"/>
      <c r="C15426"/>
      <c r="D15426"/>
      <c r="E15426"/>
      <c r="F15426"/>
      <c r="G15426"/>
      <c r="H15426"/>
      <c r="I15426"/>
      <c r="J15426"/>
      <c r="K15426" s="1"/>
      <c r="L15426" s="2"/>
    </row>
    <row r="15427" spans="1:12" x14ac:dyDescent="0.2">
      <c r="A15427"/>
      <c r="B15427"/>
      <c r="C15427"/>
      <c r="D15427"/>
      <c r="E15427"/>
      <c r="F15427"/>
      <c r="G15427"/>
      <c r="H15427"/>
      <c r="I15427"/>
      <c r="J15427"/>
      <c r="K15427" s="1"/>
      <c r="L15427" s="2"/>
    </row>
    <row r="15428" spans="1:12" x14ac:dyDescent="0.2">
      <c r="A15428"/>
      <c r="B15428"/>
      <c r="C15428"/>
      <c r="D15428"/>
      <c r="E15428"/>
      <c r="F15428"/>
      <c r="G15428"/>
      <c r="H15428"/>
      <c r="I15428"/>
      <c r="J15428"/>
      <c r="K15428" s="1"/>
      <c r="L15428" s="2"/>
    </row>
    <row r="15429" spans="1:12" x14ac:dyDescent="0.2">
      <c r="A15429"/>
      <c r="B15429"/>
      <c r="C15429"/>
      <c r="D15429"/>
      <c r="E15429"/>
      <c r="F15429"/>
      <c r="G15429"/>
      <c r="H15429"/>
      <c r="I15429"/>
      <c r="J15429"/>
      <c r="K15429" s="1"/>
      <c r="L15429" s="2"/>
    </row>
    <row r="15430" spans="1:12" x14ac:dyDescent="0.2">
      <c r="A15430"/>
      <c r="B15430"/>
      <c r="C15430"/>
      <c r="D15430"/>
      <c r="E15430"/>
      <c r="F15430"/>
      <c r="G15430"/>
      <c r="H15430"/>
      <c r="I15430"/>
      <c r="J15430"/>
      <c r="K15430" s="1"/>
      <c r="L15430" s="2"/>
    </row>
    <row r="15431" spans="1:12" x14ac:dyDescent="0.2">
      <c r="A15431"/>
      <c r="B15431"/>
      <c r="C15431"/>
      <c r="D15431"/>
      <c r="E15431"/>
      <c r="F15431"/>
      <c r="G15431"/>
      <c r="H15431"/>
      <c r="I15431"/>
      <c r="J15431"/>
      <c r="K15431" s="1"/>
      <c r="L15431" s="2"/>
    </row>
    <row r="15432" spans="1:12" x14ac:dyDescent="0.2">
      <c r="A15432"/>
      <c r="B15432"/>
      <c r="C15432"/>
      <c r="D15432"/>
      <c r="E15432"/>
      <c r="F15432"/>
      <c r="G15432"/>
      <c r="H15432"/>
      <c r="I15432"/>
      <c r="J15432"/>
      <c r="K15432" s="1"/>
      <c r="L15432" s="2"/>
    </row>
    <row r="15433" spans="1:12" x14ac:dyDescent="0.2">
      <c r="A15433"/>
      <c r="B15433"/>
      <c r="C15433"/>
      <c r="D15433"/>
      <c r="E15433"/>
      <c r="F15433"/>
      <c r="G15433"/>
      <c r="H15433"/>
      <c r="I15433"/>
      <c r="J15433"/>
      <c r="K15433" s="1"/>
      <c r="L15433" s="2"/>
    </row>
    <row r="15434" spans="1:12" x14ac:dyDescent="0.2">
      <c r="A15434"/>
      <c r="B15434"/>
      <c r="C15434"/>
      <c r="D15434"/>
      <c r="E15434"/>
      <c r="F15434"/>
      <c r="G15434"/>
      <c r="H15434"/>
      <c r="I15434"/>
      <c r="J15434"/>
      <c r="K15434" s="1"/>
      <c r="L15434" s="2"/>
    </row>
    <row r="15435" spans="1:12" x14ac:dyDescent="0.2">
      <c r="A15435"/>
      <c r="B15435"/>
      <c r="C15435"/>
      <c r="D15435"/>
      <c r="E15435"/>
      <c r="F15435"/>
      <c r="G15435"/>
      <c r="H15435"/>
      <c r="I15435"/>
      <c r="J15435"/>
      <c r="K15435" s="1"/>
      <c r="L15435" s="2"/>
    </row>
    <row r="15436" spans="1:12" x14ac:dyDescent="0.2">
      <c r="A15436"/>
      <c r="B15436"/>
      <c r="C15436"/>
      <c r="D15436"/>
      <c r="E15436"/>
      <c r="F15436"/>
      <c r="G15436"/>
      <c r="H15436"/>
      <c r="I15436"/>
      <c r="J15436"/>
      <c r="K15436" s="1"/>
      <c r="L15436" s="2"/>
    </row>
    <row r="15437" spans="1:12" x14ac:dyDescent="0.2">
      <c r="A15437"/>
      <c r="B15437"/>
      <c r="C15437"/>
      <c r="D15437"/>
      <c r="E15437"/>
      <c r="F15437"/>
      <c r="G15437"/>
      <c r="H15437"/>
      <c r="I15437"/>
      <c r="J15437"/>
      <c r="K15437" s="1"/>
      <c r="L15437" s="2"/>
    </row>
    <row r="15438" spans="1:12" x14ac:dyDescent="0.2">
      <c r="A15438"/>
      <c r="B15438"/>
      <c r="C15438"/>
      <c r="D15438"/>
      <c r="E15438"/>
      <c r="F15438"/>
      <c r="G15438"/>
      <c r="H15438"/>
      <c r="I15438"/>
      <c r="J15438"/>
      <c r="K15438" s="1"/>
      <c r="L15438" s="2"/>
    </row>
    <row r="15439" spans="1:12" x14ac:dyDescent="0.2">
      <c r="A15439"/>
      <c r="B15439"/>
      <c r="C15439"/>
      <c r="D15439"/>
      <c r="E15439"/>
      <c r="F15439"/>
      <c r="G15439"/>
      <c r="H15439"/>
      <c r="I15439"/>
      <c r="J15439"/>
      <c r="K15439" s="1"/>
      <c r="L15439" s="2"/>
    </row>
    <row r="15440" spans="1:12" x14ac:dyDescent="0.2">
      <c r="A15440"/>
      <c r="B15440"/>
      <c r="C15440"/>
      <c r="D15440"/>
      <c r="E15440"/>
      <c r="F15440"/>
      <c r="G15440"/>
      <c r="H15440"/>
      <c r="I15440"/>
      <c r="J15440"/>
      <c r="K15440" s="1"/>
      <c r="L15440" s="2"/>
    </row>
    <row r="15441" spans="1:12" x14ac:dyDescent="0.2">
      <c r="A15441"/>
      <c r="B15441"/>
      <c r="C15441"/>
      <c r="D15441"/>
      <c r="E15441"/>
      <c r="F15441"/>
      <c r="G15441"/>
      <c r="H15441"/>
      <c r="I15441"/>
      <c r="J15441"/>
      <c r="K15441" s="1"/>
      <c r="L15441" s="2"/>
    </row>
    <row r="15442" spans="1:12" x14ac:dyDescent="0.2">
      <c r="A15442"/>
      <c r="B15442"/>
      <c r="C15442"/>
      <c r="D15442"/>
      <c r="E15442"/>
      <c r="F15442"/>
      <c r="G15442"/>
      <c r="H15442"/>
      <c r="I15442"/>
      <c r="J15442"/>
      <c r="K15442" s="1"/>
      <c r="L15442" s="2"/>
    </row>
    <row r="15443" spans="1:12" x14ac:dyDescent="0.2">
      <c r="A15443"/>
      <c r="B15443"/>
      <c r="C15443"/>
      <c r="D15443"/>
      <c r="E15443"/>
      <c r="F15443"/>
      <c r="G15443"/>
      <c r="H15443"/>
      <c r="I15443"/>
      <c r="J15443"/>
      <c r="K15443" s="1"/>
      <c r="L15443" s="2"/>
    </row>
    <row r="15444" spans="1:12" x14ac:dyDescent="0.2">
      <c r="A15444"/>
      <c r="B15444"/>
      <c r="C15444"/>
      <c r="D15444"/>
      <c r="E15444"/>
      <c r="F15444"/>
      <c r="G15444"/>
      <c r="H15444"/>
      <c r="I15444"/>
      <c r="J15444"/>
      <c r="K15444" s="1"/>
      <c r="L15444" s="2"/>
    </row>
    <row r="15445" spans="1:12" x14ac:dyDescent="0.2">
      <c r="A15445"/>
      <c r="B15445"/>
      <c r="C15445"/>
      <c r="D15445"/>
      <c r="E15445"/>
      <c r="F15445"/>
      <c r="G15445"/>
      <c r="H15445"/>
      <c r="I15445"/>
      <c r="J15445"/>
      <c r="K15445" s="1"/>
      <c r="L15445" s="2"/>
    </row>
    <row r="15446" spans="1:12" x14ac:dyDescent="0.2">
      <c r="A15446"/>
      <c r="B15446"/>
      <c r="C15446"/>
      <c r="D15446"/>
      <c r="E15446"/>
      <c r="F15446"/>
      <c r="G15446"/>
      <c r="H15446"/>
      <c r="I15446"/>
      <c r="J15446"/>
      <c r="K15446" s="1"/>
      <c r="L15446" s="2"/>
    </row>
    <row r="15447" spans="1:12" x14ac:dyDescent="0.2">
      <c r="A15447"/>
      <c r="B15447"/>
      <c r="C15447"/>
      <c r="D15447"/>
      <c r="E15447"/>
      <c r="F15447"/>
      <c r="G15447"/>
      <c r="H15447"/>
      <c r="I15447"/>
      <c r="J15447"/>
      <c r="K15447" s="1"/>
      <c r="L15447" s="2"/>
    </row>
    <row r="15448" spans="1:12" x14ac:dyDescent="0.2">
      <c r="A15448"/>
      <c r="B15448"/>
      <c r="C15448"/>
      <c r="D15448"/>
      <c r="E15448"/>
      <c r="F15448"/>
      <c r="G15448"/>
      <c r="H15448"/>
      <c r="I15448"/>
      <c r="J15448"/>
      <c r="K15448" s="1"/>
      <c r="L15448" s="2"/>
    </row>
    <row r="15449" spans="1:12" x14ac:dyDescent="0.2">
      <c r="A15449"/>
      <c r="B15449"/>
      <c r="C15449"/>
      <c r="D15449"/>
      <c r="E15449"/>
      <c r="F15449"/>
      <c r="G15449"/>
      <c r="H15449"/>
      <c r="I15449"/>
      <c r="J15449"/>
      <c r="K15449" s="1"/>
      <c r="L15449" s="2"/>
    </row>
    <row r="15450" spans="1:12" x14ac:dyDescent="0.2">
      <c r="A15450"/>
      <c r="B15450"/>
      <c r="C15450"/>
      <c r="D15450"/>
      <c r="E15450"/>
      <c r="F15450"/>
      <c r="G15450"/>
      <c r="H15450"/>
      <c r="I15450"/>
      <c r="J15450"/>
      <c r="K15450" s="1"/>
      <c r="L15450" s="2"/>
    </row>
    <row r="15451" spans="1:12" x14ac:dyDescent="0.2">
      <c r="A15451"/>
      <c r="B15451"/>
      <c r="C15451"/>
      <c r="D15451"/>
      <c r="E15451"/>
      <c r="F15451"/>
      <c r="G15451"/>
      <c r="H15451"/>
      <c r="I15451"/>
      <c r="J15451"/>
      <c r="K15451" s="1"/>
      <c r="L15451" s="2"/>
    </row>
    <row r="15452" spans="1:12" x14ac:dyDescent="0.2">
      <c r="A15452"/>
      <c r="B15452"/>
      <c r="C15452"/>
      <c r="D15452"/>
      <c r="E15452"/>
      <c r="F15452"/>
      <c r="G15452"/>
      <c r="H15452"/>
      <c r="I15452"/>
      <c r="J15452"/>
      <c r="K15452" s="1"/>
      <c r="L15452" s="2"/>
    </row>
    <row r="15453" spans="1:12" x14ac:dyDescent="0.2">
      <c r="A15453"/>
      <c r="B15453"/>
      <c r="C15453"/>
      <c r="D15453"/>
      <c r="E15453"/>
      <c r="F15453"/>
      <c r="G15453"/>
      <c r="H15453"/>
      <c r="I15453"/>
      <c r="J15453"/>
      <c r="K15453" s="1"/>
      <c r="L15453" s="2"/>
    </row>
    <row r="15454" spans="1:12" x14ac:dyDescent="0.2">
      <c r="A15454"/>
      <c r="B15454"/>
      <c r="C15454"/>
      <c r="D15454"/>
      <c r="E15454"/>
      <c r="F15454"/>
      <c r="G15454"/>
      <c r="H15454"/>
      <c r="I15454"/>
      <c r="J15454"/>
      <c r="K15454" s="1"/>
      <c r="L15454" s="2"/>
    </row>
    <row r="15455" spans="1:12" x14ac:dyDescent="0.2">
      <c r="A15455"/>
      <c r="B15455"/>
      <c r="C15455"/>
      <c r="D15455"/>
      <c r="E15455"/>
      <c r="F15455"/>
      <c r="G15455"/>
      <c r="H15455"/>
      <c r="I15455"/>
      <c r="J15455"/>
      <c r="K15455" s="1"/>
      <c r="L15455" s="2"/>
    </row>
    <row r="15456" spans="1:12" x14ac:dyDescent="0.2">
      <c r="A15456"/>
      <c r="B15456"/>
      <c r="C15456"/>
      <c r="D15456"/>
      <c r="E15456"/>
      <c r="F15456"/>
      <c r="G15456"/>
      <c r="H15456"/>
      <c r="I15456"/>
      <c r="J15456"/>
      <c r="K15456" s="1"/>
      <c r="L15456" s="2"/>
    </row>
    <row r="15457" spans="1:12" x14ac:dyDescent="0.2">
      <c r="A15457"/>
      <c r="B15457"/>
      <c r="C15457"/>
      <c r="D15457"/>
      <c r="E15457"/>
      <c r="F15457"/>
      <c r="G15457"/>
      <c r="H15457"/>
      <c r="I15457"/>
      <c r="J15457"/>
      <c r="K15457" s="1"/>
      <c r="L15457" s="2"/>
    </row>
    <row r="15458" spans="1:12" x14ac:dyDescent="0.2">
      <c r="A15458"/>
      <c r="B15458"/>
      <c r="C15458"/>
      <c r="D15458"/>
      <c r="E15458"/>
      <c r="F15458"/>
      <c r="G15458"/>
      <c r="H15458"/>
      <c r="I15458"/>
      <c r="J15458"/>
      <c r="K15458" s="1"/>
      <c r="L15458" s="2"/>
    </row>
    <row r="15459" spans="1:12" x14ac:dyDescent="0.2">
      <c r="A15459"/>
      <c r="B15459"/>
      <c r="C15459"/>
      <c r="D15459"/>
      <c r="E15459"/>
      <c r="F15459"/>
      <c r="G15459"/>
      <c r="H15459"/>
      <c r="I15459"/>
      <c r="J15459"/>
      <c r="K15459" s="1"/>
      <c r="L15459" s="2"/>
    </row>
    <row r="15460" spans="1:12" x14ac:dyDescent="0.2">
      <c r="A15460"/>
      <c r="B15460"/>
      <c r="C15460"/>
      <c r="D15460"/>
      <c r="E15460"/>
      <c r="F15460"/>
      <c r="G15460"/>
      <c r="H15460"/>
      <c r="I15460"/>
      <c r="J15460"/>
      <c r="K15460" s="1"/>
      <c r="L15460" s="2"/>
    </row>
    <row r="15461" spans="1:12" x14ac:dyDescent="0.2">
      <c r="A15461"/>
      <c r="B15461"/>
      <c r="C15461"/>
      <c r="D15461"/>
      <c r="E15461"/>
      <c r="F15461"/>
      <c r="G15461"/>
      <c r="H15461"/>
      <c r="I15461"/>
      <c r="J15461"/>
      <c r="K15461" s="1"/>
      <c r="L15461" s="2"/>
    </row>
    <row r="15462" spans="1:12" x14ac:dyDescent="0.2">
      <c r="A15462"/>
      <c r="B15462"/>
      <c r="C15462"/>
      <c r="D15462"/>
      <c r="E15462"/>
      <c r="F15462"/>
      <c r="G15462"/>
      <c r="H15462"/>
      <c r="I15462"/>
      <c r="J15462"/>
      <c r="K15462" s="1"/>
      <c r="L15462" s="2"/>
    </row>
    <row r="15463" spans="1:12" x14ac:dyDescent="0.2">
      <c r="A15463"/>
      <c r="B15463"/>
      <c r="C15463"/>
      <c r="D15463"/>
      <c r="E15463"/>
      <c r="F15463"/>
      <c r="G15463"/>
      <c r="H15463"/>
      <c r="I15463"/>
      <c r="J15463"/>
      <c r="K15463" s="1"/>
      <c r="L15463" s="2"/>
    </row>
    <row r="15464" spans="1:12" x14ac:dyDescent="0.2">
      <c r="A15464"/>
      <c r="B15464"/>
      <c r="C15464"/>
      <c r="D15464"/>
      <c r="E15464"/>
      <c r="F15464"/>
      <c r="G15464"/>
      <c r="H15464"/>
      <c r="I15464"/>
      <c r="J15464"/>
      <c r="K15464" s="1"/>
      <c r="L15464" s="2"/>
    </row>
    <row r="15465" spans="1:12" x14ac:dyDescent="0.2">
      <c r="A15465"/>
      <c r="B15465"/>
      <c r="C15465"/>
      <c r="D15465"/>
      <c r="E15465"/>
      <c r="F15465"/>
      <c r="G15465"/>
      <c r="H15465"/>
      <c r="I15465"/>
      <c r="J15465"/>
      <c r="K15465" s="1"/>
      <c r="L15465" s="2"/>
    </row>
    <row r="15466" spans="1:12" x14ac:dyDescent="0.2">
      <c r="A15466"/>
      <c r="B15466"/>
      <c r="C15466"/>
      <c r="D15466"/>
      <c r="E15466"/>
      <c r="F15466"/>
      <c r="G15466"/>
      <c r="H15466"/>
      <c r="I15466"/>
      <c r="J15466"/>
      <c r="K15466" s="1"/>
      <c r="L15466" s="2"/>
    </row>
    <row r="15467" spans="1:12" x14ac:dyDescent="0.2">
      <c r="A15467"/>
      <c r="B15467"/>
      <c r="C15467"/>
      <c r="D15467"/>
      <c r="E15467"/>
      <c r="F15467"/>
      <c r="G15467"/>
      <c r="H15467"/>
      <c r="I15467"/>
      <c r="J15467"/>
      <c r="K15467" s="1"/>
      <c r="L15467" s="2"/>
    </row>
    <row r="15468" spans="1:12" x14ac:dyDescent="0.2">
      <c r="A15468"/>
      <c r="B15468"/>
      <c r="C15468"/>
      <c r="D15468"/>
      <c r="E15468"/>
      <c r="F15468"/>
      <c r="G15468"/>
      <c r="H15468"/>
      <c r="I15468"/>
      <c r="J15468"/>
      <c r="K15468" s="1"/>
      <c r="L15468" s="2"/>
    </row>
    <row r="15469" spans="1:12" x14ac:dyDescent="0.2">
      <c r="A15469"/>
      <c r="B15469"/>
      <c r="C15469"/>
      <c r="D15469"/>
      <c r="E15469"/>
      <c r="F15469"/>
      <c r="G15469"/>
      <c r="H15469"/>
      <c r="I15469"/>
      <c r="J15469"/>
      <c r="K15469" s="1"/>
      <c r="L15469" s="2"/>
    </row>
    <row r="15470" spans="1:12" x14ac:dyDescent="0.2">
      <c r="A15470"/>
      <c r="B15470"/>
      <c r="C15470"/>
      <c r="D15470"/>
      <c r="E15470"/>
      <c r="F15470"/>
      <c r="G15470"/>
      <c r="H15470"/>
      <c r="I15470"/>
      <c r="J15470"/>
      <c r="K15470" s="1"/>
      <c r="L15470" s="2"/>
    </row>
    <row r="15471" spans="1:12" x14ac:dyDescent="0.2">
      <c r="A15471"/>
      <c r="B15471"/>
      <c r="C15471"/>
      <c r="D15471"/>
      <c r="E15471"/>
      <c r="F15471"/>
      <c r="G15471"/>
      <c r="H15471"/>
      <c r="I15471"/>
      <c r="J15471"/>
      <c r="K15471" s="1"/>
      <c r="L15471" s="2"/>
    </row>
    <row r="15472" spans="1:12" x14ac:dyDescent="0.2">
      <c r="A15472"/>
      <c r="B15472"/>
      <c r="C15472"/>
      <c r="D15472"/>
      <c r="E15472"/>
      <c r="F15472"/>
      <c r="G15472"/>
      <c r="H15472"/>
      <c r="I15472"/>
      <c r="J15472"/>
      <c r="K15472" s="1"/>
      <c r="L15472" s="2"/>
    </row>
    <row r="15473" spans="1:12" x14ac:dyDescent="0.2">
      <c r="A15473"/>
      <c r="B15473"/>
      <c r="C15473"/>
      <c r="D15473"/>
      <c r="E15473"/>
      <c r="F15473"/>
      <c r="G15473"/>
      <c r="H15473"/>
      <c r="I15473"/>
      <c r="J15473"/>
      <c r="K15473" s="1"/>
      <c r="L15473" s="2"/>
    </row>
    <row r="15474" spans="1:12" x14ac:dyDescent="0.2">
      <c r="A15474"/>
      <c r="B15474"/>
      <c r="C15474"/>
      <c r="D15474"/>
      <c r="E15474"/>
      <c r="F15474"/>
      <c r="G15474"/>
      <c r="H15474"/>
      <c r="I15474"/>
      <c r="J15474"/>
      <c r="K15474" s="1"/>
      <c r="L15474" s="2"/>
    </row>
    <row r="15475" spans="1:12" x14ac:dyDescent="0.2">
      <c r="A15475"/>
      <c r="B15475"/>
      <c r="C15475"/>
      <c r="D15475"/>
      <c r="E15475"/>
      <c r="F15475"/>
      <c r="G15475"/>
      <c r="H15475"/>
      <c r="I15475"/>
      <c r="J15475"/>
      <c r="K15475" s="1"/>
      <c r="L15475" s="2"/>
    </row>
    <row r="15476" spans="1:12" x14ac:dyDescent="0.2">
      <c r="A15476"/>
      <c r="B15476"/>
      <c r="C15476"/>
      <c r="D15476"/>
      <c r="E15476"/>
      <c r="F15476"/>
      <c r="G15476"/>
      <c r="H15476"/>
      <c r="I15476"/>
      <c r="J15476"/>
      <c r="K15476" s="1"/>
      <c r="L15476" s="2"/>
    </row>
    <row r="15477" spans="1:12" x14ac:dyDescent="0.2">
      <c r="A15477"/>
      <c r="B15477"/>
      <c r="C15477"/>
      <c r="D15477"/>
      <c r="E15477"/>
      <c r="F15477"/>
      <c r="G15477"/>
      <c r="H15477"/>
      <c r="I15477"/>
      <c r="J15477"/>
      <c r="K15477" s="1"/>
      <c r="L15477" s="2"/>
    </row>
    <row r="15478" spans="1:12" x14ac:dyDescent="0.2">
      <c r="A15478"/>
      <c r="B15478"/>
      <c r="C15478"/>
      <c r="D15478"/>
      <c r="E15478"/>
      <c r="F15478"/>
      <c r="G15478"/>
      <c r="H15478"/>
      <c r="I15478"/>
      <c r="J15478"/>
      <c r="K15478" s="1"/>
      <c r="L15478" s="2"/>
    </row>
    <row r="15479" spans="1:12" x14ac:dyDescent="0.2">
      <c r="A15479"/>
      <c r="B15479"/>
      <c r="C15479"/>
      <c r="D15479"/>
      <c r="E15479"/>
      <c r="F15479"/>
      <c r="G15479"/>
      <c r="H15479"/>
      <c r="I15479"/>
      <c r="J15479"/>
      <c r="K15479" s="1"/>
      <c r="L15479" s="2"/>
    </row>
    <row r="15480" spans="1:12" x14ac:dyDescent="0.2">
      <c r="A15480"/>
      <c r="B15480"/>
      <c r="C15480"/>
      <c r="D15480"/>
      <c r="E15480"/>
      <c r="F15480"/>
      <c r="G15480"/>
      <c r="H15480"/>
      <c r="I15480"/>
      <c r="J15480"/>
      <c r="K15480" s="1"/>
      <c r="L15480" s="2"/>
    </row>
    <row r="15481" spans="1:12" x14ac:dyDescent="0.2">
      <c r="A15481"/>
      <c r="B15481"/>
      <c r="C15481"/>
      <c r="D15481"/>
      <c r="E15481"/>
      <c r="F15481"/>
      <c r="G15481"/>
      <c r="H15481"/>
      <c r="I15481"/>
      <c r="J15481"/>
      <c r="K15481" s="1"/>
      <c r="L15481" s="2"/>
    </row>
    <row r="15482" spans="1:12" x14ac:dyDescent="0.2">
      <c r="A15482"/>
      <c r="B15482"/>
      <c r="C15482"/>
      <c r="D15482"/>
      <c r="E15482"/>
      <c r="F15482"/>
      <c r="G15482"/>
      <c r="H15482"/>
      <c r="I15482"/>
      <c r="J15482"/>
      <c r="K15482" s="1"/>
      <c r="L15482" s="2"/>
    </row>
    <row r="15483" spans="1:12" x14ac:dyDescent="0.2">
      <c r="A15483"/>
      <c r="B15483"/>
      <c r="C15483"/>
      <c r="D15483"/>
      <c r="E15483"/>
      <c r="F15483"/>
      <c r="G15483"/>
      <c r="H15483"/>
      <c r="I15483"/>
      <c r="J15483"/>
      <c r="K15483" s="1"/>
      <c r="L15483" s="2"/>
    </row>
    <row r="15484" spans="1:12" x14ac:dyDescent="0.2">
      <c r="A15484"/>
      <c r="B15484"/>
      <c r="C15484"/>
      <c r="D15484"/>
      <c r="E15484"/>
      <c r="F15484"/>
      <c r="G15484"/>
      <c r="H15484"/>
      <c r="I15484"/>
      <c r="J15484"/>
      <c r="K15484" s="1"/>
      <c r="L15484" s="2"/>
    </row>
    <row r="15485" spans="1:12" x14ac:dyDescent="0.2">
      <c r="A15485"/>
      <c r="B15485"/>
      <c r="C15485"/>
      <c r="D15485"/>
      <c r="E15485"/>
      <c r="F15485"/>
      <c r="G15485"/>
      <c r="H15485"/>
      <c r="I15485"/>
      <c r="J15485"/>
      <c r="K15485" s="1"/>
      <c r="L15485" s="2"/>
    </row>
    <row r="15486" spans="1:12" x14ac:dyDescent="0.2">
      <c r="A15486"/>
      <c r="B15486"/>
      <c r="C15486"/>
      <c r="D15486"/>
      <c r="E15486"/>
      <c r="F15486"/>
      <c r="G15486"/>
      <c r="H15486"/>
      <c r="I15486"/>
      <c r="J15486"/>
      <c r="K15486" s="1"/>
      <c r="L15486" s="2"/>
    </row>
    <row r="15487" spans="1:12" x14ac:dyDescent="0.2">
      <c r="A15487"/>
      <c r="B15487"/>
      <c r="C15487"/>
      <c r="D15487"/>
      <c r="E15487"/>
      <c r="F15487"/>
      <c r="G15487"/>
      <c r="H15487"/>
      <c r="I15487"/>
      <c r="J15487"/>
      <c r="K15487" s="1"/>
      <c r="L15487" s="2"/>
    </row>
    <row r="15488" spans="1:12" x14ac:dyDescent="0.2">
      <c r="A15488"/>
      <c r="B15488"/>
      <c r="C15488"/>
      <c r="D15488"/>
      <c r="E15488"/>
      <c r="F15488"/>
      <c r="G15488"/>
      <c r="H15488"/>
      <c r="I15488"/>
      <c r="J15488"/>
      <c r="K15488" s="1"/>
      <c r="L15488" s="2"/>
    </row>
    <row r="15489" spans="1:12" x14ac:dyDescent="0.2">
      <c r="A15489"/>
      <c r="B15489"/>
      <c r="C15489"/>
      <c r="D15489"/>
      <c r="E15489"/>
      <c r="F15489"/>
      <c r="G15489"/>
      <c r="H15489"/>
      <c r="I15489"/>
      <c r="J15489"/>
      <c r="K15489" s="1"/>
      <c r="L15489" s="2"/>
    </row>
    <row r="15490" spans="1:12" x14ac:dyDescent="0.2">
      <c r="A15490"/>
      <c r="B15490"/>
      <c r="C15490"/>
      <c r="D15490"/>
      <c r="E15490"/>
      <c r="F15490"/>
      <c r="G15490"/>
      <c r="H15490"/>
      <c r="I15490"/>
      <c r="J15490"/>
      <c r="K15490" s="1"/>
      <c r="L15490" s="2"/>
    </row>
    <row r="15491" spans="1:12" x14ac:dyDescent="0.2">
      <c r="A15491"/>
      <c r="B15491"/>
      <c r="C15491"/>
      <c r="D15491"/>
      <c r="E15491"/>
      <c r="F15491"/>
      <c r="G15491"/>
      <c r="H15491"/>
      <c r="I15491"/>
      <c r="J15491"/>
      <c r="K15491" s="1"/>
      <c r="L15491" s="2"/>
    </row>
    <row r="15492" spans="1:12" x14ac:dyDescent="0.2">
      <c r="A15492"/>
      <c r="B15492"/>
      <c r="C15492"/>
      <c r="D15492"/>
      <c r="E15492"/>
      <c r="F15492"/>
      <c r="G15492"/>
      <c r="H15492"/>
      <c r="I15492"/>
      <c r="J15492"/>
      <c r="K15492" s="1"/>
      <c r="L15492" s="2"/>
    </row>
    <row r="15493" spans="1:12" x14ac:dyDescent="0.2">
      <c r="A15493"/>
      <c r="B15493"/>
      <c r="C15493"/>
      <c r="D15493"/>
      <c r="E15493"/>
      <c r="F15493"/>
      <c r="G15493"/>
      <c r="H15493"/>
      <c r="I15493"/>
      <c r="J15493"/>
      <c r="K15493" s="1"/>
      <c r="L15493" s="2"/>
    </row>
    <row r="15494" spans="1:12" x14ac:dyDescent="0.2">
      <c r="A15494"/>
      <c r="B15494"/>
      <c r="C15494"/>
      <c r="D15494"/>
      <c r="E15494"/>
      <c r="F15494"/>
      <c r="G15494"/>
      <c r="H15494"/>
      <c r="I15494"/>
      <c r="J15494"/>
      <c r="K15494" s="1"/>
      <c r="L15494" s="2"/>
    </row>
    <row r="15495" spans="1:12" x14ac:dyDescent="0.2">
      <c r="A15495"/>
      <c r="B15495"/>
      <c r="C15495"/>
      <c r="D15495"/>
      <c r="E15495"/>
      <c r="F15495"/>
      <c r="G15495"/>
      <c r="H15495"/>
      <c r="I15495"/>
      <c r="J15495"/>
      <c r="K15495" s="1"/>
      <c r="L15495" s="2"/>
    </row>
    <row r="15496" spans="1:12" x14ac:dyDescent="0.2">
      <c r="A15496"/>
      <c r="B15496"/>
      <c r="C15496"/>
      <c r="D15496"/>
      <c r="E15496"/>
      <c r="F15496"/>
      <c r="G15496"/>
      <c r="H15496"/>
      <c r="I15496"/>
      <c r="J15496"/>
      <c r="K15496" s="1"/>
      <c r="L15496" s="2"/>
    </row>
    <row r="15497" spans="1:12" x14ac:dyDescent="0.2">
      <c r="A15497"/>
      <c r="B15497"/>
      <c r="C15497"/>
      <c r="D15497"/>
      <c r="E15497"/>
      <c r="F15497"/>
      <c r="G15497"/>
      <c r="H15497"/>
      <c r="I15497"/>
      <c r="J15497"/>
      <c r="K15497" s="1"/>
      <c r="L15497" s="2"/>
    </row>
    <row r="15498" spans="1:12" x14ac:dyDescent="0.2">
      <c r="A15498"/>
      <c r="B15498"/>
      <c r="C15498"/>
      <c r="D15498"/>
      <c r="E15498"/>
      <c r="F15498"/>
      <c r="G15498"/>
      <c r="H15498"/>
      <c r="I15498"/>
      <c r="J15498"/>
      <c r="K15498" s="1"/>
      <c r="L15498" s="2"/>
    </row>
    <row r="15499" spans="1:12" x14ac:dyDescent="0.2">
      <c r="A15499"/>
      <c r="B15499"/>
      <c r="C15499"/>
      <c r="D15499"/>
      <c r="E15499"/>
      <c r="F15499"/>
      <c r="G15499"/>
      <c r="H15499"/>
      <c r="I15499"/>
      <c r="J15499"/>
      <c r="K15499" s="1"/>
      <c r="L15499" s="2"/>
    </row>
    <row r="15500" spans="1:12" x14ac:dyDescent="0.2">
      <c r="A15500"/>
      <c r="B15500"/>
      <c r="C15500"/>
      <c r="D15500"/>
      <c r="E15500"/>
      <c r="F15500"/>
      <c r="G15500"/>
      <c r="H15500"/>
      <c r="I15500"/>
      <c r="J15500"/>
      <c r="K15500" s="1"/>
      <c r="L15500" s="2"/>
    </row>
    <row r="15501" spans="1:12" x14ac:dyDescent="0.2">
      <c r="A15501"/>
      <c r="B15501"/>
      <c r="C15501"/>
      <c r="D15501"/>
      <c r="E15501"/>
      <c r="F15501"/>
      <c r="G15501"/>
      <c r="H15501"/>
      <c r="I15501"/>
      <c r="J15501"/>
      <c r="K15501" s="1"/>
      <c r="L15501" s="2"/>
    </row>
    <row r="15502" spans="1:12" x14ac:dyDescent="0.2">
      <c r="A15502"/>
      <c r="B15502"/>
      <c r="C15502"/>
      <c r="D15502"/>
      <c r="E15502"/>
      <c r="F15502"/>
      <c r="G15502"/>
      <c r="H15502"/>
      <c r="I15502"/>
      <c r="J15502"/>
      <c r="K15502" s="1"/>
      <c r="L15502" s="2"/>
    </row>
    <row r="15503" spans="1:12" x14ac:dyDescent="0.2">
      <c r="A15503"/>
      <c r="B15503"/>
      <c r="C15503"/>
      <c r="D15503"/>
      <c r="E15503"/>
      <c r="F15503"/>
      <c r="G15503"/>
      <c r="H15503"/>
      <c r="I15503"/>
      <c r="J15503"/>
      <c r="K15503" s="1"/>
      <c r="L15503" s="2"/>
    </row>
    <row r="15504" spans="1:12" x14ac:dyDescent="0.2">
      <c r="A15504"/>
      <c r="B15504"/>
      <c r="C15504"/>
      <c r="D15504"/>
      <c r="E15504"/>
      <c r="F15504"/>
      <c r="G15504"/>
      <c r="H15504"/>
      <c r="I15504"/>
      <c r="J15504"/>
      <c r="K15504" s="1"/>
      <c r="L15504" s="2"/>
    </row>
    <row r="15505" spans="1:12" x14ac:dyDescent="0.2">
      <c r="A15505"/>
      <c r="B15505"/>
      <c r="C15505"/>
      <c r="D15505"/>
      <c r="E15505"/>
      <c r="F15505"/>
      <c r="G15505"/>
      <c r="H15505"/>
      <c r="I15505"/>
      <c r="J15505"/>
      <c r="K15505" s="1"/>
      <c r="L15505" s="2"/>
    </row>
    <row r="15506" spans="1:12" x14ac:dyDescent="0.2">
      <c r="A15506"/>
      <c r="B15506"/>
      <c r="C15506"/>
      <c r="D15506"/>
      <c r="E15506"/>
      <c r="F15506"/>
      <c r="G15506"/>
      <c r="H15506"/>
      <c r="I15506"/>
      <c r="J15506"/>
      <c r="K15506" s="1"/>
      <c r="L15506" s="2"/>
    </row>
    <row r="15507" spans="1:12" x14ac:dyDescent="0.2">
      <c r="A15507"/>
      <c r="B15507"/>
      <c r="C15507"/>
      <c r="D15507"/>
      <c r="E15507"/>
      <c r="F15507"/>
      <c r="G15507"/>
      <c r="H15507"/>
      <c r="I15507"/>
      <c r="J15507"/>
      <c r="K15507" s="1"/>
      <c r="L15507" s="2"/>
    </row>
    <row r="15508" spans="1:12" x14ac:dyDescent="0.2">
      <c r="A15508"/>
      <c r="B15508"/>
      <c r="C15508"/>
      <c r="D15508"/>
      <c r="E15508"/>
      <c r="F15508"/>
      <c r="G15508"/>
      <c r="H15508"/>
      <c r="I15508"/>
      <c r="J15508"/>
      <c r="K15508" s="1"/>
      <c r="L15508" s="2"/>
    </row>
    <row r="15509" spans="1:12" x14ac:dyDescent="0.2">
      <c r="A15509"/>
      <c r="B15509"/>
      <c r="C15509"/>
      <c r="D15509"/>
      <c r="E15509"/>
      <c r="F15509"/>
      <c r="G15509"/>
      <c r="H15509"/>
      <c r="I15509"/>
      <c r="J15509"/>
      <c r="K15509" s="1"/>
      <c r="L15509" s="2"/>
    </row>
    <row r="15510" spans="1:12" x14ac:dyDescent="0.2">
      <c r="A15510"/>
      <c r="B15510"/>
      <c r="C15510"/>
      <c r="D15510"/>
      <c r="E15510"/>
      <c r="F15510"/>
      <c r="G15510"/>
      <c r="H15510"/>
      <c r="I15510"/>
      <c r="J15510"/>
      <c r="K15510" s="1"/>
      <c r="L15510" s="2"/>
    </row>
    <row r="15511" spans="1:12" x14ac:dyDescent="0.2">
      <c r="A15511"/>
      <c r="B15511"/>
      <c r="C15511"/>
      <c r="D15511"/>
      <c r="E15511"/>
      <c r="F15511"/>
      <c r="G15511"/>
      <c r="H15511"/>
      <c r="I15511"/>
      <c r="J15511"/>
      <c r="K15511" s="1"/>
      <c r="L15511" s="2"/>
    </row>
    <row r="15512" spans="1:12" x14ac:dyDescent="0.2">
      <c r="A15512"/>
      <c r="B15512"/>
      <c r="C15512"/>
      <c r="D15512"/>
      <c r="E15512"/>
      <c r="F15512"/>
      <c r="G15512"/>
      <c r="H15512"/>
      <c r="I15512"/>
      <c r="J15512"/>
      <c r="K15512" s="1"/>
      <c r="L15512" s="2"/>
    </row>
    <row r="15513" spans="1:12" x14ac:dyDescent="0.2">
      <c r="A15513"/>
      <c r="B15513"/>
      <c r="C15513"/>
      <c r="D15513"/>
      <c r="E15513"/>
      <c r="F15513"/>
      <c r="G15513"/>
      <c r="H15513"/>
      <c r="I15513"/>
      <c r="J15513"/>
      <c r="K15513" s="1"/>
      <c r="L15513" s="2"/>
    </row>
    <row r="15514" spans="1:12" x14ac:dyDescent="0.2">
      <c r="A15514"/>
      <c r="B15514"/>
      <c r="C15514"/>
      <c r="D15514"/>
      <c r="E15514"/>
      <c r="F15514"/>
      <c r="G15514"/>
      <c r="H15514"/>
      <c r="I15514"/>
      <c r="J15514"/>
      <c r="K15514" s="1"/>
      <c r="L15514" s="2"/>
    </row>
    <row r="15515" spans="1:12" x14ac:dyDescent="0.2">
      <c r="A15515"/>
      <c r="B15515"/>
      <c r="C15515"/>
      <c r="D15515"/>
      <c r="E15515"/>
      <c r="F15515"/>
      <c r="G15515"/>
      <c r="H15515"/>
      <c r="I15515"/>
      <c r="J15515"/>
      <c r="K15515" s="1"/>
      <c r="L15515" s="2"/>
    </row>
    <row r="15516" spans="1:12" x14ac:dyDescent="0.2">
      <c r="A15516"/>
      <c r="B15516"/>
      <c r="C15516"/>
      <c r="D15516"/>
      <c r="E15516"/>
      <c r="F15516"/>
      <c r="G15516"/>
      <c r="H15516"/>
      <c r="I15516"/>
      <c r="J15516"/>
      <c r="K15516" s="1"/>
      <c r="L15516" s="2"/>
    </row>
    <row r="15517" spans="1:12" x14ac:dyDescent="0.2">
      <c r="A15517"/>
      <c r="B15517"/>
      <c r="C15517"/>
      <c r="D15517"/>
      <c r="E15517"/>
      <c r="F15517"/>
      <c r="G15517"/>
      <c r="H15517"/>
      <c r="I15517"/>
      <c r="J15517"/>
      <c r="K15517" s="1"/>
      <c r="L15517" s="2"/>
    </row>
    <row r="15518" spans="1:12" x14ac:dyDescent="0.2">
      <c r="A15518"/>
      <c r="B15518"/>
      <c r="C15518"/>
      <c r="D15518"/>
      <c r="E15518"/>
      <c r="F15518"/>
      <c r="G15518"/>
      <c r="H15518"/>
      <c r="I15518"/>
      <c r="J15518"/>
      <c r="K15518" s="1"/>
      <c r="L15518" s="2"/>
    </row>
    <row r="15519" spans="1:12" x14ac:dyDescent="0.2">
      <c r="A15519"/>
      <c r="B15519"/>
      <c r="C15519"/>
      <c r="D15519"/>
      <c r="E15519"/>
      <c r="F15519"/>
      <c r="G15519"/>
      <c r="H15519"/>
      <c r="I15519"/>
      <c r="J15519"/>
      <c r="K15519" s="1"/>
      <c r="L15519" s="2"/>
    </row>
    <row r="15520" spans="1:12" x14ac:dyDescent="0.2">
      <c r="A15520"/>
      <c r="B15520"/>
      <c r="C15520"/>
      <c r="D15520"/>
      <c r="E15520"/>
      <c r="F15520"/>
      <c r="G15520"/>
      <c r="H15520"/>
      <c r="I15520"/>
      <c r="J15520"/>
      <c r="K15520" s="1"/>
      <c r="L15520" s="2"/>
    </row>
    <row r="15521" spans="1:12" x14ac:dyDescent="0.2">
      <c r="A15521"/>
      <c r="B15521"/>
      <c r="C15521"/>
      <c r="D15521"/>
      <c r="E15521"/>
      <c r="F15521"/>
      <c r="G15521"/>
      <c r="H15521"/>
      <c r="I15521"/>
      <c r="J15521"/>
      <c r="K15521" s="1"/>
      <c r="L15521" s="2"/>
    </row>
    <row r="15522" spans="1:12" x14ac:dyDescent="0.2">
      <c r="A15522"/>
      <c r="B15522"/>
      <c r="C15522"/>
      <c r="D15522"/>
      <c r="E15522"/>
      <c r="F15522"/>
      <c r="G15522"/>
      <c r="H15522"/>
      <c r="I15522"/>
      <c r="J15522"/>
      <c r="K15522" s="1"/>
      <c r="L15522" s="2"/>
    </row>
    <row r="15523" spans="1:12" x14ac:dyDescent="0.2">
      <c r="A15523"/>
      <c r="B15523"/>
      <c r="C15523"/>
      <c r="D15523"/>
      <c r="E15523"/>
      <c r="F15523"/>
      <c r="G15523"/>
      <c r="H15523"/>
      <c r="I15523"/>
      <c r="J15523"/>
      <c r="K15523" s="1"/>
      <c r="L15523" s="2"/>
    </row>
    <row r="15524" spans="1:12" x14ac:dyDescent="0.2">
      <c r="A15524"/>
      <c r="B15524"/>
      <c r="C15524"/>
      <c r="D15524"/>
      <c r="E15524"/>
      <c r="F15524"/>
      <c r="G15524"/>
      <c r="H15524"/>
      <c r="I15524"/>
      <c r="J15524"/>
      <c r="K15524" s="1"/>
      <c r="L15524" s="2"/>
    </row>
    <row r="15525" spans="1:12" x14ac:dyDescent="0.2">
      <c r="A15525"/>
      <c r="B15525"/>
      <c r="C15525"/>
      <c r="D15525"/>
      <c r="E15525"/>
      <c r="F15525"/>
      <c r="G15525"/>
      <c r="H15525"/>
      <c r="I15525"/>
      <c r="J15525"/>
      <c r="K15525" s="1"/>
      <c r="L15525" s="2"/>
    </row>
    <row r="15526" spans="1:12" x14ac:dyDescent="0.2">
      <c r="A15526"/>
      <c r="B15526"/>
      <c r="C15526"/>
      <c r="D15526"/>
      <c r="E15526"/>
      <c r="F15526"/>
      <c r="G15526"/>
      <c r="H15526"/>
      <c r="I15526"/>
      <c r="J15526"/>
      <c r="K15526" s="1"/>
      <c r="L15526" s="2"/>
    </row>
    <row r="15527" spans="1:12" x14ac:dyDescent="0.2">
      <c r="A15527"/>
      <c r="B15527"/>
      <c r="C15527"/>
      <c r="D15527"/>
      <c r="E15527"/>
      <c r="F15527"/>
      <c r="G15527"/>
      <c r="H15527"/>
      <c r="I15527"/>
      <c r="J15527"/>
      <c r="K15527" s="1"/>
      <c r="L15527" s="2"/>
    </row>
    <row r="15528" spans="1:12" x14ac:dyDescent="0.2">
      <c r="A15528"/>
      <c r="B15528"/>
      <c r="C15528"/>
      <c r="D15528"/>
      <c r="E15528"/>
      <c r="F15528"/>
      <c r="G15528"/>
      <c r="H15528"/>
      <c r="I15528"/>
      <c r="J15528"/>
      <c r="K15528" s="1"/>
      <c r="L15528" s="2"/>
    </row>
    <row r="15529" spans="1:12" x14ac:dyDescent="0.2">
      <c r="A15529"/>
      <c r="B15529"/>
      <c r="C15529"/>
      <c r="D15529"/>
      <c r="E15529"/>
      <c r="F15529"/>
      <c r="G15529"/>
      <c r="H15529"/>
      <c r="I15529"/>
      <c r="J15529"/>
      <c r="K15529" s="1"/>
      <c r="L15529" s="2"/>
    </row>
    <row r="15530" spans="1:12" x14ac:dyDescent="0.2">
      <c r="A15530"/>
      <c r="B15530"/>
      <c r="C15530"/>
      <c r="D15530"/>
      <c r="E15530"/>
      <c r="F15530"/>
      <c r="G15530"/>
      <c r="H15530"/>
      <c r="I15530"/>
      <c r="J15530"/>
      <c r="K15530" s="1"/>
      <c r="L15530" s="2"/>
    </row>
    <row r="15531" spans="1:12" x14ac:dyDescent="0.2">
      <c r="A15531"/>
      <c r="B15531"/>
      <c r="C15531"/>
      <c r="D15531"/>
      <c r="E15531"/>
      <c r="F15531"/>
      <c r="G15531"/>
      <c r="H15531"/>
      <c r="I15531"/>
      <c r="J15531"/>
      <c r="K15531" s="1"/>
      <c r="L15531" s="2"/>
    </row>
    <row r="15532" spans="1:12" x14ac:dyDescent="0.2">
      <c r="A15532"/>
      <c r="B15532"/>
      <c r="C15532"/>
      <c r="D15532"/>
      <c r="E15532"/>
      <c r="F15532"/>
      <c r="G15532"/>
      <c r="H15532"/>
      <c r="I15532"/>
      <c r="J15532"/>
      <c r="K15532" s="1"/>
      <c r="L15532" s="2"/>
    </row>
    <row r="15533" spans="1:12" x14ac:dyDescent="0.2">
      <c r="A15533"/>
      <c r="B15533"/>
      <c r="C15533"/>
      <c r="D15533"/>
      <c r="E15533"/>
      <c r="F15533"/>
      <c r="G15533"/>
      <c r="H15533"/>
      <c r="I15533"/>
      <c r="J15533"/>
      <c r="K15533" s="1"/>
      <c r="L15533" s="2"/>
    </row>
    <row r="15534" spans="1:12" x14ac:dyDescent="0.2">
      <c r="A15534"/>
      <c r="B15534"/>
      <c r="C15534"/>
      <c r="D15534"/>
      <c r="E15534"/>
      <c r="F15534"/>
      <c r="G15534"/>
      <c r="H15534"/>
      <c r="I15534"/>
      <c r="J15534"/>
      <c r="K15534" s="1"/>
      <c r="L15534" s="2"/>
    </row>
    <row r="15535" spans="1:12" x14ac:dyDescent="0.2">
      <c r="A15535"/>
      <c r="B15535"/>
      <c r="C15535"/>
      <c r="D15535"/>
      <c r="E15535"/>
      <c r="F15535"/>
      <c r="G15535"/>
      <c r="H15535"/>
      <c r="I15535"/>
      <c r="J15535"/>
      <c r="K15535" s="1"/>
      <c r="L15535" s="2"/>
    </row>
    <row r="15536" spans="1:12" x14ac:dyDescent="0.2">
      <c r="A15536"/>
      <c r="B15536"/>
      <c r="C15536"/>
      <c r="D15536"/>
      <c r="E15536"/>
      <c r="F15536"/>
      <c r="G15536"/>
      <c r="H15536"/>
      <c r="I15536"/>
      <c r="J15536"/>
      <c r="K15536" s="1"/>
      <c r="L15536" s="2"/>
    </row>
    <row r="15537" spans="1:12" x14ac:dyDescent="0.2">
      <c r="A15537"/>
      <c r="B15537"/>
      <c r="C15537"/>
      <c r="D15537"/>
      <c r="E15537"/>
      <c r="F15537"/>
      <c r="G15537"/>
      <c r="H15537"/>
      <c r="I15537"/>
      <c r="J15537"/>
      <c r="K15537" s="1"/>
      <c r="L15537" s="2"/>
    </row>
    <row r="15538" spans="1:12" x14ac:dyDescent="0.2">
      <c r="A15538"/>
      <c r="B15538"/>
      <c r="C15538"/>
      <c r="D15538"/>
      <c r="E15538"/>
      <c r="F15538"/>
      <c r="G15538"/>
      <c r="H15538"/>
      <c r="I15538"/>
      <c r="J15538"/>
      <c r="K15538" s="1"/>
      <c r="L15538" s="2"/>
    </row>
    <row r="15539" spans="1:12" x14ac:dyDescent="0.2">
      <c r="A15539"/>
      <c r="B15539"/>
      <c r="C15539"/>
      <c r="D15539"/>
      <c r="E15539"/>
      <c r="F15539"/>
      <c r="G15539"/>
      <c r="H15539"/>
      <c r="I15539"/>
      <c r="J15539"/>
      <c r="K15539" s="1"/>
      <c r="L15539" s="2"/>
    </row>
    <row r="15540" spans="1:12" x14ac:dyDescent="0.2">
      <c r="A15540"/>
      <c r="B15540"/>
      <c r="C15540"/>
      <c r="D15540"/>
      <c r="E15540"/>
      <c r="F15540"/>
      <c r="G15540"/>
      <c r="H15540"/>
      <c r="I15540"/>
      <c r="J15540"/>
      <c r="K15540" s="1"/>
      <c r="L15540" s="2"/>
    </row>
    <row r="15541" spans="1:12" x14ac:dyDescent="0.2">
      <c r="A15541"/>
      <c r="B15541"/>
      <c r="C15541"/>
      <c r="D15541"/>
      <c r="E15541"/>
      <c r="F15541"/>
      <c r="G15541"/>
      <c r="H15541"/>
      <c r="I15541"/>
      <c r="J15541"/>
      <c r="K15541" s="1"/>
      <c r="L15541" s="2"/>
    </row>
    <row r="15542" spans="1:12" x14ac:dyDescent="0.2">
      <c r="A15542"/>
      <c r="B15542"/>
      <c r="C15542"/>
      <c r="D15542"/>
      <c r="E15542"/>
      <c r="F15542"/>
      <c r="G15542"/>
      <c r="H15542"/>
      <c r="I15542"/>
      <c r="J15542"/>
      <c r="K15542" s="1"/>
      <c r="L15542" s="2"/>
    </row>
    <row r="15543" spans="1:12" x14ac:dyDescent="0.2">
      <c r="A15543"/>
      <c r="B15543"/>
      <c r="C15543"/>
      <c r="D15543"/>
      <c r="E15543"/>
      <c r="F15543"/>
      <c r="G15543"/>
      <c r="H15543"/>
      <c r="I15543"/>
      <c r="J15543"/>
      <c r="K15543" s="1"/>
      <c r="L15543" s="2"/>
    </row>
    <row r="15544" spans="1:12" x14ac:dyDescent="0.2">
      <c r="A15544"/>
      <c r="B15544"/>
      <c r="C15544"/>
      <c r="D15544"/>
      <c r="E15544"/>
      <c r="F15544"/>
      <c r="G15544"/>
      <c r="H15544"/>
      <c r="I15544"/>
      <c r="J15544"/>
      <c r="K15544" s="1"/>
      <c r="L15544" s="2"/>
    </row>
    <row r="15545" spans="1:12" x14ac:dyDescent="0.2">
      <c r="A15545"/>
      <c r="B15545"/>
      <c r="C15545"/>
      <c r="D15545"/>
      <c r="E15545"/>
      <c r="F15545"/>
      <c r="G15545"/>
      <c r="H15545"/>
      <c r="I15545"/>
      <c r="J15545"/>
      <c r="K15545" s="1"/>
      <c r="L15545" s="2"/>
    </row>
    <row r="15546" spans="1:12" x14ac:dyDescent="0.2">
      <c r="A15546"/>
      <c r="B15546"/>
      <c r="C15546"/>
      <c r="D15546"/>
      <c r="E15546"/>
      <c r="F15546"/>
      <c r="G15546"/>
      <c r="H15546"/>
      <c r="I15546"/>
      <c r="J15546"/>
      <c r="K15546" s="1"/>
      <c r="L15546" s="2"/>
    </row>
    <row r="15547" spans="1:12" x14ac:dyDescent="0.2">
      <c r="A15547"/>
      <c r="B15547"/>
      <c r="C15547"/>
      <c r="D15547"/>
      <c r="E15547"/>
      <c r="F15547"/>
      <c r="G15547"/>
      <c r="H15547"/>
      <c r="I15547"/>
      <c r="J15547"/>
      <c r="K15547" s="1"/>
      <c r="L15547" s="2"/>
    </row>
    <row r="15548" spans="1:12" x14ac:dyDescent="0.2">
      <c r="A15548"/>
      <c r="B15548"/>
      <c r="C15548"/>
      <c r="D15548"/>
      <c r="E15548"/>
      <c r="F15548"/>
      <c r="G15548"/>
      <c r="H15548"/>
      <c r="I15548"/>
      <c r="J15548"/>
      <c r="K15548" s="1"/>
      <c r="L15548" s="2"/>
    </row>
    <row r="15549" spans="1:12" x14ac:dyDescent="0.2">
      <c r="A15549"/>
      <c r="B15549"/>
      <c r="C15549"/>
      <c r="D15549"/>
      <c r="E15549"/>
      <c r="F15549"/>
      <c r="G15549"/>
      <c r="H15549"/>
      <c r="I15549"/>
      <c r="J15549"/>
      <c r="K15549" s="1"/>
      <c r="L15549" s="2"/>
    </row>
    <row r="15550" spans="1:12" x14ac:dyDescent="0.2">
      <c r="A15550"/>
      <c r="B15550"/>
      <c r="C15550"/>
      <c r="D15550"/>
      <c r="E15550"/>
      <c r="F15550"/>
      <c r="G15550"/>
      <c r="H15550"/>
      <c r="I15550"/>
      <c r="J15550"/>
      <c r="K15550" s="1"/>
      <c r="L15550" s="2"/>
    </row>
    <row r="15551" spans="1:12" x14ac:dyDescent="0.2">
      <c r="A15551"/>
      <c r="B15551"/>
      <c r="C15551"/>
      <c r="D15551"/>
      <c r="E15551"/>
      <c r="F15551"/>
      <c r="G15551"/>
      <c r="H15551"/>
      <c r="I15551"/>
      <c r="J15551"/>
      <c r="K15551" s="1"/>
      <c r="L15551" s="2"/>
    </row>
    <row r="15552" spans="1:12" x14ac:dyDescent="0.2">
      <c r="A15552"/>
      <c r="B15552"/>
      <c r="C15552"/>
      <c r="D15552"/>
      <c r="E15552"/>
      <c r="F15552"/>
      <c r="G15552"/>
      <c r="H15552"/>
      <c r="I15552"/>
      <c r="J15552"/>
      <c r="K15552" s="1"/>
      <c r="L15552" s="2"/>
    </row>
    <row r="15553" spans="1:12" x14ac:dyDescent="0.2">
      <c r="A15553"/>
      <c r="B15553"/>
      <c r="C15553"/>
      <c r="D15553"/>
      <c r="E15553"/>
      <c r="F15553"/>
      <c r="G15553"/>
      <c r="H15553"/>
      <c r="I15553"/>
      <c r="J15553"/>
      <c r="K15553" s="1"/>
      <c r="L15553" s="2"/>
    </row>
    <row r="15554" spans="1:12" x14ac:dyDescent="0.2">
      <c r="A15554"/>
      <c r="B15554"/>
      <c r="C15554"/>
      <c r="D15554"/>
      <c r="E15554"/>
      <c r="F15554"/>
      <c r="G15554"/>
      <c r="H15554"/>
      <c r="I15554"/>
      <c r="J15554"/>
      <c r="K15554" s="1"/>
      <c r="L15554" s="2"/>
    </row>
    <row r="15555" spans="1:12" x14ac:dyDescent="0.2">
      <c r="A15555"/>
      <c r="B15555"/>
      <c r="C15555"/>
      <c r="D15555"/>
      <c r="E15555"/>
      <c r="F15555"/>
      <c r="G15555"/>
      <c r="H15555"/>
      <c r="I15555"/>
      <c r="J15555"/>
      <c r="K15555" s="1"/>
      <c r="L15555" s="2"/>
    </row>
    <row r="15556" spans="1:12" x14ac:dyDescent="0.2">
      <c r="A15556"/>
      <c r="B15556"/>
      <c r="C15556"/>
      <c r="D15556"/>
      <c r="E15556"/>
      <c r="F15556"/>
      <c r="G15556"/>
      <c r="H15556"/>
      <c r="I15556"/>
      <c r="J15556"/>
      <c r="K15556" s="1"/>
      <c r="L15556" s="2"/>
    </row>
    <row r="15557" spans="1:12" x14ac:dyDescent="0.2">
      <c r="A15557"/>
      <c r="B15557"/>
      <c r="C15557"/>
      <c r="D15557"/>
      <c r="E15557"/>
      <c r="F15557"/>
      <c r="G15557"/>
      <c r="H15557"/>
      <c r="I15557"/>
      <c r="J15557"/>
      <c r="K15557" s="1"/>
      <c r="L15557" s="2"/>
    </row>
    <row r="15558" spans="1:12" x14ac:dyDescent="0.2">
      <c r="A15558"/>
      <c r="B15558"/>
      <c r="C15558"/>
      <c r="D15558"/>
      <c r="E15558"/>
      <c r="F15558"/>
      <c r="G15558"/>
      <c r="H15558"/>
      <c r="I15558"/>
      <c r="J15558"/>
      <c r="K15558" s="1"/>
      <c r="L15558" s="2"/>
    </row>
    <row r="15559" spans="1:12" x14ac:dyDescent="0.2">
      <c r="A15559"/>
      <c r="B15559"/>
      <c r="C15559"/>
      <c r="D15559"/>
      <c r="E15559"/>
      <c r="F15559"/>
      <c r="G15559"/>
      <c r="H15559"/>
      <c r="I15559"/>
      <c r="J15559"/>
      <c r="K15559" s="1"/>
      <c r="L15559" s="2"/>
    </row>
    <row r="15560" spans="1:12" x14ac:dyDescent="0.2">
      <c r="A15560"/>
      <c r="B15560"/>
      <c r="C15560"/>
      <c r="D15560"/>
      <c r="E15560"/>
      <c r="F15560"/>
      <c r="G15560"/>
      <c r="H15560"/>
      <c r="I15560"/>
      <c r="J15560"/>
      <c r="K15560" s="1"/>
      <c r="L15560" s="2"/>
    </row>
    <row r="15561" spans="1:12" x14ac:dyDescent="0.2">
      <c r="A15561"/>
      <c r="B15561"/>
      <c r="C15561"/>
      <c r="D15561"/>
      <c r="E15561"/>
      <c r="F15561"/>
      <c r="G15561"/>
      <c r="H15561"/>
      <c r="I15561"/>
      <c r="J15561"/>
      <c r="K15561" s="1"/>
      <c r="L15561" s="2"/>
    </row>
    <row r="15562" spans="1:12" x14ac:dyDescent="0.2">
      <c r="A15562"/>
      <c r="B15562"/>
      <c r="C15562"/>
      <c r="D15562"/>
      <c r="E15562"/>
      <c r="F15562"/>
      <c r="G15562"/>
      <c r="H15562"/>
      <c r="I15562"/>
      <c r="J15562"/>
      <c r="K15562" s="1"/>
      <c r="L15562" s="2"/>
    </row>
    <row r="15563" spans="1:12" x14ac:dyDescent="0.2">
      <c r="A15563"/>
      <c r="B15563"/>
      <c r="C15563"/>
      <c r="D15563"/>
      <c r="E15563"/>
      <c r="F15563"/>
      <c r="G15563"/>
      <c r="H15563"/>
      <c r="I15563"/>
      <c r="J15563"/>
      <c r="K15563" s="1"/>
      <c r="L15563" s="2"/>
    </row>
    <row r="15564" spans="1:12" x14ac:dyDescent="0.2">
      <c r="A15564"/>
      <c r="B15564"/>
      <c r="C15564"/>
      <c r="D15564"/>
      <c r="E15564"/>
      <c r="F15564"/>
      <c r="G15564"/>
      <c r="H15564"/>
      <c r="I15564"/>
      <c r="J15564"/>
      <c r="K15564" s="1"/>
      <c r="L15564" s="2"/>
    </row>
    <row r="15565" spans="1:12" x14ac:dyDescent="0.2">
      <c r="A15565"/>
      <c r="B15565"/>
      <c r="C15565"/>
      <c r="D15565"/>
      <c r="E15565"/>
      <c r="F15565"/>
      <c r="G15565"/>
      <c r="H15565"/>
      <c r="I15565"/>
      <c r="J15565"/>
      <c r="K15565" s="1"/>
      <c r="L15565" s="2"/>
    </row>
    <row r="15566" spans="1:12" x14ac:dyDescent="0.2">
      <c r="A15566"/>
      <c r="B15566"/>
      <c r="C15566"/>
      <c r="D15566"/>
      <c r="E15566"/>
      <c r="F15566"/>
      <c r="G15566"/>
      <c r="H15566"/>
      <c r="I15566"/>
      <c r="J15566"/>
      <c r="K15566" s="1"/>
      <c r="L15566" s="2"/>
    </row>
    <row r="15567" spans="1:12" x14ac:dyDescent="0.2">
      <c r="A15567"/>
      <c r="B15567"/>
      <c r="C15567"/>
      <c r="D15567"/>
      <c r="E15567"/>
      <c r="F15567"/>
      <c r="G15567"/>
      <c r="H15567"/>
      <c r="I15567"/>
      <c r="J15567"/>
      <c r="K15567" s="1"/>
      <c r="L15567" s="2"/>
    </row>
    <row r="15568" spans="1:12" x14ac:dyDescent="0.2">
      <c r="A15568"/>
      <c r="B15568"/>
      <c r="C15568"/>
      <c r="D15568"/>
      <c r="E15568"/>
      <c r="F15568"/>
      <c r="G15568"/>
      <c r="H15568"/>
      <c r="I15568"/>
      <c r="J15568"/>
      <c r="K15568" s="1"/>
      <c r="L15568" s="2"/>
    </row>
    <row r="15569" spans="1:12" x14ac:dyDescent="0.2">
      <c r="A15569"/>
      <c r="B15569"/>
      <c r="C15569"/>
      <c r="D15569"/>
      <c r="E15569"/>
      <c r="F15569"/>
      <c r="G15569"/>
      <c r="H15569"/>
      <c r="I15569"/>
      <c r="J15569"/>
      <c r="K15569" s="1"/>
      <c r="L15569" s="2"/>
    </row>
    <row r="15570" spans="1:12" x14ac:dyDescent="0.2">
      <c r="A15570"/>
      <c r="B15570"/>
      <c r="C15570"/>
      <c r="D15570"/>
      <c r="E15570"/>
      <c r="F15570"/>
      <c r="G15570"/>
      <c r="H15570"/>
      <c r="I15570"/>
      <c r="J15570"/>
      <c r="K15570" s="1"/>
      <c r="L15570" s="2"/>
    </row>
    <row r="15571" spans="1:12" x14ac:dyDescent="0.2">
      <c r="A15571"/>
      <c r="B15571"/>
      <c r="C15571"/>
      <c r="D15571"/>
      <c r="E15571"/>
      <c r="F15571"/>
      <c r="G15571"/>
      <c r="H15571"/>
      <c r="I15571"/>
      <c r="J15571"/>
      <c r="K15571" s="1"/>
      <c r="L15571" s="2"/>
    </row>
    <row r="15572" spans="1:12" x14ac:dyDescent="0.2">
      <c r="A15572"/>
      <c r="B15572"/>
      <c r="C15572"/>
      <c r="D15572"/>
      <c r="E15572"/>
      <c r="F15572"/>
      <c r="G15572"/>
      <c r="H15572"/>
      <c r="I15572"/>
      <c r="J15572"/>
      <c r="K15572" s="1"/>
      <c r="L15572" s="2"/>
    </row>
    <row r="15573" spans="1:12" x14ac:dyDescent="0.2">
      <c r="A15573"/>
      <c r="B15573"/>
      <c r="C15573"/>
      <c r="D15573"/>
      <c r="E15573"/>
      <c r="F15573"/>
      <c r="G15573"/>
      <c r="H15573"/>
      <c r="I15573"/>
      <c r="J15573"/>
      <c r="K15573" s="1"/>
      <c r="L15573" s="2"/>
    </row>
    <row r="15574" spans="1:12" x14ac:dyDescent="0.2">
      <c r="A15574"/>
      <c r="B15574"/>
      <c r="C15574"/>
      <c r="D15574"/>
      <c r="E15574"/>
      <c r="F15574"/>
      <c r="G15574"/>
      <c r="H15574"/>
      <c r="I15574"/>
      <c r="J15574"/>
      <c r="K15574" s="1"/>
      <c r="L15574" s="2"/>
    </row>
    <row r="15575" spans="1:12" x14ac:dyDescent="0.2">
      <c r="A15575"/>
      <c r="B15575"/>
      <c r="C15575"/>
      <c r="D15575"/>
      <c r="E15575"/>
      <c r="F15575"/>
      <c r="G15575"/>
      <c r="H15575"/>
      <c r="I15575"/>
      <c r="J15575"/>
      <c r="K15575" s="1"/>
      <c r="L15575" s="2"/>
    </row>
    <row r="15576" spans="1:12" x14ac:dyDescent="0.2">
      <c r="A15576"/>
      <c r="B15576"/>
      <c r="C15576"/>
      <c r="D15576"/>
      <c r="E15576"/>
      <c r="F15576"/>
      <c r="G15576"/>
      <c r="H15576"/>
      <c r="I15576"/>
      <c r="J15576"/>
      <c r="K15576" s="1"/>
      <c r="L15576" s="2"/>
    </row>
    <row r="15577" spans="1:12" x14ac:dyDescent="0.2">
      <c r="A15577"/>
      <c r="B15577"/>
      <c r="C15577"/>
      <c r="D15577"/>
      <c r="E15577"/>
      <c r="F15577"/>
      <c r="G15577"/>
      <c r="H15577"/>
      <c r="I15577"/>
      <c r="J15577"/>
      <c r="K15577" s="1"/>
      <c r="L15577" s="2"/>
    </row>
    <row r="15578" spans="1:12" x14ac:dyDescent="0.2">
      <c r="A15578"/>
      <c r="B15578"/>
      <c r="C15578"/>
      <c r="D15578"/>
      <c r="E15578"/>
      <c r="F15578"/>
      <c r="G15578"/>
      <c r="H15578"/>
      <c r="I15578"/>
      <c r="J15578"/>
      <c r="K15578" s="1"/>
      <c r="L15578" s="2"/>
    </row>
    <row r="15579" spans="1:12" x14ac:dyDescent="0.2">
      <c r="A15579"/>
      <c r="B15579"/>
      <c r="C15579"/>
      <c r="D15579"/>
      <c r="E15579"/>
      <c r="F15579"/>
      <c r="G15579"/>
      <c r="H15579"/>
      <c r="I15579"/>
      <c r="J15579"/>
      <c r="K15579" s="1"/>
      <c r="L15579" s="2"/>
    </row>
    <row r="15580" spans="1:12" x14ac:dyDescent="0.2">
      <c r="A15580"/>
      <c r="B15580"/>
      <c r="C15580"/>
      <c r="D15580"/>
      <c r="E15580"/>
      <c r="F15580"/>
      <c r="G15580"/>
      <c r="H15580"/>
      <c r="I15580"/>
      <c r="J15580"/>
      <c r="K15580" s="1"/>
      <c r="L15580" s="2"/>
    </row>
    <row r="15581" spans="1:12" x14ac:dyDescent="0.2">
      <c r="A15581"/>
      <c r="B15581"/>
      <c r="C15581"/>
      <c r="D15581"/>
      <c r="E15581"/>
      <c r="F15581"/>
      <c r="G15581"/>
      <c r="H15581"/>
      <c r="I15581"/>
      <c r="J15581"/>
      <c r="K15581" s="1"/>
      <c r="L15581" s="2"/>
    </row>
    <row r="15582" spans="1:12" x14ac:dyDescent="0.2">
      <c r="A15582"/>
      <c r="B15582"/>
      <c r="C15582"/>
      <c r="D15582"/>
      <c r="E15582"/>
      <c r="F15582"/>
      <c r="G15582"/>
      <c r="H15582"/>
      <c r="I15582"/>
      <c r="J15582"/>
      <c r="K15582" s="1"/>
      <c r="L15582" s="2"/>
    </row>
    <row r="15583" spans="1:12" x14ac:dyDescent="0.2">
      <c r="A15583"/>
      <c r="B15583"/>
      <c r="C15583"/>
      <c r="D15583"/>
      <c r="E15583"/>
      <c r="F15583"/>
      <c r="G15583"/>
      <c r="H15583"/>
      <c r="I15583"/>
      <c r="J15583"/>
      <c r="K15583" s="1"/>
      <c r="L15583" s="2"/>
    </row>
    <row r="15584" spans="1:12" x14ac:dyDescent="0.2">
      <c r="A15584"/>
      <c r="B15584"/>
      <c r="C15584"/>
      <c r="D15584"/>
      <c r="E15584"/>
      <c r="F15584"/>
      <c r="G15584"/>
      <c r="H15584"/>
      <c r="I15584"/>
      <c r="J15584"/>
      <c r="K15584" s="1"/>
      <c r="L15584" s="2"/>
    </row>
    <row r="15585" spans="1:12" x14ac:dyDescent="0.2">
      <c r="A15585"/>
      <c r="B15585"/>
      <c r="C15585"/>
      <c r="D15585"/>
      <c r="E15585"/>
      <c r="F15585"/>
      <c r="G15585"/>
      <c r="H15585"/>
      <c r="I15585"/>
      <c r="J15585"/>
      <c r="K15585" s="1"/>
      <c r="L15585" s="2"/>
    </row>
    <row r="15586" spans="1:12" x14ac:dyDescent="0.2">
      <c r="A15586"/>
      <c r="B15586"/>
      <c r="C15586"/>
      <c r="D15586"/>
      <c r="E15586"/>
      <c r="F15586"/>
      <c r="G15586"/>
      <c r="H15586"/>
      <c r="I15586"/>
      <c r="J15586"/>
      <c r="K15586" s="1"/>
      <c r="L15586" s="2"/>
    </row>
    <row r="15587" spans="1:12" x14ac:dyDescent="0.2">
      <c r="A15587"/>
      <c r="B15587"/>
      <c r="C15587"/>
      <c r="D15587"/>
      <c r="E15587"/>
      <c r="F15587"/>
      <c r="G15587"/>
      <c r="H15587"/>
      <c r="I15587"/>
      <c r="J15587"/>
      <c r="K15587" s="1"/>
      <c r="L15587" s="2"/>
    </row>
    <row r="15588" spans="1:12" x14ac:dyDescent="0.2">
      <c r="A15588"/>
      <c r="B15588"/>
      <c r="C15588"/>
      <c r="D15588"/>
      <c r="E15588"/>
      <c r="F15588"/>
      <c r="G15588"/>
      <c r="H15588"/>
      <c r="I15588"/>
      <c r="J15588"/>
      <c r="K15588" s="1"/>
      <c r="L15588" s="2"/>
    </row>
    <row r="15589" spans="1:12" x14ac:dyDescent="0.2">
      <c r="A15589"/>
      <c r="B15589"/>
      <c r="C15589"/>
      <c r="D15589"/>
      <c r="E15589"/>
      <c r="F15589"/>
      <c r="G15589"/>
      <c r="H15589"/>
      <c r="I15589"/>
      <c r="J15589"/>
      <c r="K15589" s="1"/>
      <c r="L15589" s="2"/>
    </row>
    <row r="15590" spans="1:12" x14ac:dyDescent="0.2">
      <c r="A15590"/>
      <c r="B15590"/>
      <c r="C15590"/>
      <c r="D15590"/>
      <c r="E15590"/>
      <c r="F15590"/>
      <c r="G15590"/>
      <c r="H15590"/>
      <c r="I15590"/>
      <c r="J15590"/>
      <c r="K15590" s="1"/>
      <c r="L15590" s="2"/>
    </row>
    <row r="15591" spans="1:12" x14ac:dyDescent="0.2">
      <c r="A15591"/>
      <c r="B15591"/>
      <c r="C15591"/>
      <c r="D15591"/>
      <c r="E15591"/>
      <c r="F15591"/>
      <c r="G15591"/>
      <c r="H15591"/>
      <c r="I15591"/>
      <c r="J15591"/>
      <c r="K15591" s="1"/>
      <c r="L15591" s="2"/>
    </row>
    <row r="15592" spans="1:12" x14ac:dyDescent="0.2">
      <c r="A15592"/>
      <c r="B15592"/>
      <c r="C15592"/>
      <c r="D15592"/>
      <c r="E15592"/>
      <c r="F15592"/>
      <c r="G15592"/>
      <c r="H15592"/>
      <c r="I15592"/>
      <c r="J15592"/>
      <c r="K15592" s="1"/>
      <c r="L15592" s="2"/>
    </row>
    <row r="15593" spans="1:12" x14ac:dyDescent="0.2">
      <c r="A15593"/>
      <c r="B15593"/>
      <c r="C15593"/>
      <c r="D15593"/>
      <c r="E15593"/>
      <c r="F15593"/>
      <c r="G15593"/>
      <c r="H15593"/>
      <c r="I15593"/>
      <c r="J15593"/>
      <c r="K15593" s="1"/>
      <c r="L15593" s="2"/>
    </row>
    <row r="15594" spans="1:12" x14ac:dyDescent="0.2">
      <c r="A15594"/>
      <c r="B15594"/>
      <c r="C15594"/>
      <c r="D15594"/>
      <c r="E15594"/>
      <c r="F15594"/>
      <c r="G15594"/>
      <c r="H15594"/>
      <c r="I15594"/>
      <c r="J15594"/>
      <c r="K15594" s="1"/>
      <c r="L15594" s="2"/>
    </row>
    <row r="15595" spans="1:12" x14ac:dyDescent="0.2">
      <c r="A15595"/>
      <c r="B15595"/>
      <c r="C15595"/>
      <c r="D15595"/>
      <c r="E15595"/>
      <c r="F15595"/>
      <c r="G15595"/>
      <c r="H15595"/>
      <c r="I15595"/>
      <c r="J15595"/>
      <c r="K15595" s="1"/>
      <c r="L15595" s="2"/>
    </row>
    <row r="15596" spans="1:12" x14ac:dyDescent="0.2">
      <c r="A15596"/>
      <c r="B15596"/>
      <c r="C15596"/>
      <c r="D15596"/>
      <c r="E15596"/>
      <c r="F15596"/>
      <c r="G15596"/>
      <c r="H15596"/>
      <c r="I15596"/>
      <c r="J15596"/>
      <c r="K15596" s="1"/>
      <c r="L15596" s="2"/>
    </row>
    <row r="15597" spans="1:12" x14ac:dyDescent="0.2">
      <c r="A15597"/>
      <c r="B15597"/>
      <c r="C15597"/>
      <c r="D15597"/>
      <c r="E15597"/>
      <c r="F15597"/>
      <c r="G15597"/>
      <c r="H15597"/>
      <c r="I15597"/>
      <c r="J15597"/>
      <c r="K15597" s="1"/>
      <c r="L15597" s="2"/>
    </row>
    <row r="15598" spans="1:12" x14ac:dyDescent="0.2">
      <c r="A15598"/>
      <c r="B15598"/>
      <c r="C15598"/>
      <c r="D15598"/>
      <c r="E15598"/>
      <c r="F15598"/>
      <c r="G15598"/>
      <c r="H15598"/>
      <c r="I15598"/>
      <c r="J15598"/>
      <c r="K15598" s="1"/>
      <c r="L15598" s="2"/>
    </row>
    <row r="15599" spans="1:12" x14ac:dyDescent="0.2">
      <c r="A15599"/>
      <c r="B15599"/>
      <c r="C15599"/>
      <c r="D15599"/>
      <c r="E15599"/>
      <c r="F15599"/>
      <c r="G15599"/>
      <c r="H15599"/>
      <c r="I15599"/>
      <c r="J15599"/>
      <c r="K15599" s="1"/>
      <c r="L15599" s="2"/>
    </row>
    <row r="15600" spans="1:12" x14ac:dyDescent="0.2">
      <c r="A15600"/>
      <c r="B15600"/>
      <c r="C15600"/>
      <c r="D15600"/>
      <c r="E15600"/>
      <c r="F15600"/>
      <c r="G15600"/>
      <c r="H15600"/>
      <c r="I15600"/>
      <c r="J15600"/>
      <c r="K15600" s="1"/>
      <c r="L15600" s="2"/>
    </row>
    <row r="15601" spans="1:12" x14ac:dyDescent="0.2">
      <c r="A15601"/>
      <c r="B15601"/>
      <c r="C15601"/>
      <c r="D15601"/>
      <c r="E15601"/>
      <c r="F15601"/>
      <c r="G15601"/>
      <c r="H15601"/>
      <c r="I15601"/>
      <c r="J15601"/>
      <c r="K15601" s="1"/>
      <c r="L15601" s="2"/>
    </row>
    <row r="15602" spans="1:12" x14ac:dyDescent="0.2">
      <c r="A15602"/>
      <c r="B15602"/>
      <c r="C15602"/>
      <c r="D15602"/>
      <c r="E15602"/>
      <c r="F15602"/>
      <c r="G15602"/>
      <c r="H15602"/>
      <c r="I15602"/>
      <c r="J15602"/>
      <c r="K15602" s="1"/>
      <c r="L15602" s="2"/>
    </row>
    <row r="15603" spans="1:12" x14ac:dyDescent="0.2">
      <c r="A15603"/>
      <c r="B15603"/>
      <c r="C15603"/>
      <c r="D15603"/>
      <c r="E15603"/>
      <c r="F15603"/>
      <c r="G15603"/>
      <c r="H15603"/>
      <c r="I15603"/>
      <c r="J15603"/>
      <c r="K15603" s="1"/>
      <c r="L15603" s="2"/>
    </row>
    <row r="15604" spans="1:12" x14ac:dyDescent="0.2">
      <c r="A15604"/>
      <c r="B15604"/>
      <c r="C15604"/>
      <c r="D15604"/>
      <c r="E15604"/>
      <c r="F15604"/>
      <c r="G15604"/>
      <c r="H15604"/>
      <c r="I15604"/>
      <c r="J15604"/>
      <c r="K15604" s="1"/>
      <c r="L15604" s="2"/>
    </row>
    <row r="15605" spans="1:12" x14ac:dyDescent="0.2">
      <c r="A15605"/>
      <c r="B15605"/>
      <c r="C15605"/>
      <c r="D15605"/>
      <c r="E15605"/>
      <c r="F15605"/>
      <c r="G15605"/>
      <c r="H15605"/>
      <c r="I15605"/>
      <c r="J15605"/>
      <c r="K15605" s="1"/>
      <c r="L15605" s="2"/>
    </row>
    <row r="15606" spans="1:12" x14ac:dyDescent="0.2">
      <c r="A15606"/>
      <c r="B15606"/>
      <c r="C15606"/>
      <c r="D15606"/>
      <c r="E15606"/>
      <c r="F15606"/>
      <c r="G15606"/>
      <c r="H15606"/>
      <c r="I15606"/>
      <c r="J15606"/>
      <c r="K15606" s="1"/>
      <c r="L15606" s="2"/>
    </row>
    <row r="15607" spans="1:12" x14ac:dyDescent="0.2">
      <c r="A15607"/>
      <c r="B15607"/>
      <c r="C15607"/>
      <c r="D15607"/>
      <c r="E15607"/>
      <c r="F15607"/>
      <c r="G15607"/>
      <c r="H15607"/>
      <c r="I15607"/>
      <c r="J15607"/>
      <c r="K15607" s="1"/>
      <c r="L15607" s="2"/>
    </row>
    <row r="15608" spans="1:12" x14ac:dyDescent="0.2">
      <c r="A15608"/>
      <c r="B15608"/>
      <c r="C15608"/>
      <c r="D15608"/>
      <c r="E15608"/>
      <c r="F15608"/>
      <c r="G15608"/>
      <c r="H15608"/>
      <c r="I15608"/>
      <c r="J15608"/>
      <c r="K15608" s="1"/>
      <c r="L15608" s="2"/>
    </row>
    <row r="15609" spans="1:12" x14ac:dyDescent="0.2">
      <c r="A15609"/>
      <c r="B15609"/>
      <c r="C15609"/>
      <c r="D15609"/>
      <c r="E15609"/>
      <c r="F15609"/>
      <c r="G15609"/>
      <c r="H15609"/>
      <c r="I15609"/>
      <c r="J15609"/>
      <c r="K15609" s="1"/>
      <c r="L15609" s="2"/>
    </row>
    <row r="15610" spans="1:12" x14ac:dyDescent="0.2">
      <c r="A15610"/>
      <c r="B15610"/>
      <c r="C15610"/>
      <c r="D15610"/>
      <c r="E15610"/>
      <c r="F15610"/>
      <c r="G15610"/>
      <c r="H15610"/>
      <c r="I15610"/>
      <c r="J15610"/>
      <c r="K15610" s="1"/>
      <c r="L15610" s="2"/>
    </row>
    <row r="15611" spans="1:12" x14ac:dyDescent="0.2">
      <c r="A15611"/>
      <c r="B15611"/>
      <c r="C15611"/>
      <c r="D15611"/>
      <c r="E15611"/>
      <c r="F15611"/>
      <c r="G15611"/>
      <c r="H15611"/>
      <c r="I15611"/>
      <c r="J15611"/>
      <c r="K15611" s="1"/>
      <c r="L15611" s="2"/>
    </row>
    <row r="15612" spans="1:12" x14ac:dyDescent="0.2">
      <c r="A15612"/>
      <c r="B15612"/>
      <c r="C15612"/>
      <c r="D15612"/>
      <c r="E15612"/>
      <c r="F15612"/>
      <c r="G15612"/>
      <c r="H15612"/>
      <c r="I15612"/>
      <c r="J15612"/>
      <c r="K15612" s="1"/>
      <c r="L15612" s="2"/>
    </row>
    <row r="15613" spans="1:12" x14ac:dyDescent="0.2">
      <c r="A15613"/>
      <c r="B15613"/>
      <c r="C15613"/>
      <c r="D15613"/>
      <c r="E15613"/>
      <c r="F15613"/>
      <c r="G15613"/>
      <c r="H15613"/>
      <c r="I15613"/>
      <c r="J15613"/>
      <c r="K15613" s="1"/>
      <c r="L15613" s="2"/>
    </row>
    <row r="15614" spans="1:12" x14ac:dyDescent="0.2">
      <c r="A15614"/>
      <c r="B15614"/>
      <c r="C15614"/>
      <c r="D15614"/>
      <c r="E15614"/>
      <c r="F15614"/>
      <c r="G15614"/>
      <c r="H15614"/>
      <c r="I15614"/>
      <c r="J15614"/>
      <c r="K15614" s="1"/>
      <c r="L15614" s="2"/>
    </row>
    <row r="15615" spans="1:12" x14ac:dyDescent="0.2">
      <c r="A15615"/>
      <c r="B15615"/>
      <c r="C15615"/>
      <c r="D15615"/>
      <c r="E15615"/>
      <c r="F15615"/>
      <c r="G15615"/>
      <c r="H15615"/>
      <c r="I15615"/>
      <c r="J15615"/>
      <c r="K15615" s="1"/>
      <c r="L15615" s="2"/>
    </row>
    <row r="15616" spans="1:12" x14ac:dyDescent="0.2">
      <c r="A15616"/>
      <c r="B15616"/>
      <c r="C15616"/>
      <c r="D15616"/>
      <c r="E15616"/>
      <c r="F15616"/>
      <c r="G15616"/>
      <c r="H15616"/>
      <c r="I15616"/>
      <c r="J15616"/>
      <c r="K15616" s="1"/>
      <c r="L15616" s="2"/>
    </row>
    <row r="15617" spans="1:12" x14ac:dyDescent="0.2">
      <c r="A15617"/>
      <c r="B15617"/>
      <c r="C15617"/>
      <c r="D15617"/>
      <c r="E15617"/>
      <c r="F15617"/>
      <c r="G15617"/>
      <c r="H15617"/>
      <c r="I15617"/>
      <c r="J15617"/>
      <c r="K15617" s="1"/>
      <c r="L15617" s="2"/>
    </row>
    <row r="15618" spans="1:12" x14ac:dyDescent="0.2">
      <c r="A15618"/>
      <c r="B15618"/>
      <c r="C15618"/>
      <c r="D15618"/>
      <c r="E15618"/>
      <c r="F15618"/>
      <c r="G15618"/>
      <c r="H15618"/>
      <c r="I15618"/>
      <c r="J15618"/>
      <c r="K15618" s="1"/>
      <c r="L15618" s="2"/>
    </row>
    <row r="15619" spans="1:12" x14ac:dyDescent="0.2">
      <c r="A15619"/>
      <c r="B15619"/>
      <c r="C15619"/>
      <c r="D15619"/>
      <c r="E15619"/>
      <c r="F15619"/>
      <c r="G15619"/>
      <c r="H15619"/>
      <c r="I15619"/>
      <c r="J15619"/>
      <c r="K15619" s="1"/>
      <c r="L15619" s="2"/>
    </row>
    <row r="15620" spans="1:12" x14ac:dyDescent="0.2">
      <c r="A15620"/>
      <c r="B15620"/>
      <c r="C15620"/>
      <c r="D15620"/>
      <c r="E15620"/>
      <c r="F15620"/>
      <c r="G15620"/>
      <c r="H15620"/>
      <c r="I15620"/>
      <c r="J15620"/>
      <c r="K15620" s="1"/>
      <c r="L15620" s="2"/>
    </row>
    <row r="15621" spans="1:12" x14ac:dyDescent="0.2">
      <c r="A15621"/>
      <c r="B15621"/>
      <c r="C15621"/>
      <c r="D15621"/>
      <c r="E15621"/>
      <c r="F15621"/>
      <c r="G15621"/>
      <c r="H15621"/>
      <c r="I15621"/>
      <c r="J15621"/>
      <c r="K15621" s="1"/>
      <c r="L15621" s="2"/>
    </row>
    <row r="15622" spans="1:12" x14ac:dyDescent="0.2">
      <c r="A15622"/>
      <c r="B15622"/>
      <c r="C15622"/>
      <c r="D15622"/>
      <c r="E15622"/>
      <c r="F15622"/>
      <c r="G15622"/>
      <c r="H15622"/>
      <c r="I15622"/>
      <c r="J15622"/>
      <c r="K15622" s="1"/>
      <c r="L15622" s="2"/>
    </row>
    <row r="15623" spans="1:12" x14ac:dyDescent="0.2">
      <c r="A15623"/>
      <c r="B15623"/>
      <c r="C15623"/>
      <c r="D15623"/>
      <c r="E15623"/>
      <c r="F15623"/>
      <c r="G15623"/>
      <c r="H15623"/>
      <c r="I15623"/>
      <c r="J15623"/>
      <c r="K15623" s="1"/>
      <c r="L15623" s="2"/>
    </row>
    <row r="15624" spans="1:12" x14ac:dyDescent="0.2">
      <c r="A15624"/>
      <c r="B15624"/>
      <c r="C15624"/>
      <c r="D15624"/>
      <c r="E15624"/>
      <c r="F15624"/>
      <c r="G15624"/>
      <c r="H15624"/>
      <c r="I15624"/>
      <c r="J15624"/>
      <c r="K15624" s="1"/>
      <c r="L15624" s="2"/>
    </row>
    <row r="15625" spans="1:12" x14ac:dyDescent="0.2">
      <c r="A15625"/>
      <c r="B15625"/>
      <c r="C15625"/>
      <c r="D15625"/>
      <c r="E15625"/>
      <c r="F15625"/>
      <c r="G15625"/>
      <c r="H15625"/>
      <c r="I15625"/>
      <c r="J15625"/>
      <c r="K15625" s="1"/>
      <c r="L15625" s="2"/>
    </row>
    <row r="15626" spans="1:12" x14ac:dyDescent="0.2">
      <c r="A15626"/>
      <c r="B15626"/>
      <c r="C15626"/>
      <c r="D15626"/>
      <c r="E15626"/>
      <c r="F15626"/>
      <c r="G15626"/>
      <c r="H15626"/>
      <c r="I15626"/>
      <c r="J15626"/>
      <c r="K15626" s="1"/>
      <c r="L15626" s="2"/>
    </row>
    <row r="15627" spans="1:12" x14ac:dyDescent="0.2">
      <c r="A15627"/>
      <c r="B15627"/>
      <c r="C15627"/>
      <c r="D15627"/>
      <c r="E15627"/>
      <c r="F15627"/>
      <c r="G15627"/>
      <c r="H15627"/>
      <c r="I15627"/>
      <c r="J15627"/>
      <c r="K15627" s="1"/>
      <c r="L15627" s="2"/>
    </row>
    <row r="15628" spans="1:12" x14ac:dyDescent="0.2">
      <c r="A15628"/>
      <c r="B15628"/>
      <c r="C15628"/>
      <c r="D15628"/>
      <c r="E15628"/>
      <c r="F15628"/>
      <c r="G15628"/>
      <c r="H15628"/>
      <c r="I15628"/>
      <c r="J15628"/>
      <c r="K15628" s="1"/>
      <c r="L15628" s="2"/>
    </row>
    <row r="15629" spans="1:12" x14ac:dyDescent="0.2">
      <c r="A15629"/>
      <c r="B15629"/>
      <c r="C15629"/>
      <c r="D15629"/>
      <c r="E15629"/>
      <c r="F15629"/>
      <c r="G15629"/>
      <c r="H15629"/>
      <c r="I15629"/>
      <c r="J15629"/>
      <c r="K15629" s="1"/>
      <c r="L15629" s="2"/>
    </row>
    <row r="15630" spans="1:12" x14ac:dyDescent="0.2">
      <c r="A15630"/>
      <c r="B15630"/>
      <c r="C15630"/>
      <c r="D15630"/>
      <c r="E15630"/>
      <c r="F15630"/>
      <c r="G15630"/>
      <c r="H15630"/>
      <c r="I15630"/>
      <c r="J15630"/>
      <c r="K15630" s="1"/>
      <c r="L15630" s="2"/>
    </row>
    <row r="15631" spans="1:12" x14ac:dyDescent="0.2">
      <c r="A15631"/>
      <c r="B15631"/>
      <c r="C15631"/>
      <c r="D15631"/>
      <c r="E15631"/>
      <c r="F15631"/>
      <c r="G15631"/>
      <c r="H15631"/>
      <c r="I15631"/>
      <c r="J15631"/>
      <c r="K15631" s="1"/>
      <c r="L15631" s="2"/>
    </row>
    <row r="15632" spans="1:12" x14ac:dyDescent="0.2">
      <c r="A15632"/>
      <c r="B15632"/>
      <c r="C15632"/>
      <c r="D15632"/>
      <c r="E15632"/>
      <c r="F15632"/>
      <c r="G15632"/>
      <c r="H15632"/>
      <c r="I15632"/>
      <c r="J15632"/>
      <c r="K15632" s="1"/>
      <c r="L15632" s="2"/>
    </row>
    <row r="15633" spans="1:12" x14ac:dyDescent="0.2">
      <c r="A15633"/>
      <c r="B15633"/>
      <c r="C15633"/>
      <c r="D15633"/>
      <c r="E15633"/>
      <c r="F15633"/>
      <c r="G15633"/>
      <c r="H15633"/>
      <c r="I15633"/>
      <c r="J15633"/>
      <c r="K15633" s="1"/>
      <c r="L15633" s="2"/>
    </row>
    <row r="15634" spans="1:12" x14ac:dyDescent="0.2">
      <c r="A15634"/>
      <c r="B15634"/>
      <c r="C15634"/>
      <c r="D15634"/>
      <c r="E15634"/>
      <c r="F15634"/>
      <c r="G15634"/>
      <c r="H15634"/>
      <c r="I15634"/>
      <c r="J15634"/>
      <c r="K15634" s="1"/>
      <c r="L15634" s="2"/>
    </row>
    <row r="15635" spans="1:12" x14ac:dyDescent="0.2">
      <c r="A15635"/>
      <c r="B15635"/>
      <c r="C15635"/>
      <c r="D15635"/>
      <c r="E15635"/>
      <c r="F15635"/>
      <c r="G15635"/>
      <c r="H15635"/>
      <c r="I15635"/>
      <c r="J15635"/>
      <c r="K15635" s="1"/>
      <c r="L15635" s="2"/>
    </row>
    <row r="15636" spans="1:12" x14ac:dyDescent="0.2">
      <c r="A15636"/>
      <c r="B15636"/>
      <c r="C15636"/>
      <c r="D15636"/>
      <c r="E15636"/>
      <c r="F15636"/>
      <c r="G15636"/>
      <c r="H15636"/>
      <c r="I15636"/>
      <c r="J15636"/>
      <c r="K15636" s="1"/>
      <c r="L15636" s="2"/>
    </row>
    <row r="15637" spans="1:12" x14ac:dyDescent="0.2">
      <c r="A15637"/>
      <c r="B15637"/>
      <c r="C15637"/>
      <c r="D15637"/>
      <c r="E15637"/>
      <c r="F15637"/>
      <c r="G15637"/>
      <c r="H15637"/>
      <c r="I15637"/>
      <c r="J15637"/>
      <c r="K15637" s="1"/>
      <c r="L15637" s="2"/>
    </row>
    <row r="15638" spans="1:12" x14ac:dyDescent="0.2">
      <c r="A15638"/>
      <c r="B15638"/>
      <c r="C15638"/>
      <c r="D15638"/>
      <c r="E15638"/>
      <c r="F15638"/>
      <c r="G15638"/>
      <c r="H15638"/>
      <c r="I15638"/>
      <c r="J15638"/>
      <c r="K15638" s="1"/>
      <c r="L15638" s="2"/>
    </row>
    <row r="15639" spans="1:12" x14ac:dyDescent="0.2">
      <c r="A15639"/>
      <c r="B15639"/>
      <c r="C15639"/>
      <c r="D15639"/>
      <c r="E15639"/>
      <c r="F15639"/>
      <c r="G15639"/>
      <c r="H15639"/>
      <c r="I15639"/>
      <c r="J15639"/>
      <c r="K15639" s="1"/>
      <c r="L15639" s="2"/>
    </row>
    <row r="15640" spans="1:12" x14ac:dyDescent="0.2">
      <c r="A15640"/>
      <c r="B15640"/>
      <c r="C15640"/>
      <c r="D15640"/>
      <c r="E15640"/>
      <c r="F15640"/>
      <c r="G15640"/>
      <c r="H15640"/>
      <c r="I15640"/>
      <c r="J15640"/>
      <c r="K15640" s="1"/>
      <c r="L15640" s="2"/>
    </row>
    <row r="15641" spans="1:12" x14ac:dyDescent="0.2">
      <c r="A15641"/>
      <c r="B15641"/>
      <c r="C15641"/>
      <c r="D15641"/>
      <c r="E15641"/>
      <c r="F15641"/>
      <c r="G15641"/>
      <c r="H15641"/>
      <c r="I15641"/>
      <c r="J15641"/>
      <c r="K15641" s="1"/>
      <c r="L15641" s="2"/>
    </row>
    <row r="15642" spans="1:12" x14ac:dyDescent="0.2">
      <c r="A15642"/>
      <c r="B15642"/>
      <c r="C15642"/>
      <c r="D15642"/>
      <c r="E15642"/>
      <c r="F15642"/>
      <c r="G15642"/>
      <c r="H15642"/>
      <c r="I15642"/>
      <c r="J15642"/>
      <c r="K15642" s="1"/>
      <c r="L15642" s="2"/>
    </row>
    <row r="15643" spans="1:12" x14ac:dyDescent="0.2">
      <c r="A15643"/>
      <c r="B15643"/>
      <c r="C15643"/>
      <c r="D15643"/>
      <c r="E15643"/>
      <c r="F15643"/>
      <c r="G15643"/>
      <c r="H15643"/>
      <c r="I15643"/>
      <c r="J15643"/>
      <c r="K15643" s="1"/>
      <c r="L15643" s="2"/>
    </row>
    <row r="15644" spans="1:12" x14ac:dyDescent="0.2">
      <c r="A15644"/>
      <c r="B15644"/>
      <c r="C15644"/>
      <c r="D15644"/>
      <c r="E15644"/>
      <c r="F15644"/>
      <c r="G15644"/>
      <c r="H15644"/>
      <c r="I15644"/>
      <c r="J15644"/>
      <c r="K15644" s="1"/>
      <c r="L15644" s="2"/>
    </row>
    <row r="15645" spans="1:12" x14ac:dyDescent="0.2">
      <c r="A15645"/>
      <c r="B15645"/>
      <c r="C15645"/>
      <c r="D15645"/>
      <c r="E15645"/>
      <c r="F15645"/>
      <c r="G15645"/>
      <c r="H15645"/>
      <c r="I15645"/>
      <c r="J15645"/>
      <c r="K15645" s="1"/>
      <c r="L15645" s="2"/>
    </row>
    <row r="15646" spans="1:12" x14ac:dyDescent="0.2">
      <c r="A15646"/>
      <c r="B15646"/>
      <c r="C15646"/>
      <c r="D15646"/>
      <c r="E15646"/>
      <c r="F15646"/>
      <c r="G15646"/>
      <c r="H15646"/>
      <c r="I15646"/>
      <c r="J15646"/>
      <c r="K15646" s="1"/>
      <c r="L15646" s="2"/>
    </row>
    <row r="15647" spans="1:12" x14ac:dyDescent="0.2">
      <c r="A15647"/>
      <c r="B15647"/>
      <c r="C15647"/>
      <c r="D15647"/>
      <c r="E15647"/>
      <c r="F15647"/>
      <c r="G15647"/>
      <c r="H15647"/>
      <c r="I15647"/>
      <c r="J15647"/>
      <c r="K15647" s="1"/>
      <c r="L15647" s="2"/>
    </row>
    <row r="15648" spans="1:12" x14ac:dyDescent="0.2">
      <c r="A15648"/>
      <c r="B15648"/>
      <c r="C15648"/>
      <c r="D15648"/>
      <c r="E15648"/>
      <c r="F15648"/>
      <c r="G15648"/>
      <c r="H15648"/>
      <c r="I15648"/>
      <c r="J15648"/>
      <c r="K15648" s="1"/>
      <c r="L15648" s="2"/>
    </row>
    <row r="15649" spans="1:12" x14ac:dyDescent="0.2">
      <c r="A15649"/>
      <c r="B15649"/>
      <c r="C15649"/>
      <c r="D15649"/>
      <c r="E15649"/>
      <c r="F15649"/>
      <c r="G15649"/>
      <c r="H15649"/>
      <c r="I15649"/>
      <c r="J15649"/>
      <c r="K15649" s="1"/>
      <c r="L15649" s="2"/>
    </row>
    <row r="15650" spans="1:12" x14ac:dyDescent="0.2">
      <c r="A15650"/>
      <c r="B15650"/>
      <c r="C15650"/>
      <c r="D15650"/>
      <c r="E15650"/>
      <c r="F15650"/>
      <c r="G15650"/>
      <c r="H15650"/>
      <c r="I15650"/>
      <c r="J15650"/>
      <c r="K15650" s="1"/>
      <c r="L15650" s="2"/>
    </row>
    <row r="15651" spans="1:12" x14ac:dyDescent="0.2">
      <c r="A15651"/>
      <c r="B15651"/>
      <c r="C15651"/>
      <c r="D15651"/>
      <c r="E15651"/>
      <c r="F15651"/>
      <c r="G15651"/>
      <c r="H15651"/>
      <c r="I15651"/>
      <c r="J15651"/>
      <c r="K15651" s="1"/>
      <c r="L15651" s="2"/>
    </row>
    <row r="15652" spans="1:12" x14ac:dyDescent="0.2">
      <c r="A15652"/>
      <c r="B15652"/>
      <c r="C15652"/>
      <c r="D15652"/>
      <c r="E15652"/>
      <c r="F15652"/>
      <c r="G15652"/>
      <c r="H15652"/>
      <c r="I15652"/>
      <c r="J15652"/>
      <c r="K15652" s="1"/>
      <c r="L15652" s="2"/>
    </row>
    <row r="15653" spans="1:12" x14ac:dyDescent="0.2">
      <c r="A15653"/>
      <c r="B15653"/>
      <c r="C15653"/>
      <c r="D15653"/>
      <c r="E15653"/>
      <c r="F15653"/>
      <c r="G15653"/>
      <c r="H15653"/>
      <c r="I15653"/>
      <c r="J15653"/>
      <c r="K15653" s="1"/>
      <c r="L15653" s="2"/>
    </row>
    <row r="15654" spans="1:12" x14ac:dyDescent="0.2">
      <c r="A15654"/>
      <c r="B15654"/>
      <c r="C15654"/>
      <c r="D15654"/>
      <c r="E15654"/>
      <c r="F15654"/>
      <c r="G15654"/>
      <c r="H15654"/>
      <c r="I15654"/>
      <c r="J15654"/>
      <c r="K15654" s="1"/>
      <c r="L15654" s="2"/>
    </row>
    <row r="15655" spans="1:12" x14ac:dyDescent="0.2">
      <c r="A15655"/>
      <c r="B15655"/>
      <c r="C15655"/>
      <c r="D15655"/>
      <c r="E15655"/>
      <c r="F15655"/>
      <c r="G15655"/>
      <c r="H15655"/>
      <c r="I15655"/>
      <c r="J15655"/>
      <c r="K15655" s="1"/>
      <c r="L15655" s="2"/>
    </row>
    <row r="15656" spans="1:12" x14ac:dyDescent="0.2">
      <c r="A15656"/>
      <c r="B15656"/>
      <c r="C15656"/>
      <c r="D15656"/>
      <c r="E15656"/>
      <c r="F15656"/>
      <c r="G15656"/>
      <c r="H15656"/>
      <c r="I15656"/>
      <c r="J15656"/>
      <c r="K15656" s="1"/>
      <c r="L15656" s="2"/>
    </row>
    <row r="15657" spans="1:12" x14ac:dyDescent="0.2">
      <c r="A15657"/>
      <c r="B15657"/>
      <c r="C15657"/>
      <c r="D15657"/>
      <c r="E15657"/>
      <c r="F15657"/>
      <c r="G15657"/>
      <c r="H15657"/>
      <c r="I15657"/>
      <c r="J15657"/>
      <c r="K15657" s="1"/>
      <c r="L15657" s="2"/>
    </row>
    <row r="15658" spans="1:12" x14ac:dyDescent="0.2">
      <c r="A15658"/>
      <c r="B15658"/>
      <c r="C15658"/>
      <c r="D15658"/>
      <c r="E15658"/>
      <c r="F15658"/>
      <c r="G15658"/>
      <c r="H15658"/>
      <c r="I15658"/>
      <c r="J15658"/>
      <c r="K15658" s="1"/>
      <c r="L15658" s="2"/>
    </row>
    <row r="15659" spans="1:12" x14ac:dyDescent="0.2">
      <c r="A15659"/>
      <c r="B15659"/>
      <c r="C15659"/>
      <c r="D15659"/>
      <c r="E15659"/>
      <c r="F15659"/>
      <c r="G15659"/>
      <c r="H15659"/>
      <c r="I15659"/>
      <c r="J15659"/>
      <c r="K15659" s="1"/>
      <c r="L15659" s="2"/>
    </row>
    <row r="15660" spans="1:12" x14ac:dyDescent="0.2">
      <c r="A15660"/>
      <c r="B15660"/>
      <c r="C15660"/>
      <c r="D15660"/>
      <c r="E15660"/>
      <c r="F15660"/>
      <c r="G15660"/>
      <c r="H15660"/>
      <c r="I15660"/>
      <c r="J15660"/>
      <c r="K15660" s="1"/>
      <c r="L15660" s="2"/>
    </row>
    <row r="15661" spans="1:12" x14ac:dyDescent="0.2">
      <c r="A15661"/>
      <c r="B15661"/>
      <c r="C15661"/>
      <c r="D15661"/>
      <c r="E15661"/>
      <c r="F15661"/>
      <c r="G15661"/>
      <c r="H15661"/>
      <c r="I15661"/>
      <c r="J15661"/>
      <c r="K15661" s="1"/>
      <c r="L15661" s="2"/>
    </row>
    <row r="15662" spans="1:12" x14ac:dyDescent="0.2">
      <c r="A15662"/>
      <c r="B15662"/>
      <c r="C15662"/>
      <c r="D15662"/>
      <c r="E15662"/>
      <c r="F15662"/>
      <c r="G15662"/>
      <c r="H15662"/>
      <c r="I15662"/>
      <c r="J15662"/>
      <c r="K15662" s="1"/>
      <c r="L15662" s="2"/>
    </row>
    <row r="15663" spans="1:12" x14ac:dyDescent="0.2">
      <c r="A15663"/>
      <c r="B15663"/>
      <c r="C15663"/>
      <c r="D15663"/>
      <c r="E15663"/>
      <c r="F15663"/>
      <c r="G15663"/>
      <c r="H15663"/>
      <c r="I15663"/>
      <c r="J15663"/>
      <c r="K15663" s="1"/>
      <c r="L15663" s="2"/>
    </row>
    <row r="15664" spans="1:12" x14ac:dyDescent="0.2">
      <c r="A15664"/>
      <c r="B15664"/>
      <c r="C15664"/>
      <c r="D15664"/>
      <c r="E15664"/>
      <c r="F15664"/>
      <c r="G15664"/>
      <c r="H15664"/>
      <c r="I15664"/>
      <c r="J15664"/>
      <c r="K15664" s="1"/>
      <c r="L15664" s="2"/>
    </row>
    <row r="15665" spans="1:12" x14ac:dyDescent="0.2">
      <c r="A15665"/>
      <c r="B15665"/>
      <c r="C15665"/>
      <c r="D15665"/>
      <c r="E15665"/>
      <c r="F15665"/>
      <c r="G15665"/>
      <c r="H15665"/>
      <c r="I15665"/>
      <c r="J15665"/>
      <c r="K15665" s="1"/>
      <c r="L15665" s="2"/>
    </row>
    <row r="15666" spans="1:12" x14ac:dyDescent="0.2">
      <c r="A15666"/>
      <c r="B15666"/>
      <c r="C15666"/>
      <c r="D15666"/>
      <c r="E15666"/>
      <c r="F15666"/>
      <c r="G15666"/>
      <c r="H15666"/>
      <c r="I15666"/>
      <c r="J15666"/>
      <c r="K15666" s="1"/>
      <c r="L15666" s="2"/>
    </row>
    <row r="15667" spans="1:12" x14ac:dyDescent="0.2">
      <c r="A15667"/>
      <c r="B15667"/>
      <c r="C15667"/>
      <c r="D15667"/>
      <c r="E15667"/>
      <c r="F15667"/>
      <c r="G15667"/>
      <c r="H15667"/>
      <c r="I15667"/>
      <c r="J15667"/>
      <c r="K15667" s="1"/>
      <c r="L15667" s="2"/>
    </row>
    <row r="15668" spans="1:12" x14ac:dyDescent="0.2">
      <c r="A15668"/>
      <c r="B15668"/>
      <c r="C15668"/>
      <c r="D15668"/>
      <c r="E15668"/>
      <c r="F15668"/>
      <c r="G15668"/>
      <c r="H15668"/>
      <c r="I15668"/>
      <c r="J15668"/>
      <c r="K15668" s="1"/>
      <c r="L15668" s="2"/>
    </row>
    <row r="15669" spans="1:12" x14ac:dyDescent="0.2">
      <c r="A15669"/>
      <c r="B15669"/>
      <c r="C15669"/>
      <c r="D15669"/>
      <c r="E15669"/>
      <c r="F15669"/>
      <c r="G15669"/>
      <c r="H15669"/>
      <c r="I15669"/>
      <c r="J15669"/>
      <c r="K15669" s="1"/>
      <c r="L15669" s="2"/>
    </row>
    <row r="15670" spans="1:12" x14ac:dyDescent="0.2">
      <c r="A15670"/>
      <c r="B15670"/>
      <c r="C15670"/>
      <c r="D15670"/>
      <c r="E15670"/>
      <c r="F15670"/>
      <c r="G15670"/>
      <c r="H15670"/>
      <c r="I15670"/>
      <c r="J15670"/>
      <c r="K15670" s="1"/>
      <c r="L15670" s="2"/>
    </row>
    <row r="15671" spans="1:12" x14ac:dyDescent="0.2">
      <c r="A15671"/>
      <c r="B15671"/>
      <c r="C15671"/>
      <c r="D15671"/>
      <c r="E15671"/>
      <c r="F15671"/>
      <c r="G15671"/>
      <c r="H15671"/>
      <c r="I15671"/>
      <c r="J15671"/>
      <c r="K15671" s="1"/>
      <c r="L15671" s="2"/>
    </row>
    <row r="15672" spans="1:12" x14ac:dyDescent="0.2">
      <c r="A15672"/>
      <c r="B15672"/>
      <c r="C15672"/>
      <c r="D15672"/>
      <c r="E15672"/>
      <c r="F15672"/>
      <c r="G15672"/>
      <c r="H15672"/>
      <c r="I15672"/>
      <c r="J15672"/>
      <c r="K15672" s="1"/>
      <c r="L15672" s="2"/>
    </row>
    <row r="15673" spans="1:12" x14ac:dyDescent="0.2">
      <c r="A15673"/>
      <c r="B15673"/>
      <c r="C15673"/>
      <c r="D15673"/>
      <c r="E15673"/>
      <c r="F15673"/>
      <c r="G15673"/>
      <c r="H15673"/>
      <c r="I15673"/>
      <c r="J15673"/>
      <c r="K15673" s="1"/>
      <c r="L15673" s="2"/>
    </row>
    <row r="15674" spans="1:12" x14ac:dyDescent="0.2">
      <c r="A15674"/>
      <c r="B15674"/>
      <c r="C15674"/>
      <c r="D15674"/>
      <c r="E15674"/>
      <c r="F15674"/>
      <c r="G15674"/>
      <c r="H15674"/>
      <c r="I15674"/>
      <c r="J15674"/>
      <c r="K15674" s="1"/>
      <c r="L15674" s="2"/>
    </row>
    <row r="15675" spans="1:12" x14ac:dyDescent="0.2">
      <c r="A15675"/>
      <c r="B15675"/>
      <c r="C15675"/>
      <c r="D15675"/>
      <c r="E15675"/>
      <c r="F15675"/>
      <c r="G15675"/>
      <c r="H15675"/>
      <c r="I15675"/>
      <c r="J15675"/>
      <c r="K15675" s="1"/>
      <c r="L15675" s="2"/>
    </row>
    <row r="15676" spans="1:12" x14ac:dyDescent="0.2">
      <c r="A15676"/>
      <c r="B15676"/>
      <c r="C15676"/>
      <c r="D15676"/>
      <c r="E15676"/>
      <c r="F15676"/>
      <c r="G15676"/>
      <c r="H15676"/>
      <c r="I15676"/>
      <c r="J15676"/>
      <c r="K15676" s="1"/>
      <c r="L15676" s="2"/>
    </row>
    <row r="15677" spans="1:12" x14ac:dyDescent="0.2">
      <c r="A15677"/>
      <c r="B15677"/>
      <c r="C15677"/>
      <c r="D15677"/>
      <c r="E15677"/>
      <c r="F15677"/>
      <c r="G15677"/>
      <c r="H15677"/>
      <c r="I15677"/>
      <c r="J15677"/>
      <c r="K15677" s="1"/>
      <c r="L15677" s="2"/>
    </row>
    <row r="15678" spans="1:12" x14ac:dyDescent="0.2">
      <c r="A15678"/>
      <c r="B15678"/>
      <c r="C15678"/>
      <c r="D15678"/>
      <c r="E15678"/>
      <c r="F15678"/>
      <c r="G15678"/>
      <c r="H15678"/>
      <c r="I15678"/>
      <c r="J15678"/>
      <c r="K15678" s="1"/>
      <c r="L15678" s="2"/>
    </row>
    <row r="15679" spans="1:12" x14ac:dyDescent="0.2">
      <c r="A15679"/>
      <c r="B15679"/>
      <c r="C15679"/>
      <c r="D15679"/>
      <c r="E15679"/>
      <c r="F15679"/>
      <c r="G15679"/>
      <c r="H15679"/>
      <c r="I15679"/>
      <c r="J15679"/>
      <c r="K15679" s="1"/>
      <c r="L15679" s="2"/>
    </row>
    <row r="15680" spans="1:12" x14ac:dyDescent="0.2">
      <c r="A15680"/>
      <c r="B15680"/>
      <c r="C15680"/>
      <c r="D15680"/>
      <c r="E15680"/>
      <c r="F15680"/>
      <c r="G15680"/>
      <c r="H15680"/>
      <c r="I15680"/>
      <c r="J15680"/>
      <c r="K15680" s="1"/>
      <c r="L15680" s="2"/>
    </row>
    <row r="15681" spans="1:12" x14ac:dyDescent="0.2">
      <c r="A15681"/>
      <c r="B15681"/>
      <c r="C15681"/>
      <c r="D15681"/>
      <c r="E15681"/>
      <c r="F15681"/>
      <c r="G15681"/>
      <c r="H15681"/>
      <c r="I15681"/>
      <c r="J15681"/>
      <c r="K15681" s="1"/>
      <c r="L15681" s="2"/>
    </row>
    <row r="15682" spans="1:12" x14ac:dyDescent="0.2">
      <c r="A15682"/>
      <c r="B15682"/>
      <c r="C15682"/>
      <c r="D15682"/>
      <c r="E15682"/>
      <c r="F15682"/>
      <c r="G15682"/>
      <c r="H15682"/>
      <c r="I15682"/>
      <c r="J15682"/>
      <c r="K15682" s="1"/>
      <c r="L15682" s="2"/>
    </row>
    <row r="15683" spans="1:12" x14ac:dyDescent="0.2">
      <c r="A15683"/>
      <c r="B15683"/>
      <c r="C15683"/>
      <c r="D15683"/>
      <c r="E15683"/>
      <c r="F15683"/>
      <c r="G15683"/>
      <c r="H15683"/>
      <c r="I15683"/>
      <c r="J15683"/>
      <c r="K15683" s="1"/>
      <c r="L15683" s="2"/>
    </row>
    <row r="15684" spans="1:12" x14ac:dyDescent="0.2">
      <c r="A15684"/>
      <c r="B15684"/>
      <c r="C15684"/>
      <c r="D15684"/>
      <c r="E15684"/>
      <c r="F15684"/>
      <c r="G15684"/>
      <c r="H15684"/>
      <c r="I15684"/>
      <c r="J15684"/>
      <c r="K15684" s="1"/>
      <c r="L15684" s="2"/>
    </row>
    <row r="15685" spans="1:12" x14ac:dyDescent="0.2">
      <c r="A15685"/>
      <c r="B15685"/>
      <c r="C15685"/>
      <c r="D15685"/>
      <c r="E15685"/>
      <c r="F15685"/>
      <c r="G15685"/>
      <c r="H15685"/>
      <c r="I15685"/>
      <c r="J15685"/>
      <c r="K15685" s="1"/>
      <c r="L15685" s="2"/>
    </row>
    <row r="15686" spans="1:12" x14ac:dyDescent="0.2">
      <c r="A15686"/>
      <c r="B15686"/>
      <c r="C15686"/>
      <c r="D15686"/>
      <c r="E15686"/>
      <c r="F15686"/>
      <c r="G15686"/>
      <c r="H15686"/>
      <c r="I15686"/>
      <c r="J15686"/>
      <c r="K15686" s="1"/>
      <c r="L15686" s="2"/>
    </row>
    <row r="15687" spans="1:12" x14ac:dyDescent="0.2">
      <c r="A15687"/>
      <c r="B15687"/>
      <c r="C15687"/>
      <c r="D15687"/>
      <c r="E15687"/>
      <c r="F15687"/>
      <c r="G15687"/>
      <c r="H15687"/>
      <c r="I15687"/>
      <c r="J15687"/>
      <c r="K15687" s="1"/>
      <c r="L15687" s="2"/>
    </row>
    <row r="15688" spans="1:12" x14ac:dyDescent="0.2">
      <c r="A15688"/>
      <c r="B15688"/>
      <c r="C15688"/>
      <c r="D15688"/>
      <c r="E15688"/>
      <c r="F15688"/>
      <c r="G15688"/>
      <c r="H15688"/>
      <c r="I15688"/>
      <c r="J15688"/>
      <c r="K15688" s="1"/>
      <c r="L15688" s="2"/>
    </row>
    <row r="15689" spans="1:12" x14ac:dyDescent="0.2">
      <c r="A15689"/>
      <c r="B15689"/>
      <c r="C15689"/>
      <c r="D15689"/>
      <c r="E15689"/>
      <c r="F15689"/>
      <c r="G15689"/>
      <c r="H15689"/>
      <c r="I15689"/>
      <c r="J15689"/>
      <c r="K15689" s="1"/>
      <c r="L15689" s="2"/>
    </row>
    <row r="15690" spans="1:12" x14ac:dyDescent="0.2">
      <c r="A15690"/>
      <c r="B15690"/>
      <c r="C15690"/>
      <c r="D15690"/>
      <c r="E15690"/>
      <c r="F15690"/>
      <c r="G15690"/>
      <c r="H15690"/>
      <c r="I15690"/>
      <c r="J15690"/>
      <c r="K15690" s="1"/>
      <c r="L15690" s="2"/>
    </row>
    <row r="15691" spans="1:12" x14ac:dyDescent="0.2">
      <c r="A15691"/>
      <c r="B15691"/>
      <c r="C15691"/>
      <c r="D15691"/>
      <c r="E15691"/>
      <c r="F15691"/>
      <c r="G15691"/>
      <c r="H15691"/>
      <c r="I15691"/>
      <c r="J15691"/>
      <c r="K15691" s="1"/>
      <c r="L15691" s="2"/>
    </row>
    <row r="15692" spans="1:12" x14ac:dyDescent="0.2">
      <c r="A15692"/>
      <c r="B15692"/>
      <c r="C15692"/>
      <c r="D15692"/>
      <c r="E15692"/>
      <c r="F15692"/>
      <c r="G15692"/>
      <c r="H15692"/>
      <c r="I15692"/>
      <c r="J15692"/>
      <c r="K15692" s="1"/>
      <c r="L15692" s="2"/>
    </row>
    <row r="15693" spans="1:12" x14ac:dyDescent="0.2">
      <c r="A15693"/>
      <c r="B15693"/>
      <c r="C15693"/>
      <c r="D15693"/>
      <c r="E15693"/>
      <c r="F15693"/>
      <c r="G15693"/>
      <c r="H15693"/>
      <c r="I15693"/>
      <c r="J15693"/>
      <c r="K15693" s="1"/>
      <c r="L15693" s="2"/>
    </row>
    <row r="15694" spans="1:12" x14ac:dyDescent="0.2">
      <c r="A15694"/>
      <c r="B15694"/>
      <c r="C15694"/>
      <c r="D15694"/>
      <c r="E15694"/>
      <c r="F15694"/>
      <c r="G15694"/>
      <c r="H15694"/>
      <c r="I15694"/>
      <c r="J15694"/>
      <c r="K15694" s="1"/>
      <c r="L15694" s="2"/>
    </row>
    <row r="15695" spans="1:12" x14ac:dyDescent="0.2">
      <c r="A15695"/>
      <c r="B15695"/>
      <c r="C15695"/>
      <c r="D15695"/>
      <c r="E15695"/>
      <c r="F15695"/>
      <c r="G15695"/>
      <c r="H15695"/>
      <c r="I15695"/>
      <c r="J15695"/>
      <c r="K15695" s="1"/>
      <c r="L15695" s="2"/>
    </row>
    <row r="15696" spans="1:12" x14ac:dyDescent="0.2">
      <c r="A15696"/>
      <c r="B15696"/>
      <c r="C15696"/>
      <c r="D15696"/>
      <c r="E15696"/>
      <c r="F15696"/>
      <c r="G15696"/>
      <c r="H15696"/>
      <c r="I15696"/>
      <c r="J15696"/>
      <c r="K15696" s="1"/>
      <c r="L15696" s="2"/>
    </row>
    <row r="15697" spans="1:12" x14ac:dyDescent="0.2">
      <c r="A15697"/>
      <c r="B15697"/>
      <c r="C15697"/>
      <c r="D15697"/>
      <c r="E15697"/>
      <c r="F15697"/>
      <c r="G15697"/>
      <c r="H15697"/>
      <c r="I15697"/>
      <c r="J15697"/>
      <c r="K15697" s="1"/>
      <c r="L15697" s="2"/>
    </row>
    <row r="15698" spans="1:12" x14ac:dyDescent="0.2">
      <c r="A15698"/>
      <c r="B15698"/>
      <c r="C15698"/>
      <c r="D15698"/>
      <c r="E15698"/>
      <c r="F15698"/>
      <c r="G15698"/>
      <c r="H15698"/>
      <c r="I15698"/>
      <c r="J15698"/>
      <c r="K15698" s="1"/>
      <c r="L15698" s="2"/>
    </row>
    <row r="15699" spans="1:12" x14ac:dyDescent="0.2">
      <c r="A15699"/>
      <c r="B15699"/>
      <c r="C15699"/>
      <c r="D15699"/>
      <c r="E15699"/>
      <c r="F15699"/>
      <c r="G15699"/>
      <c r="H15699"/>
      <c r="I15699"/>
      <c r="J15699"/>
      <c r="K15699" s="1"/>
      <c r="L15699" s="2"/>
    </row>
    <row r="15700" spans="1:12" x14ac:dyDescent="0.2">
      <c r="A15700"/>
      <c r="B15700"/>
      <c r="C15700"/>
      <c r="D15700"/>
      <c r="E15700"/>
      <c r="F15700"/>
      <c r="G15700"/>
      <c r="H15700"/>
      <c r="I15700"/>
      <c r="J15700"/>
      <c r="K15700" s="1"/>
      <c r="L15700" s="2"/>
    </row>
    <row r="15701" spans="1:12" x14ac:dyDescent="0.2">
      <c r="A15701"/>
      <c r="B15701"/>
      <c r="C15701"/>
      <c r="D15701"/>
      <c r="E15701"/>
      <c r="F15701"/>
      <c r="G15701"/>
      <c r="H15701"/>
      <c r="I15701"/>
      <c r="J15701"/>
      <c r="K15701" s="1"/>
      <c r="L15701" s="2"/>
    </row>
    <row r="15702" spans="1:12" x14ac:dyDescent="0.2">
      <c r="A15702"/>
      <c r="B15702"/>
      <c r="C15702"/>
      <c r="D15702"/>
      <c r="E15702"/>
      <c r="F15702"/>
      <c r="G15702"/>
      <c r="H15702"/>
      <c r="I15702"/>
      <c r="J15702"/>
      <c r="K15702" s="1"/>
      <c r="L15702" s="2"/>
    </row>
    <row r="15703" spans="1:12" x14ac:dyDescent="0.2">
      <c r="A15703"/>
      <c r="B15703"/>
      <c r="C15703"/>
      <c r="D15703"/>
      <c r="E15703"/>
      <c r="F15703"/>
      <c r="G15703"/>
      <c r="H15703"/>
      <c r="I15703"/>
      <c r="J15703"/>
      <c r="K15703" s="1"/>
      <c r="L15703" s="2"/>
    </row>
    <row r="15704" spans="1:12" x14ac:dyDescent="0.2">
      <c r="A15704"/>
      <c r="B15704"/>
      <c r="C15704"/>
      <c r="D15704"/>
      <c r="E15704"/>
      <c r="F15704"/>
      <c r="G15704"/>
      <c r="H15704"/>
      <c r="I15704"/>
      <c r="J15704"/>
      <c r="K15704" s="1"/>
      <c r="L15704" s="2"/>
    </row>
    <row r="15705" spans="1:12" x14ac:dyDescent="0.2">
      <c r="A15705"/>
      <c r="B15705"/>
      <c r="C15705"/>
      <c r="D15705"/>
      <c r="E15705"/>
      <c r="F15705"/>
      <c r="G15705"/>
      <c r="H15705"/>
      <c r="I15705"/>
      <c r="J15705"/>
      <c r="K15705" s="1"/>
      <c r="L15705" s="2"/>
    </row>
    <row r="15706" spans="1:12" x14ac:dyDescent="0.2">
      <c r="A15706"/>
      <c r="B15706"/>
      <c r="C15706"/>
      <c r="D15706"/>
      <c r="E15706"/>
      <c r="F15706"/>
      <c r="G15706"/>
      <c r="H15706"/>
      <c r="I15706"/>
      <c r="J15706"/>
      <c r="K15706" s="1"/>
      <c r="L15706" s="2"/>
    </row>
    <row r="15707" spans="1:12" x14ac:dyDescent="0.2">
      <c r="A15707"/>
      <c r="B15707"/>
      <c r="C15707"/>
      <c r="D15707"/>
      <c r="E15707"/>
      <c r="F15707"/>
      <c r="G15707"/>
      <c r="H15707"/>
      <c r="I15707"/>
      <c r="J15707"/>
      <c r="K15707" s="1"/>
      <c r="L15707" s="2"/>
    </row>
    <row r="15708" spans="1:12" x14ac:dyDescent="0.2">
      <c r="A15708"/>
      <c r="B15708"/>
      <c r="C15708"/>
      <c r="D15708"/>
      <c r="E15708"/>
      <c r="F15708"/>
      <c r="G15708"/>
      <c r="H15708"/>
      <c r="I15708"/>
      <c r="J15708"/>
      <c r="K15708" s="1"/>
      <c r="L15708" s="2"/>
    </row>
    <row r="15709" spans="1:12" x14ac:dyDescent="0.2">
      <c r="A15709"/>
      <c r="B15709"/>
      <c r="C15709"/>
      <c r="D15709"/>
      <c r="E15709"/>
      <c r="F15709"/>
      <c r="G15709"/>
      <c r="H15709"/>
      <c r="I15709"/>
      <c r="J15709"/>
      <c r="K15709" s="1"/>
      <c r="L15709" s="2"/>
    </row>
    <row r="15710" spans="1:12" x14ac:dyDescent="0.2">
      <c r="A15710"/>
      <c r="B15710"/>
      <c r="C15710"/>
      <c r="D15710"/>
      <c r="E15710"/>
      <c r="F15710"/>
      <c r="G15710"/>
      <c r="H15710"/>
      <c r="I15710"/>
      <c r="J15710"/>
      <c r="K15710" s="1"/>
      <c r="L15710" s="2"/>
    </row>
    <row r="15711" spans="1:12" x14ac:dyDescent="0.2">
      <c r="A15711"/>
      <c r="B15711"/>
      <c r="C15711"/>
      <c r="D15711"/>
      <c r="E15711"/>
      <c r="F15711"/>
      <c r="G15711"/>
      <c r="H15711"/>
      <c r="I15711"/>
      <c r="J15711"/>
      <c r="K15711" s="1"/>
      <c r="L15711" s="2"/>
    </row>
    <row r="15712" spans="1:12" x14ac:dyDescent="0.2">
      <c r="A15712"/>
      <c r="B15712"/>
      <c r="C15712"/>
      <c r="D15712"/>
      <c r="E15712"/>
      <c r="F15712"/>
      <c r="G15712"/>
      <c r="H15712"/>
      <c r="I15712"/>
      <c r="J15712"/>
      <c r="K15712" s="1"/>
      <c r="L15712" s="2"/>
    </row>
    <row r="15713" spans="1:12" x14ac:dyDescent="0.2">
      <c r="A15713"/>
      <c r="B15713"/>
      <c r="C15713"/>
      <c r="D15713"/>
      <c r="E15713"/>
      <c r="F15713"/>
      <c r="G15713"/>
      <c r="H15713"/>
      <c r="I15713"/>
      <c r="J15713"/>
      <c r="K15713" s="1"/>
      <c r="L15713" s="2"/>
    </row>
    <row r="15714" spans="1:12" x14ac:dyDescent="0.2">
      <c r="A15714"/>
      <c r="B15714"/>
      <c r="C15714"/>
      <c r="D15714"/>
      <c r="E15714"/>
      <c r="F15714"/>
      <c r="G15714"/>
      <c r="H15714"/>
      <c r="I15714"/>
      <c r="J15714"/>
      <c r="K15714" s="1"/>
      <c r="L15714" s="2"/>
    </row>
    <row r="15715" spans="1:12" x14ac:dyDescent="0.2">
      <c r="A15715"/>
      <c r="B15715"/>
      <c r="C15715"/>
      <c r="D15715"/>
      <c r="E15715"/>
      <c r="F15715"/>
      <c r="G15715"/>
      <c r="H15715"/>
      <c r="I15715"/>
      <c r="J15715"/>
      <c r="K15715" s="1"/>
      <c r="L15715" s="2"/>
    </row>
    <row r="15716" spans="1:12" x14ac:dyDescent="0.2">
      <c r="A15716"/>
      <c r="B15716"/>
      <c r="C15716"/>
      <c r="D15716"/>
      <c r="E15716"/>
      <c r="F15716"/>
      <c r="G15716"/>
      <c r="H15716"/>
      <c r="I15716"/>
      <c r="J15716"/>
      <c r="K15716" s="1"/>
      <c r="L15716" s="2"/>
    </row>
    <row r="15717" spans="1:12" x14ac:dyDescent="0.2">
      <c r="A15717"/>
      <c r="B15717"/>
      <c r="C15717"/>
      <c r="D15717"/>
      <c r="E15717"/>
      <c r="F15717"/>
      <c r="G15717"/>
      <c r="H15717"/>
      <c r="I15717"/>
      <c r="J15717"/>
      <c r="K15717" s="1"/>
      <c r="L15717" s="2"/>
    </row>
    <row r="15718" spans="1:12" x14ac:dyDescent="0.2">
      <c r="A15718"/>
      <c r="B15718"/>
      <c r="C15718"/>
      <c r="D15718"/>
      <c r="E15718"/>
      <c r="F15718"/>
      <c r="G15718"/>
      <c r="H15718"/>
      <c r="I15718"/>
      <c r="J15718"/>
      <c r="K15718" s="1"/>
      <c r="L15718" s="2"/>
    </row>
    <row r="15719" spans="1:12" x14ac:dyDescent="0.2">
      <c r="A15719"/>
      <c r="B15719"/>
      <c r="C15719"/>
      <c r="D15719"/>
      <c r="E15719"/>
      <c r="F15719"/>
      <c r="G15719"/>
      <c r="H15719"/>
      <c r="I15719"/>
      <c r="J15719"/>
      <c r="K15719" s="1"/>
      <c r="L15719" s="2"/>
    </row>
    <row r="15720" spans="1:12" x14ac:dyDescent="0.2">
      <c r="A15720"/>
      <c r="B15720"/>
      <c r="C15720"/>
      <c r="D15720"/>
      <c r="E15720"/>
      <c r="F15720"/>
      <c r="G15720"/>
      <c r="H15720"/>
      <c r="I15720"/>
      <c r="J15720"/>
      <c r="K15720" s="1"/>
      <c r="L15720" s="2"/>
    </row>
    <row r="15721" spans="1:12" x14ac:dyDescent="0.2">
      <c r="A15721"/>
      <c r="B15721"/>
      <c r="C15721"/>
      <c r="D15721"/>
      <c r="E15721"/>
      <c r="F15721"/>
      <c r="G15721"/>
      <c r="H15721"/>
      <c r="I15721"/>
      <c r="J15721"/>
      <c r="K15721" s="1"/>
      <c r="L15721" s="2"/>
    </row>
    <row r="15722" spans="1:12" x14ac:dyDescent="0.2">
      <c r="A15722"/>
      <c r="B15722"/>
      <c r="C15722"/>
      <c r="D15722"/>
      <c r="E15722"/>
      <c r="F15722"/>
      <c r="G15722"/>
      <c r="H15722"/>
      <c r="I15722"/>
      <c r="J15722"/>
      <c r="K15722" s="1"/>
      <c r="L15722" s="2"/>
    </row>
    <row r="15723" spans="1:12" x14ac:dyDescent="0.2">
      <c r="A15723"/>
      <c r="B15723"/>
      <c r="C15723"/>
      <c r="D15723"/>
      <c r="E15723"/>
      <c r="F15723"/>
      <c r="G15723"/>
      <c r="H15723"/>
      <c r="I15723"/>
      <c r="J15723"/>
      <c r="K15723" s="1"/>
      <c r="L15723" s="2"/>
    </row>
    <row r="15724" spans="1:12" x14ac:dyDescent="0.2">
      <c r="A15724"/>
      <c r="B15724"/>
      <c r="C15724"/>
      <c r="D15724"/>
      <c r="E15724"/>
      <c r="F15724"/>
      <c r="G15724"/>
      <c r="H15724"/>
      <c r="I15724"/>
      <c r="J15724"/>
      <c r="K15724" s="1"/>
      <c r="L15724" s="2"/>
    </row>
    <row r="15725" spans="1:12" x14ac:dyDescent="0.2">
      <c r="A15725"/>
      <c r="B15725"/>
      <c r="C15725"/>
      <c r="D15725"/>
      <c r="E15725"/>
      <c r="F15725"/>
      <c r="G15725"/>
      <c r="H15725"/>
      <c r="I15725"/>
      <c r="J15725"/>
      <c r="K15725" s="1"/>
      <c r="L15725" s="2"/>
    </row>
    <row r="15726" spans="1:12" x14ac:dyDescent="0.2">
      <c r="A15726"/>
      <c r="B15726"/>
      <c r="C15726"/>
      <c r="D15726"/>
      <c r="E15726"/>
      <c r="F15726"/>
      <c r="G15726"/>
      <c r="H15726"/>
      <c r="I15726"/>
      <c r="J15726"/>
      <c r="K15726" s="1"/>
      <c r="L15726" s="2"/>
    </row>
    <row r="15727" spans="1:12" x14ac:dyDescent="0.2">
      <c r="A15727"/>
      <c r="B15727"/>
      <c r="C15727"/>
      <c r="D15727"/>
      <c r="E15727"/>
      <c r="F15727"/>
      <c r="G15727"/>
      <c r="H15727"/>
      <c r="I15727"/>
      <c r="J15727"/>
      <c r="K15727" s="1"/>
      <c r="L15727" s="2"/>
    </row>
    <row r="15728" spans="1:12" x14ac:dyDescent="0.2">
      <c r="A15728"/>
      <c r="B15728"/>
      <c r="C15728"/>
      <c r="D15728"/>
      <c r="E15728"/>
      <c r="F15728"/>
      <c r="G15728"/>
      <c r="H15728"/>
      <c r="I15728"/>
      <c r="J15728"/>
      <c r="K15728" s="1"/>
      <c r="L15728" s="2"/>
    </row>
    <row r="15729" spans="1:12" x14ac:dyDescent="0.2">
      <c r="A15729"/>
      <c r="B15729"/>
      <c r="C15729"/>
      <c r="D15729"/>
      <c r="E15729"/>
      <c r="F15729"/>
      <c r="G15729"/>
      <c r="H15729"/>
      <c r="I15729"/>
      <c r="J15729"/>
      <c r="K15729" s="1"/>
      <c r="L15729" s="2"/>
    </row>
    <row r="15730" spans="1:12" x14ac:dyDescent="0.2">
      <c r="A15730"/>
      <c r="B15730"/>
      <c r="C15730"/>
      <c r="D15730"/>
      <c r="E15730"/>
      <c r="F15730"/>
      <c r="G15730"/>
      <c r="H15730"/>
      <c r="I15730"/>
      <c r="J15730"/>
      <c r="K15730" s="1"/>
      <c r="L15730" s="2"/>
    </row>
    <row r="15731" spans="1:12" x14ac:dyDescent="0.2">
      <c r="A15731"/>
      <c r="B15731"/>
      <c r="C15731"/>
      <c r="D15731"/>
      <c r="E15731"/>
      <c r="F15731"/>
      <c r="G15731"/>
      <c r="H15731"/>
      <c r="I15731"/>
      <c r="J15731"/>
      <c r="K15731" s="1"/>
      <c r="L15731" s="2"/>
    </row>
    <row r="15732" spans="1:12" x14ac:dyDescent="0.2">
      <c r="A15732"/>
      <c r="B15732"/>
      <c r="C15732"/>
      <c r="D15732"/>
      <c r="E15732"/>
      <c r="F15732"/>
      <c r="G15732"/>
      <c r="H15732"/>
      <c r="I15732"/>
      <c r="J15732"/>
      <c r="K15732" s="1"/>
      <c r="L15732" s="2"/>
    </row>
    <row r="15733" spans="1:12" x14ac:dyDescent="0.2">
      <c r="A15733"/>
      <c r="B15733"/>
      <c r="C15733"/>
      <c r="D15733"/>
      <c r="E15733"/>
      <c r="F15733"/>
      <c r="G15733"/>
      <c r="H15733"/>
      <c r="I15733"/>
      <c r="J15733"/>
      <c r="K15733" s="1"/>
      <c r="L15733" s="2"/>
    </row>
    <row r="15734" spans="1:12" x14ac:dyDescent="0.2">
      <c r="A15734"/>
      <c r="B15734"/>
      <c r="C15734"/>
      <c r="D15734"/>
      <c r="E15734"/>
      <c r="F15734"/>
      <c r="G15734"/>
      <c r="H15734"/>
      <c r="I15734"/>
      <c r="J15734"/>
      <c r="K15734" s="1"/>
      <c r="L15734" s="2"/>
    </row>
    <row r="15735" spans="1:12" x14ac:dyDescent="0.2">
      <c r="A15735"/>
      <c r="B15735"/>
      <c r="C15735"/>
      <c r="D15735"/>
      <c r="E15735"/>
      <c r="F15735"/>
      <c r="G15735"/>
      <c r="H15735"/>
      <c r="I15735"/>
      <c r="J15735"/>
      <c r="K15735" s="1"/>
      <c r="L15735" s="2"/>
    </row>
    <row r="15736" spans="1:12" x14ac:dyDescent="0.2">
      <c r="A15736"/>
      <c r="B15736"/>
      <c r="C15736"/>
      <c r="D15736"/>
      <c r="E15736"/>
      <c r="F15736"/>
      <c r="G15736"/>
      <c r="H15736"/>
      <c r="I15736"/>
      <c r="J15736"/>
      <c r="K15736" s="1"/>
      <c r="L15736" s="2"/>
    </row>
    <row r="15737" spans="1:12" x14ac:dyDescent="0.2">
      <c r="A15737"/>
      <c r="B15737"/>
      <c r="C15737"/>
      <c r="D15737"/>
      <c r="E15737"/>
      <c r="F15737"/>
      <c r="G15737"/>
      <c r="H15737"/>
      <c r="I15737"/>
      <c r="J15737"/>
      <c r="K15737" s="1"/>
      <c r="L15737" s="2"/>
    </row>
    <row r="15738" spans="1:12" x14ac:dyDescent="0.2">
      <c r="A15738"/>
      <c r="B15738"/>
      <c r="C15738"/>
      <c r="D15738"/>
      <c r="E15738"/>
      <c r="F15738"/>
      <c r="G15738"/>
      <c r="H15738"/>
      <c r="I15738"/>
      <c r="J15738"/>
      <c r="K15738" s="1"/>
      <c r="L15738" s="2"/>
    </row>
    <row r="15739" spans="1:12" x14ac:dyDescent="0.2">
      <c r="A15739"/>
      <c r="B15739"/>
      <c r="C15739"/>
      <c r="D15739"/>
      <c r="E15739"/>
      <c r="F15739"/>
      <c r="G15739"/>
      <c r="H15739"/>
      <c r="I15739"/>
      <c r="J15739"/>
      <c r="K15739" s="1"/>
      <c r="L15739" s="2"/>
    </row>
    <row r="15740" spans="1:12" x14ac:dyDescent="0.2">
      <c r="A15740"/>
      <c r="B15740"/>
      <c r="C15740"/>
      <c r="D15740"/>
      <c r="E15740"/>
      <c r="F15740"/>
      <c r="G15740"/>
      <c r="H15740"/>
      <c r="I15740"/>
      <c r="J15740"/>
      <c r="K15740" s="1"/>
      <c r="L15740" s="2"/>
    </row>
    <row r="15741" spans="1:12" x14ac:dyDescent="0.2">
      <c r="A15741"/>
      <c r="B15741"/>
      <c r="C15741"/>
      <c r="D15741"/>
      <c r="E15741"/>
      <c r="F15741"/>
      <c r="G15741"/>
      <c r="H15741"/>
      <c r="I15741"/>
      <c r="J15741"/>
      <c r="K15741" s="1"/>
      <c r="L15741" s="2"/>
    </row>
    <row r="15742" spans="1:12" x14ac:dyDescent="0.2">
      <c r="A15742"/>
      <c r="B15742"/>
      <c r="C15742"/>
      <c r="D15742"/>
      <c r="E15742"/>
      <c r="F15742"/>
      <c r="G15742"/>
      <c r="H15742"/>
      <c r="I15742"/>
      <c r="J15742"/>
      <c r="K15742" s="1"/>
      <c r="L15742" s="2"/>
    </row>
    <row r="15743" spans="1:12" x14ac:dyDescent="0.2">
      <c r="A15743"/>
      <c r="B15743"/>
      <c r="C15743"/>
      <c r="D15743"/>
      <c r="E15743"/>
      <c r="F15743"/>
      <c r="G15743"/>
      <c r="H15743"/>
      <c r="I15743"/>
      <c r="J15743"/>
      <c r="K15743" s="1"/>
      <c r="L15743" s="2"/>
    </row>
    <row r="15744" spans="1:12" x14ac:dyDescent="0.2">
      <c r="A15744"/>
      <c r="B15744"/>
      <c r="C15744"/>
      <c r="D15744"/>
      <c r="E15744"/>
      <c r="F15744"/>
      <c r="G15744"/>
      <c r="H15744"/>
      <c r="I15744"/>
      <c r="J15744"/>
      <c r="K15744" s="1"/>
      <c r="L15744" s="2"/>
    </row>
    <row r="15745" spans="1:12" x14ac:dyDescent="0.2">
      <c r="A15745"/>
      <c r="B15745"/>
      <c r="C15745"/>
      <c r="D15745"/>
      <c r="E15745"/>
      <c r="F15745"/>
      <c r="G15745"/>
      <c r="H15745"/>
      <c r="I15745"/>
      <c r="J15745"/>
      <c r="K15745" s="1"/>
      <c r="L15745" s="2"/>
    </row>
    <row r="15746" spans="1:12" x14ac:dyDescent="0.2">
      <c r="A15746"/>
      <c r="B15746"/>
      <c r="C15746"/>
      <c r="D15746"/>
      <c r="E15746"/>
      <c r="F15746"/>
      <c r="G15746"/>
      <c r="H15746"/>
      <c r="I15746"/>
      <c r="J15746"/>
      <c r="K15746" s="1"/>
      <c r="L15746" s="2"/>
    </row>
    <row r="15747" spans="1:12" x14ac:dyDescent="0.2">
      <c r="A15747"/>
      <c r="B15747"/>
      <c r="C15747"/>
      <c r="D15747"/>
      <c r="E15747"/>
      <c r="F15747"/>
      <c r="G15747"/>
      <c r="H15747"/>
      <c r="I15747"/>
      <c r="J15747"/>
      <c r="K15747" s="1"/>
      <c r="L15747" s="2"/>
    </row>
    <row r="15748" spans="1:12" x14ac:dyDescent="0.2">
      <c r="A15748"/>
      <c r="B15748"/>
      <c r="C15748"/>
      <c r="D15748"/>
      <c r="E15748"/>
      <c r="F15748"/>
      <c r="G15748"/>
      <c r="H15748"/>
      <c r="I15748"/>
      <c r="J15748"/>
      <c r="K15748" s="1"/>
      <c r="L15748" s="2"/>
    </row>
    <row r="15749" spans="1:12" x14ac:dyDescent="0.2">
      <c r="A15749"/>
      <c r="B15749"/>
      <c r="C15749"/>
      <c r="D15749"/>
      <c r="E15749"/>
      <c r="F15749"/>
      <c r="G15749"/>
      <c r="H15749"/>
      <c r="I15749"/>
      <c r="J15749"/>
      <c r="K15749" s="1"/>
      <c r="L15749" s="2"/>
    </row>
    <row r="15750" spans="1:12" x14ac:dyDescent="0.2">
      <c r="A15750"/>
      <c r="B15750"/>
      <c r="C15750"/>
      <c r="D15750"/>
      <c r="E15750"/>
      <c r="F15750"/>
      <c r="G15750"/>
      <c r="H15750"/>
      <c r="I15750"/>
      <c r="J15750"/>
      <c r="K15750" s="1"/>
      <c r="L15750" s="2"/>
    </row>
    <row r="15751" spans="1:12" x14ac:dyDescent="0.2">
      <c r="A15751"/>
      <c r="B15751"/>
      <c r="C15751"/>
      <c r="D15751"/>
      <c r="E15751"/>
      <c r="F15751"/>
      <c r="G15751"/>
      <c r="H15751"/>
      <c r="I15751"/>
      <c r="J15751"/>
      <c r="K15751" s="1"/>
      <c r="L15751" s="2"/>
    </row>
    <row r="15752" spans="1:12" x14ac:dyDescent="0.2">
      <c r="A15752"/>
      <c r="B15752"/>
      <c r="C15752"/>
      <c r="D15752"/>
      <c r="E15752"/>
      <c r="F15752"/>
      <c r="G15752"/>
      <c r="H15752"/>
      <c r="I15752"/>
      <c r="J15752"/>
      <c r="K15752" s="1"/>
      <c r="L15752" s="2"/>
    </row>
    <row r="15753" spans="1:12" x14ac:dyDescent="0.2">
      <c r="A15753"/>
      <c r="B15753"/>
      <c r="C15753"/>
      <c r="D15753"/>
      <c r="E15753"/>
      <c r="F15753"/>
      <c r="G15753"/>
      <c r="H15753"/>
      <c r="I15753"/>
      <c r="J15753"/>
      <c r="K15753" s="1"/>
      <c r="L15753" s="2"/>
    </row>
    <row r="15754" spans="1:12" x14ac:dyDescent="0.2">
      <c r="A15754"/>
      <c r="B15754"/>
      <c r="C15754"/>
      <c r="D15754"/>
      <c r="E15754"/>
      <c r="F15754"/>
      <c r="G15754"/>
      <c r="H15754"/>
      <c r="I15754"/>
      <c r="J15754"/>
      <c r="K15754" s="1"/>
      <c r="L15754" s="2"/>
    </row>
    <row r="15755" spans="1:12" x14ac:dyDescent="0.2">
      <c r="A15755"/>
      <c r="B15755"/>
      <c r="C15755"/>
      <c r="D15755"/>
      <c r="E15755"/>
      <c r="F15755"/>
      <c r="G15755"/>
      <c r="H15755"/>
      <c r="I15755"/>
      <c r="J15755"/>
      <c r="K15755" s="1"/>
      <c r="L15755" s="2"/>
    </row>
    <row r="15756" spans="1:12" x14ac:dyDescent="0.2">
      <c r="A15756"/>
      <c r="B15756"/>
      <c r="C15756"/>
      <c r="D15756"/>
      <c r="E15756"/>
      <c r="F15756"/>
      <c r="G15756"/>
      <c r="H15756"/>
      <c r="I15756"/>
      <c r="J15756"/>
      <c r="K15756" s="1"/>
      <c r="L15756" s="2"/>
    </row>
    <row r="15757" spans="1:12" x14ac:dyDescent="0.2">
      <c r="A15757"/>
      <c r="B15757"/>
      <c r="C15757"/>
      <c r="D15757"/>
      <c r="E15757"/>
      <c r="F15757"/>
      <c r="G15757"/>
      <c r="H15757"/>
      <c r="I15757"/>
      <c r="J15757"/>
      <c r="K15757" s="1"/>
      <c r="L15757" s="2"/>
    </row>
    <row r="15758" spans="1:12" x14ac:dyDescent="0.2">
      <c r="A15758"/>
      <c r="B15758"/>
      <c r="C15758"/>
      <c r="D15758"/>
      <c r="E15758"/>
      <c r="F15758"/>
      <c r="G15758"/>
      <c r="H15758"/>
      <c r="I15758"/>
      <c r="J15758"/>
      <c r="K15758" s="1"/>
      <c r="L15758" s="2"/>
    </row>
    <row r="15759" spans="1:12" x14ac:dyDescent="0.2">
      <c r="A15759"/>
      <c r="B15759"/>
      <c r="C15759"/>
      <c r="D15759"/>
      <c r="E15759"/>
      <c r="F15759"/>
      <c r="G15759"/>
      <c r="H15759"/>
      <c r="I15759"/>
      <c r="J15759"/>
      <c r="K15759" s="1"/>
      <c r="L15759" s="2"/>
    </row>
    <row r="15760" spans="1:12" x14ac:dyDescent="0.2">
      <c r="A15760"/>
      <c r="B15760"/>
      <c r="C15760"/>
      <c r="D15760"/>
      <c r="E15760"/>
      <c r="F15760"/>
      <c r="G15760"/>
      <c r="H15760"/>
      <c r="I15760"/>
      <c r="J15760"/>
      <c r="K15760" s="1"/>
      <c r="L15760" s="2"/>
    </row>
    <row r="15761" spans="1:12" x14ac:dyDescent="0.2">
      <c r="A15761"/>
      <c r="B15761"/>
      <c r="C15761"/>
      <c r="D15761"/>
      <c r="E15761"/>
      <c r="F15761"/>
      <c r="G15761"/>
      <c r="H15761"/>
      <c r="I15761"/>
      <c r="J15761"/>
      <c r="K15761" s="1"/>
      <c r="L15761" s="2"/>
    </row>
    <row r="15762" spans="1:12" x14ac:dyDescent="0.2">
      <c r="A15762"/>
      <c r="B15762"/>
      <c r="C15762"/>
      <c r="D15762"/>
      <c r="E15762"/>
      <c r="F15762"/>
      <c r="G15762"/>
      <c r="H15762"/>
      <c r="I15762"/>
      <c r="J15762"/>
      <c r="K15762" s="1"/>
      <c r="L15762" s="2"/>
    </row>
    <row r="15763" spans="1:12" x14ac:dyDescent="0.2">
      <c r="A15763"/>
      <c r="B15763"/>
      <c r="C15763"/>
      <c r="D15763"/>
      <c r="E15763"/>
      <c r="F15763"/>
      <c r="G15763"/>
      <c r="H15763"/>
      <c r="I15763"/>
      <c r="J15763"/>
      <c r="K15763" s="1"/>
      <c r="L15763" s="2"/>
    </row>
    <row r="15764" spans="1:12" x14ac:dyDescent="0.2">
      <c r="A15764"/>
      <c r="B15764"/>
      <c r="C15764"/>
      <c r="D15764"/>
      <c r="E15764"/>
      <c r="F15764"/>
      <c r="G15764"/>
      <c r="H15764"/>
      <c r="I15764"/>
      <c r="J15764"/>
      <c r="K15764" s="1"/>
      <c r="L15764" s="2"/>
    </row>
    <row r="15765" spans="1:12" x14ac:dyDescent="0.2">
      <c r="A15765"/>
      <c r="B15765"/>
      <c r="C15765"/>
      <c r="D15765"/>
      <c r="E15765"/>
      <c r="F15765"/>
      <c r="G15765"/>
      <c r="H15765"/>
      <c r="I15765"/>
      <c r="J15765"/>
      <c r="K15765" s="1"/>
      <c r="L15765" s="2"/>
    </row>
    <row r="15766" spans="1:12" x14ac:dyDescent="0.2">
      <c r="A15766"/>
      <c r="B15766"/>
      <c r="C15766"/>
      <c r="D15766"/>
      <c r="E15766"/>
      <c r="F15766"/>
      <c r="G15766"/>
      <c r="H15766"/>
      <c r="I15766"/>
      <c r="J15766"/>
      <c r="K15766" s="1"/>
      <c r="L15766" s="2"/>
    </row>
    <row r="15767" spans="1:12" x14ac:dyDescent="0.2">
      <c r="A15767"/>
      <c r="B15767"/>
      <c r="C15767"/>
      <c r="D15767"/>
      <c r="E15767"/>
      <c r="F15767"/>
      <c r="G15767"/>
      <c r="H15767"/>
      <c r="I15767"/>
      <c r="J15767"/>
      <c r="K15767" s="1"/>
      <c r="L15767" s="2"/>
    </row>
    <row r="15768" spans="1:12" x14ac:dyDescent="0.2">
      <c r="A15768"/>
      <c r="B15768"/>
      <c r="C15768"/>
      <c r="D15768"/>
      <c r="E15768"/>
      <c r="F15768"/>
      <c r="G15768"/>
      <c r="H15768"/>
      <c r="I15768"/>
      <c r="J15768"/>
      <c r="K15768" s="1"/>
      <c r="L15768" s="2"/>
    </row>
    <row r="15769" spans="1:12" x14ac:dyDescent="0.2">
      <c r="A15769"/>
      <c r="B15769"/>
      <c r="C15769"/>
      <c r="D15769"/>
      <c r="E15769"/>
      <c r="F15769"/>
      <c r="G15769"/>
      <c r="H15769"/>
      <c r="I15769"/>
      <c r="J15769"/>
      <c r="K15769" s="1"/>
      <c r="L15769" s="2"/>
    </row>
    <row r="15770" spans="1:12" x14ac:dyDescent="0.2">
      <c r="A15770"/>
      <c r="B15770"/>
      <c r="C15770"/>
      <c r="D15770"/>
      <c r="E15770"/>
      <c r="F15770"/>
      <c r="G15770"/>
      <c r="H15770"/>
      <c r="I15770"/>
      <c r="J15770"/>
      <c r="K15770" s="1"/>
      <c r="L15770" s="2"/>
    </row>
    <row r="15771" spans="1:12" x14ac:dyDescent="0.2">
      <c r="A15771"/>
      <c r="B15771"/>
      <c r="C15771"/>
      <c r="D15771"/>
      <c r="E15771"/>
      <c r="F15771"/>
      <c r="G15771"/>
      <c r="H15771"/>
      <c r="I15771"/>
      <c r="J15771"/>
      <c r="K15771" s="1"/>
      <c r="L15771" s="2"/>
    </row>
    <row r="15772" spans="1:12" x14ac:dyDescent="0.2">
      <c r="A15772"/>
      <c r="B15772"/>
      <c r="C15772"/>
      <c r="D15772"/>
      <c r="E15772"/>
      <c r="F15772"/>
      <c r="G15772"/>
      <c r="H15772"/>
      <c r="I15772"/>
      <c r="J15772"/>
      <c r="K15772" s="1"/>
      <c r="L15772" s="2"/>
    </row>
    <row r="15773" spans="1:12" x14ac:dyDescent="0.2">
      <c r="A15773"/>
      <c r="B15773"/>
      <c r="C15773"/>
      <c r="D15773"/>
      <c r="E15773"/>
      <c r="F15773"/>
      <c r="G15773"/>
      <c r="H15773"/>
      <c r="I15773"/>
      <c r="J15773"/>
      <c r="K15773" s="1"/>
      <c r="L15773" s="2"/>
    </row>
    <row r="15774" spans="1:12" x14ac:dyDescent="0.2">
      <c r="A15774"/>
      <c r="B15774"/>
      <c r="C15774"/>
      <c r="D15774"/>
      <c r="E15774"/>
      <c r="F15774"/>
      <c r="G15774"/>
      <c r="H15774"/>
      <c r="I15774"/>
      <c r="J15774"/>
      <c r="K15774" s="1"/>
      <c r="L15774" s="2"/>
    </row>
    <row r="15775" spans="1:12" x14ac:dyDescent="0.2">
      <c r="A15775"/>
      <c r="B15775"/>
      <c r="C15775"/>
      <c r="D15775"/>
      <c r="E15775"/>
      <c r="F15775"/>
      <c r="G15775"/>
      <c r="H15775"/>
      <c r="I15775"/>
      <c r="J15775"/>
      <c r="K15775" s="1"/>
      <c r="L15775" s="2"/>
    </row>
    <row r="15776" spans="1:12" x14ac:dyDescent="0.2">
      <c r="A15776"/>
      <c r="B15776"/>
      <c r="C15776"/>
      <c r="D15776"/>
      <c r="E15776"/>
      <c r="F15776"/>
      <c r="G15776"/>
      <c r="H15776"/>
      <c r="I15776"/>
      <c r="J15776"/>
      <c r="K15776" s="1"/>
      <c r="L15776" s="2"/>
    </row>
    <row r="15777" spans="1:12" x14ac:dyDescent="0.2">
      <c r="A15777"/>
      <c r="B15777"/>
      <c r="C15777"/>
      <c r="D15777"/>
      <c r="E15777"/>
      <c r="F15777"/>
      <c r="G15777"/>
      <c r="H15777"/>
      <c r="I15777"/>
      <c r="J15777"/>
      <c r="K15777" s="1"/>
      <c r="L15777" s="2"/>
    </row>
    <row r="15778" spans="1:12" x14ac:dyDescent="0.2">
      <c r="A15778"/>
      <c r="B15778"/>
      <c r="C15778"/>
      <c r="D15778"/>
      <c r="E15778"/>
      <c r="F15778"/>
      <c r="G15778"/>
      <c r="H15778"/>
      <c r="I15778"/>
      <c r="J15778"/>
      <c r="K15778" s="1"/>
      <c r="L15778" s="2"/>
    </row>
    <row r="15779" spans="1:12" x14ac:dyDescent="0.2">
      <c r="A15779"/>
      <c r="B15779"/>
      <c r="C15779"/>
      <c r="D15779"/>
      <c r="E15779"/>
      <c r="F15779"/>
      <c r="G15779"/>
      <c r="H15779"/>
      <c r="I15779"/>
      <c r="J15779"/>
      <c r="K15779" s="1"/>
      <c r="L15779" s="2"/>
    </row>
    <row r="15780" spans="1:12" x14ac:dyDescent="0.2">
      <c r="A15780"/>
      <c r="B15780"/>
      <c r="C15780"/>
      <c r="D15780"/>
      <c r="E15780"/>
      <c r="F15780"/>
      <c r="G15780"/>
      <c r="H15780"/>
      <c r="I15780"/>
      <c r="J15780"/>
      <c r="K15780" s="1"/>
      <c r="L15780" s="2"/>
    </row>
    <row r="15781" spans="1:12" x14ac:dyDescent="0.2">
      <c r="A15781"/>
      <c r="B15781"/>
      <c r="C15781"/>
      <c r="D15781"/>
      <c r="E15781"/>
      <c r="F15781"/>
      <c r="G15781"/>
      <c r="H15781"/>
      <c r="I15781"/>
      <c r="J15781"/>
      <c r="K15781" s="1"/>
      <c r="L15781" s="2"/>
    </row>
    <row r="15782" spans="1:12" x14ac:dyDescent="0.2">
      <c r="A15782"/>
      <c r="B15782"/>
      <c r="C15782"/>
      <c r="D15782"/>
      <c r="E15782"/>
      <c r="F15782"/>
      <c r="G15782"/>
      <c r="H15782"/>
      <c r="I15782"/>
      <c r="J15782"/>
      <c r="K15782" s="1"/>
      <c r="L15782" s="2"/>
    </row>
    <row r="15783" spans="1:12" x14ac:dyDescent="0.2">
      <c r="A15783"/>
      <c r="B15783"/>
      <c r="C15783"/>
      <c r="D15783"/>
      <c r="E15783"/>
      <c r="F15783"/>
      <c r="G15783"/>
      <c r="H15783"/>
      <c r="I15783"/>
      <c r="J15783"/>
      <c r="K15783" s="1"/>
      <c r="L15783" s="2"/>
    </row>
    <row r="15784" spans="1:12" x14ac:dyDescent="0.2">
      <c r="A15784"/>
      <c r="B15784"/>
      <c r="C15784"/>
      <c r="D15784"/>
      <c r="E15784"/>
      <c r="F15784"/>
      <c r="G15784"/>
      <c r="H15784"/>
      <c r="I15784"/>
      <c r="J15784"/>
      <c r="K15784" s="1"/>
      <c r="L15784" s="2"/>
    </row>
    <row r="15785" spans="1:12" x14ac:dyDescent="0.2">
      <c r="A15785"/>
      <c r="B15785"/>
      <c r="C15785"/>
      <c r="D15785"/>
      <c r="E15785"/>
      <c r="F15785"/>
      <c r="G15785"/>
      <c r="H15785"/>
      <c r="I15785"/>
      <c r="J15785"/>
      <c r="K15785" s="1"/>
      <c r="L15785" s="2"/>
    </row>
    <row r="15786" spans="1:12" x14ac:dyDescent="0.2">
      <c r="A15786"/>
      <c r="B15786"/>
      <c r="C15786"/>
      <c r="D15786"/>
      <c r="E15786"/>
      <c r="F15786"/>
      <c r="G15786"/>
      <c r="H15786"/>
      <c r="I15786"/>
      <c r="J15786"/>
      <c r="K15786" s="1"/>
      <c r="L15786" s="2"/>
    </row>
    <row r="15787" spans="1:12" x14ac:dyDescent="0.2">
      <c r="A15787"/>
      <c r="B15787"/>
      <c r="C15787"/>
      <c r="D15787"/>
      <c r="E15787"/>
      <c r="F15787"/>
      <c r="G15787"/>
      <c r="H15787"/>
      <c r="I15787"/>
      <c r="J15787"/>
      <c r="K15787" s="1"/>
      <c r="L15787" s="2"/>
    </row>
    <row r="15788" spans="1:12" x14ac:dyDescent="0.2">
      <c r="A15788"/>
      <c r="B15788"/>
      <c r="C15788"/>
      <c r="D15788"/>
      <c r="E15788"/>
      <c r="F15788"/>
      <c r="G15788"/>
      <c r="H15788"/>
      <c r="I15788"/>
      <c r="J15788"/>
      <c r="K15788" s="1"/>
      <c r="L15788" s="2"/>
    </row>
    <row r="15789" spans="1:12" x14ac:dyDescent="0.2">
      <c r="A15789"/>
      <c r="B15789"/>
      <c r="C15789"/>
      <c r="D15789"/>
      <c r="E15789"/>
      <c r="F15789"/>
      <c r="G15789"/>
      <c r="H15789"/>
      <c r="I15789"/>
      <c r="J15789"/>
      <c r="K15789" s="1"/>
      <c r="L15789" s="2"/>
    </row>
    <row r="15790" spans="1:12" x14ac:dyDescent="0.2">
      <c r="A15790"/>
      <c r="B15790"/>
      <c r="C15790"/>
      <c r="D15790"/>
      <c r="E15790"/>
      <c r="F15790"/>
      <c r="G15790"/>
      <c r="H15790"/>
      <c r="I15790"/>
      <c r="J15790"/>
      <c r="K15790" s="1"/>
      <c r="L15790" s="2"/>
    </row>
    <row r="15791" spans="1:12" x14ac:dyDescent="0.2">
      <c r="A15791"/>
      <c r="B15791"/>
      <c r="C15791"/>
      <c r="D15791"/>
      <c r="E15791"/>
      <c r="F15791"/>
      <c r="G15791"/>
      <c r="H15791"/>
      <c r="I15791"/>
      <c r="J15791"/>
      <c r="K15791" s="1"/>
      <c r="L15791" s="2"/>
    </row>
    <row r="15792" spans="1:12" x14ac:dyDescent="0.2">
      <c r="A15792"/>
      <c r="B15792"/>
      <c r="C15792"/>
      <c r="D15792"/>
      <c r="E15792"/>
      <c r="F15792"/>
      <c r="G15792"/>
      <c r="H15792"/>
      <c r="I15792"/>
      <c r="J15792"/>
      <c r="K15792" s="1"/>
      <c r="L15792" s="2"/>
    </row>
    <row r="15793" spans="1:12" x14ac:dyDescent="0.2">
      <c r="A15793"/>
      <c r="B15793"/>
      <c r="C15793"/>
      <c r="D15793"/>
      <c r="E15793"/>
      <c r="F15793"/>
      <c r="G15793"/>
      <c r="H15793"/>
      <c r="I15793"/>
      <c r="J15793"/>
      <c r="K15793" s="1"/>
      <c r="L15793" s="2"/>
    </row>
    <row r="15794" spans="1:12" x14ac:dyDescent="0.2">
      <c r="A15794"/>
      <c r="B15794"/>
      <c r="C15794"/>
      <c r="D15794"/>
      <c r="E15794"/>
      <c r="F15794"/>
      <c r="G15794"/>
      <c r="H15794"/>
      <c r="I15794"/>
      <c r="J15794"/>
      <c r="K15794" s="1"/>
      <c r="L15794" s="2"/>
    </row>
    <row r="15795" spans="1:12" x14ac:dyDescent="0.2">
      <c r="A15795"/>
      <c r="B15795"/>
      <c r="C15795"/>
      <c r="D15795"/>
      <c r="E15795"/>
      <c r="F15795"/>
      <c r="G15795"/>
      <c r="H15795"/>
      <c r="I15795"/>
      <c r="J15795"/>
      <c r="K15795" s="1"/>
      <c r="L15795" s="2"/>
    </row>
    <row r="15796" spans="1:12" x14ac:dyDescent="0.2">
      <c r="A15796"/>
      <c r="B15796"/>
      <c r="C15796"/>
      <c r="D15796"/>
      <c r="E15796"/>
      <c r="F15796"/>
      <c r="G15796"/>
      <c r="H15796"/>
      <c r="I15796"/>
      <c r="J15796"/>
      <c r="K15796" s="1"/>
      <c r="L15796" s="2"/>
    </row>
    <row r="15797" spans="1:12" x14ac:dyDescent="0.2">
      <c r="A15797"/>
      <c r="B15797"/>
      <c r="C15797"/>
      <c r="D15797"/>
      <c r="E15797"/>
      <c r="F15797"/>
      <c r="G15797"/>
      <c r="H15797"/>
      <c r="I15797"/>
      <c r="J15797"/>
      <c r="K15797" s="1"/>
      <c r="L15797" s="2"/>
    </row>
    <row r="15798" spans="1:12" x14ac:dyDescent="0.2">
      <c r="A15798"/>
      <c r="B15798"/>
      <c r="C15798"/>
      <c r="D15798"/>
      <c r="E15798"/>
      <c r="F15798"/>
      <c r="G15798"/>
      <c r="H15798"/>
      <c r="I15798"/>
      <c r="J15798"/>
      <c r="K15798" s="1"/>
      <c r="L15798" s="2"/>
    </row>
    <row r="15799" spans="1:12" x14ac:dyDescent="0.2">
      <c r="A15799"/>
      <c r="B15799"/>
      <c r="C15799"/>
      <c r="D15799"/>
      <c r="E15799"/>
      <c r="F15799"/>
      <c r="G15799"/>
      <c r="H15799"/>
      <c r="I15799"/>
      <c r="J15799"/>
      <c r="K15799" s="1"/>
      <c r="L15799" s="2"/>
    </row>
    <row r="15800" spans="1:12" x14ac:dyDescent="0.2">
      <c r="A15800"/>
      <c r="B15800"/>
      <c r="C15800"/>
      <c r="D15800"/>
      <c r="E15800"/>
      <c r="F15800"/>
      <c r="G15800"/>
      <c r="H15800"/>
      <c r="I15800"/>
      <c r="J15800"/>
      <c r="K15800" s="1"/>
      <c r="L15800" s="2"/>
    </row>
    <row r="15801" spans="1:12" x14ac:dyDescent="0.2">
      <c r="A15801"/>
      <c r="B15801"/>
      <c r="C15801"/>
      <c r="D15801"/>
      <c r="E15801"/>
      <c r="F15801"/>
      <c r="G15801"/>
      <c r="H15801"/>
      <c r="I15801"/>
      <c r="J15801"/>
      <c r="K15801" s="1"/>
      <c r="L15801" s="2"/>
    </row>
    <row r="15802" spans="1:12" x14ac:dyDescent="0.2">
      <c r="A15802"/>
      <c r="B15802"/>
      <c r="C15802"/>
      <c r="D15802"/>
      <c r="E15802"/>
      <c r="F15802"/>
      <c r="G15802"/>
      <c r="H15802"/>
      <c r="I15802"/>
      <c r="J15802"/>
      <c r="K15802" s="1"/>
      <c r="L15802" s="2"/>
    </row>
    <row r="15803" spans="1:12" x14ac:dyDescent="0.2">
      <c r="A15803"/>
      <c r="B15803"/>
      <c r="C15803"/>
      <c r="D15803"/>
      <c r="E15803"/>
      <c r="F15803"/>
      <c r="G15803"/>
      <c r="H15803"/>
      <c r="I15803"/>
      <c r="J15803"/>
      <c r="K15803" s="1"/>
      <c r="L15803" s="2"/>
    </row>
    <row r="15804" spans="1:12" x14ac:dyDescent="0.2">
      <c r="A15804"/>
      <c r="B15804"/>
      <c r="C15804"/>
      <c r="D15804"/>
      <c r="E15804"/>
      <c r="F15804"/>
      <c r="G15804"/>
      <c r="H15804"/>
      <c r="I15804"/>
      <c r="J15804"/>
      <c r="K15804" s="1"/>
      <c r="L15804" s="2"/>
    </row>
    <row r="15805" spans="1:12" x14ac:dyDescent="0.2">
      <c r="A15805"/>
      <c r="B15805"/>
      <c r="C15805"/>
      <c r="D15805"/>
      <c r="E15805"/>
      <c r="F15805"/>
      <c r="G15805"/>
      <c r="H15805"/>
      <c r="I15805"/>
      <c r="J15805"/>
      <c r="K15805" s="1"/>
      <c r="L15805" s="2"/>
    </row>
    <row r="15806" spans="1:12" x14ac:dyDescent="0.2">
      <c r="A15806"/>
      <c r="B15806"/>
      <c r="C15806"/>
      <c r="D15806"/>
      <c r="E15806"/>
      <c r="F15806"/>
      <c r="G15806"/>
      <c r="H15806"/>
      <c r="I15806"/>
      <c r="J15806"/>
      <c r="K15806" s="1"/>
      <c r="L15806" s="2"/>
    </row>
    <row r="15807" spans="1:12" x14ac:dyDescent="0.2">
      <c r="A15807"/>
      <c r="B15807"/>
      <c r="C15807"/>
      <c r="D15807"/>
      <c r="E15807"/>
      <c r="F15807"/>
      <c r="G15807"/>
      <c r="H15807"/>
      <c r="I15807"/>
      <c r="J15807"/>
      <c r="K15807" s="1"/>
      <c r="L15807" s="2"/>
    </row>
    <row r="15808" spans="1:12" x14ac:dyDescent="0.2">
      <c r="A15808"/>
      <c r="B15808"/>
      <c r="C15808"/>
      <c r="D15808"/>
      <c r="E15808"/>
      <c r="F15808"/>
      <c r="G15808"/>
      <c r="H15808"/>
      <c r="I15808"/>
      <c r="J15808"/>
      <c r="K15808" s="1"/>
      <c r="L15808" s="2"/>
    </row>
    <row r="15809" spans="1:12" x14ac:dyDescent="0.2">
      <c r="A15809"/>
      <c r="B15809"/>
      <c r="C15809"/>
      <c r="D15809"/>
      <c r="E15809"/>
      <c r="F15809"/>
      <c r="G15809"/>
      <c r="H15809"/>
      <c r="I15809"/>
      <c r="J15809"/>
      <c r="K15809" s="1"/>
      <c r="L15809" s="2"/>
    </row>
    <row r="15810" spans="1:12" x14ac:dyDescent="0.2">
      <c r="A15810"/>
      <c r="B15810"/>
      <c r="C15810"/>
      <c r="D15810"/>
      <c r="E15810"/>
      <c r="F15810"/>
      <c r="G15810"/>
      <c r="H15810"/>
      <c r="I15810"/>
      <c r="J15810"/>
      <c r="K15810" s="1"/>
      <c r="L15810" s="2"/>
    </row>
    <row r="15811" spans="1:12" x14ac:dyDescent="0.2">
      <c r="A15811"/>
      <c r="B15811"/>
      <c r="C15811"/>
      <c r="D15811"/>
      <c r="E15811"/>
      <c r="F15811"/>
      <c r="G15811"/>
      <c r="H15811"/>
      <c r="I15811"/>
      <c r="J15811"/>
      <c r="K15811" s="1"/>
      <c r="L15811" s="2"/>
    </row>
    <row r="15812" spans="1:12" x14ac:dyDescent="0.2">
      <c r="A15812"/>
      <c r="B15812"/>
      <c r="C15812"/>
      <c r="D15812"/>
      <c r="E15812"/>
      <c r="F15812"/>
      <c r="G15812"/>
      <c r="H15812"/>
      <c r="I15812"/>
      <c r="J15812"/>
      <c r="K15812" s="1"/>
      <c r="L15812" s="2"/>
    </row>
    <row r="15813" spans="1:12" x14ac:dyDescent="0.2">
      <c r="A15813"/>
      <c r="B15813"/>
      <c r="C15813"/>
      <c r="D15813"/>
      <c r="E15813"/>
      <c r="F15813"/>
      <c r="G15813"/>
      <c r="H15813"/>
      <c r="I15813"/>
      <c r="J15813"/>
      <c r="K15813" s="1"/>
      <c r="L15813" s="2"/>
    </row>
    <row r="15814" spans="1:12" x14ac:dyDescent="0.2">
      <c r="A15814"/>
      <c r="B15814"/>
      <c r="C15814"/>
      <c r="D15814"/>
      <c r="E15814"/>
      <c r="F15814"/>
      <c r="G15814"/>
      <c r="H15814"/>
      <c r="I15814"/>
      <c r="J15814"/>
      <c r="K15814" s="1"/>
      <c r="L15814" s="2"/>
    </row>
    <row r="15815" spans="1:12" x14ac:dyDescent="0.2">
      <c r="A15815"/>
      <c r="B15815"/>
      <c r="C15815"/>
      <c r="D15815"/>
      <c r="E15815"/>
      <c r="F15815"/>
      <c r="G15815"/>
      <c r="H15815"/>
      <c r="I15815"/>
      <c r="J15815"/>
      <c r="K15815" s="1"/>
      <c r="L15815" s="2"/>
    </row>
    <row r="15816" spans="1:12" x14ac:dyDescent="0.2">
      <c r="A15816"/>
      <c r="B15816"/>
      <c r="C15816"/>
      <c r="D15816"/>
      <c r="E15816"/>
      <c r="F15816"/>
      <c r="G15816"/>
      <c r="H15816"/>
      <c r="I15816"/>
      <c r="J15816"/>
      <c r="K15816" s="1"/>
      <c r="L15816" s="2"/>
    </row>
    <row r="15817" spans="1:12" x14ac:dyDescent="0.2">
      <c r="A15817"/>
      <c r="B15817"/>
      <c r="C15817"/>
      <c r="D15817"/>
      <c r="E15817"/>
      <c r="F15817"/>
      <c r="G15817"/>
      <c r="H15817"/>
      <c r="I15817"/>
      <c r="J15817"/>
      <c r="K15817" s="1"/>
      <c r="L15817" s="2"/>
    </row>
    <row r="15818" spans="1:12" x14ac:dyDescent="0.2">
      <c r="A15818"/>
      <c r="B15818"/>
      <c r="C15818"/>
      <c r="D15818"/>
      <c r="E15818"/>
      <c r="F15818"/>
      <c r="G15818"/>
      <c r="H15818"/>
      <c r="I15818"/>
      <c r="J15818"/>
      <c r="K15818" s="1"/>
      <c r="L15818" s="2"/>
    </row>
    <row r="15819" spans="1:12" x14ac:dyDescent="0.2">
      <c r="A15819"/>
      <c r="B15819"/>
      <c r="C15819"/>
      <c r="D15819"/>
      <c r="E15819"/>
      <c r="F15819"/>
      <c r="G15819"/>
      <c r="H15819"/>
      <c r="I15819"/>
      <c r="J15819"/>
      <c r="K15819" s="1"/>
      <c r="L15819" s="2"/>
    </row>
    <row r="15820" spans="1:12" x14ac:dyDescent="0.2">
      <c r="A15820"/>
      <c r="B15820"/>
      <c r="C15820"/>
      <c r="D15820"/>
      <c r="E15820"/>
      <c r="F15820"/>
      <c r="G15820"/>
      <c r="H15820"/>
      <c r="I15820"/>
      <c r="J15820"/>
      <c r="K15820" s="1"/>
      <c r="L15820" s="2"/>
    </row>
    <row r="15821" spans="1:12" x14ac:dyDescent="0.2">
      <c r="A15821"/>
      <c r="B15821"/>
      <c r="C15821"/>
      <c r="D15821"/>
      <c r="E15821"/>
      <c r="F15821"/>
      <c r="G15821"/>
      <c r="H15821"/>
      <c r="I15821"/>
      <c r="J15821"/>
      <c r="K15821" s="1"/>
      <c r="L15821" s="2"/>
    </row>
    <row r="15822" spans="1:12" x14ac:dyDescent="0.2">
      <c r="A15822"/>
      <c r="B15822"/>
      <c r="C15822"/>
      <c r="D15822"/>
      <c r="E15822"/>
      <c r="F15822"/>
      <c r="G15822"/>
      <c r="H15822"/>
      <c r="I15822"/>
      <c r="J15822"/>
      <c r="K15822" s="1"/>
      <c r="L15822" s="2"/>
    </row>
    <row r="15823" spans="1:12" x14ac:dyDescent="0.2">
      <c r="A15823"/>
      <c r="B15823"/>
      <c r="C15823"/>
      <c r="D15823"/>
      <c r="E15823"/>
      <c r="F15823"/>
      <c r="G15823"/>
      <c r="H15823"/>
      <c r="I15823"/>
      <c r="J15823"/>
      <c r="K15823" s="1"/>
      <c r="L15823" s="2"/>
    </row>
    <row r="15824" spans="1:12" x14ac:dyDescent="0.2">
      <c r="A15824"/>
      <c r="B15824"/>
      <c r="C15824"/>
      <c r="D15824"/>
      <c r="E15824"/>
      <c r="F15824"/>
      <c r="G15824"/>
      <c r="H15824"/>
      <c r="I15824"/>
      <c r="J15824"/>
      <c r="K15824" s="1"/>
      <c r="L15824" s="2"/>
    </row>
    <row r="15825" spans="1:12" x14ac:dyDescent="0.2">
      <c r="A15825"/>
      <c r="B15825"/>
      <c r="C15825"/>
      <c r="D15825"/>
      <c r="E15825"/>
      <c r="F15825"/>
      <c r="G15825"/>
      <c r="H15825"/>
      <c r="I15825"/>
      <c r="J15825"/>
      <c r="K15825" s="1"/>
      <c r="L15825" s="2"/>
    </row>
    <row r="15826" spans="1:12" x14ac:dyDescent="0.2">
      <c r="A15826"/>
      <c r="B15826"/>
      <c r="C15826"/>
      <c r="D15826"/>
      <c r="E15826"/>
      <c r="F15826"/>
      <c r="G15826"/>
      <c r="H15826"/>
      <c r="I15826"/>
      <c r="J15826"/>
      <c r="K15826" s="1"/>
      <c r="L15826" s="2"/>
    </row>
    <row r="15827" spans="1:12" x14ac:dyDescent="0.2">
      <c r="A15827"/>
      <c r="B15827"/>
      <c r="C15827"/>
      <c r="D15827"/>
      <c r="E15827"/>
      <c r="F15827"/>
      <c r="G15827"/>
      <c r="H15827"/>
      <c r="I15827"/>
      <c r="J15827"/>
      <c r="K15827" s="1"/>
      <c r="L15827" s="2"/>
    </row>
    <row r="15828" spans="1:12" x14ac:dyDescent="0.2">
      <c r="A15828"/>
      <c r="B15828"/>
      <c r="C15828"/>
      <c r="D15828"/>
      <c r="E15828"/>
      <c r="F15828"/>
      <c r="G15828"/>
      <c r="H15828"/>
      <c r="I15828"/>
      <c r="J15828"/>
      <c r="K15828" s="1"/>
      <c r="L15828" s="2"/>
    </row>
    <row r="15829" spans="1:12" x14ac:dyDescent="0.2">
      <c r="A15829"/>
      <c r="B15829"/>
      <c r="C15829"/>
      <c r="D15829"/>
      <c r="E15829"/>
      <c r="F15829"/>
      <c r="G15829"/>
      <c r="H15829"/>
      <c r="I15829"/>
      <c r="J15829"/>
      <c r="K15829" s="1"/>
      <c r="L15829" s="2"/>
    </row>
    <row r="15830" spans="1:12" x14ac:dyDescent="0.2">
      <c r="A15830"/>
      <c r="B15830"/>
      <c r="C15830"/>
      <c r="D15830"/>
      <c r="E15830"/>
      <c r="F15830"/>
      <c r="G15830"/>
      <c r="H15830"/>
      <c r="I15830"/>
      <c r="J15830"/>
      <c r="K15830" s="1"/>
      <c r="L15830" s="2"/>
    </row>
    <row r="15831" spans="1:12" x14ac:dyDescent="0.2">
      <c r="A15831"/>
      <c r="B15831"/>
      <c r="C15831"/>
      <c r="D15831"/>
      <c r="E15831"/>
      <c r="F15831"/>
      <c r="G15831"/>
      <c r="H15831"/>
      <c r="I15831"/>
      <c r="J15831"/>
      <c r="K15831" s="1"/>
      <c r="L15831" s="2"/>
    </row>
    <row r="15832" spans="1:12" x14ac:dyDescent="0.2">
      <c r="A15832"/>
      <c r="B15832"/>
      <c r="C15832"/>
      <c r="D15832"/>
      <c r="E15832"/>
      <c r="F15832"/>
      <c r="G15832"/>
      <c r="H15832"/>
      <c r="I15832"/>
      <c r="J15832"/>
      <c r="K15832" s="1"/>
      <c r="L15832" s="2"/>
    </row>
    <row r="15833" spans="1:12" x14ac:dyDescent="0.2">
      <c r="A15833"/>
      <c r="B15833"/>
      <c r="C15833"/>
      <c r="D15833"/>
      <c r="E15833"/>
      <c r="F15833"/>
      <c r="G15833"/>
      <c r="H15833"/>
      <c r="I15833"/>
      <c r="J15833"/>
      <c r="K15833" s="1"/>
      <c r="L15833" s="2"/>
    </row>
    <row r="15834" spans="1:12" x14ac:dyDescent="0.2">
      <c r="A15834"/>
      <c r="B15834"/>
      <c r="C15834"/>
      <c r="D15834"/>
      <c r="E15834"/>
      <c r="F15834"/>
      <c r="G15834"/>
      <c r="H15834"/>
      <c r="I15834"/>
      <c r="J15834"/>
      <c r="K15834" s="1"/>
      <c r="L15834" s="2"/>
    </row>
    <row r="15835" spans="1:12" x14ac:dyDescent="0.2">
      <c r="A15835"/>
      <c r="B15835"/>
      <c r="C15835"/>
      <c r="D15835"/>
      <c r="E15835"/>
      <c r="F15835"/>
      <c r="G15835"/>
      <c r="H15835"/>
      <c r="I15835"/>
      <c r="J15835"/>
      <c r="K15835" s="1"/>
      <c r="L15835" s="2"/>
    </row>
    <row r="15836" spans="1:12" x14ac:dyDescent="0.2">
      <c r="A15836"/>
      <c r="B15836"/>
      <c r="C15836"/>
      <c r="D15836"/>
      <c r="E15836"/>
      <c r="F15836"/>
      <c r="G15836"/>
      <c r="H15836"/>
      <c r="I15836"/>
      <c r="J15836"/>
      <c r="K15836" s="1"/>
      <c r="L15836" s="2"/>
    </row>
    <row r="15837" spans="1:12" x14ac:dyDescent="0.2">
      <c r="A15837"/>
      <c r="B15837"/>
      <c r="C15837"/>
      <c r="D15837"/>
      <c r="E15837"/>
      <c r="F15837"/>
      <c r="G15837"/>
      <c r="H15837"/>
      <c r="I15837"/>
      <c r="J15837"/>
      <c r="K15837" s="1"/>
      <c r="L15837" s="2"/>
    </row>
    <row r="15838" spans="1:12" x14ac:dyDescent="0.2">
      <c r="A15838"/>
      <c r="B15838"/>
      <c r="C15838"/>
      <c r="D15838"/>
      <c r="E15838"/>
      <c r="F15838"/>
      <c r="G15838"/>
      <c r="H15838"/>
      <c r="I15838"/>
      <c r="J15838"/>
      <c r="K15838" s="1"/>
      <c r="L15838" s="2"/>
    </row>
    <row r="15839" spans="1:12" x14ac:dyDescent="0.2">
      <c r="A15839"/>
      <c r="B15839"/>
      <c r="C15839"/>
      <c r="D15839"/>
      <c r="E15839"/>
      <c r="F15839"/>
      <c r="G15839"/>
      <c r="H15839"/>
      <c r="I15839"/>
      <c r="J15839"/>
      <c r="K15839" s="1"/>
      <c r="L15839" s="2"/>
    </row>
    <row r="15840" spans="1:12" x14ac:dyDescent="0.2">
      <c r="A15840"/>
      <c r="B15840"/>
      <c r="C15840"/>
      <c r="D15840"/>
      <c r="E15840"/>
      <c r="F15840"/>
      <c r="G15840"/>
      <c r="H15840"/>
      <c r="I15840"/>
      <c r="J15840"/>
      <c r="K15840" s="1"/>
      <c r="L15840" s="2"/>
    </row>
    <row r="15841" spans="1:12" x14ac:dyDescent="0.2">
      <c r="A15841"/>
      <c r="B15841"/>
      <c r="C15841"/>
      <c r="D15841"/>
      <c r="E15841"/>
      <c r="F15841"/>
      <c r="G15841"/>
      <c r="H15841"/>
      <c r="I15841"/>
      <c r="J15841"/>
      <c r="K15841" s="1"/>
      <c r="L15841" s="2"/>
    </row>
    <row r="15842" spans="1:12" x14ac:dyDescent="0.2">
      <c r="A15842"/>
      <c r="B15842"/>
      <c r="C15842"/>
      <c r="D15842"/>
      <c r="E15842"/>
      <c r="F15842"/>
      <c r="G15842"/>
      <c r="H15842"/>
      <c r="I15842"/>
      <c r="J15842"/>
      <c r="K15842" s="1"/>
      <c r="L15842" s="2"/>
    </row>
    <row r="15843" spans="1:12" x14ac:dyDescent="0.2">
      <c r="A15843"/>
      <c r="B15843"/>
      <c r="C15843"/>
      <c r="D15843"/>
      <c r="E15843"/>
      <c r="F15843"/>
      <c r="G15843"/>
      <c r="H15843"/>
      <c r="I15843"/>
      <c r="J15843"/>
      <c r="K15843" s="1"/>
      <c r="L15843" s="2"/>
    </row>
    <row r="15844" spans="1:12" x14ac:dyDescent="0.2">
      <c r="A15844"/>
      <c r="B15844"/>
      <c r="C15844"/>
      <c r="D15844"/>
      <c r="E15844"/>
      <c r="F15844"/>
      <c r="G15844"/>
      <c r="H15844"/>
      <c r="I15844"/>
      <c r="J15844"/>
      <c r="K15844" s="1"/>
      <c r="L15844" s="2"/>
    </row>
    <row r="15845" spans="1:12" x14ac:dyDescent="0.2">
      <c r="A15845"/>
      <c r="B15845"/>
      <c r="C15845"/>
      <c r="D15845"/>
      <c r="E15845"/>
      <c r="F15845"/>
      <c r="G15845"/>
      <c r="H15845"/>
      <c r="I15845"/>
      <c r="J15845"/>
      <c r="K15845" s="1"/>
      <c r="L15845" s="2"/>
    </row>
    <row r="15846" spans="1:12" x14ac:dyDescent="0.2">
      <c r="A15846"/>
      <c r="B15846"/>
      <c r="C15846"/>
      <c r="D15846"/>
      <c r="E15846"/>
      <c r="F15846"/>
      <c r="G15846"/>
      <c r="H15846"/>
      <c r="I15846"/>
      <c r="J15846"/>
      <c r="K15846" s="1"/>
      <c r="L15846" s="2"/>
    </row>
    <row r="15847" spans="1:12" x14ac:dyDescent="0.2">
      <c r="A15847"/>
      <c r="B15847"/>
      <c r="C15847"/>
      <c r="D15847"/>
      <c r="E15847"/>
      <c r="F15847"/>
      <c r="G15847"/>
      <c r="H15847"/>
      <c r="I15847"/>
      <c r="J15847"/>
      <c r="K15847" s="1"/>
      <c r="L15847" s="2"/>
    </row>
    <row r="15848" spans="1:12" x14ac:dyDescent="0.2">
      <c r="A15848"/>
      <c r="B15848"/>
      <c r="C15848"/>
      <c r="D15848"/>
      <c r="E15848"/>
      <c r="F15848"/>
      <c r="G15848"/>
      <c r="H15848"/>
      <c r="I15848"/>
      <c r="J15848"/>
      <c r="K15848" s="1"/>
      <c r="L15848" s="2"/>
    </row>
    <row r="15849" spans="1:12" x14ac:dyDescent="0.2">
      <c r="A15849"/>
      <c r="B15849"/>
      <c r="C15849"/>
      <c r="D15849"/>
      <c r="E15849"/>
      <c r="F15849"/>
      <c r="G15849"/>
      <c r="H15849"/>
      <c r="I15849"/>
      <c r="J15849"/>
      <c r="K15849" s="1"/>
      <c r="L15849" s="2"/>
    </row>
    <row r="15850" spans="1:12" x14ac:dyDescent="0.2">
      <c r="A15850"/>
      <c r="B15850"/>
      <c r="C15850"/>
      <c r="D15850"/>
      <c r="E15850"/>
      <c r="F15850"/>
      <c r="G15850"/>
      <c r="H15850"/>
      <c r="I15850"/>
      <c r="J15850"/>
      <c r="K15850" s="1"/>
      <c r="L15850" s="2"/>
    </row>
    <row r="15851" spans="1:12" x14ac:dyDescent="0.2">
      <c r="A15851"/>
      <c r="B15851"/>
      <c r="C15851"/>
      <c r="D15851"/>
      <c r="E15851"/>
      <c r="F15851"/>
      <c r="G15851"/>
      <c r="H15851"/>
      <c r="I15851"/>
      <c r="J15851"/>
      <c r="K15851" s="1"/>
      <c r="L15851" s="2"/>
    </row>
    <row r="15852" spans="1:12" x14ac:dyDescent="0.2">
      <c r="A15852"/>
      <c r="B15852"/>
      <c r="C15852"/>
      <c r="D15852"/>
      <c r="E15852"/>
      <c r="F15852"/>
      <c r="G15852"/>
      <c r="H15852"/>
      <c r="I15852"/>
      <c r="J15852"/>
      <c r="K15852" s="1"/>
      <c r="L15852" s="2"/>
    </row>
    <row r="15853" spans="1:12" x14ac:dyDescent="0.2">
      <c r="A15853"/>
      <c r="B15853"/>
      <c r="C15853"/>
      <c r="D15853"/>
      <c r="E15853"/>
      <c r="F15853"/>
      <c r="G15853"/>
      <c r="H15853"/>
      <c r="I15853"/>
      <c r="J15853"/>
      <c r="K15853" s="1"/>
      <c r="L15853" s="2"/>
    </row>
    <row r="15854" spans="1:12" x14ac:dyDescent="0.2">
      <c r="A15854"/>
      <c r="B15854"/>
      <c r="C15854"/>
      <c r="D15854"/>
      <c r="E15854"/>
      <c r="F15854"/>
      <c r="G15854"/>
      <c r="H15854"/>
      <c r="I15854"/>
      <c r="J15854"/>
      <c r="K15854" s="1"/>
      <c r="L15854" s="2"/>
    </row>
    <row r="15855" spans="1:12" x14ac:dyDescent="0.2">
      <c r="A15855"/>
      <c r="B15855"/>
      <c r="C15855"/>
      <c r="D15855"/>
      <c r="E15855"/>
      <c r="F15855"/>
      <c r="G15855"/>
      <c r="H15855"/>
      <c r="I15855"/>
      <c r="J15855"/>
      <c r="K15855" s="1"/>
      <c r="L15855" s="2"/>
    </row>
    <row r="15856" spans="1:12" x14ac:dyDescent="0.2">
      <c r="A15856"/>
      <c r="B15856"/>
      <c r="C15856"/>
      <c r="D15856"/>
      <c r="E15856"/>
      <c r="F15856"/>
      <c r="G15856"/>
      <c r="H15856"/>
      <c r="I15856"/>
      <c r="J15856"/>
      <c r="K15856" s="1"/>
      <c r="L15856" s="2"/>
    </row>
    <row r="15857" spans="1:12" x14ac:dyDescent="0.2">
      <c r="A15857"/>
      <c r="B15857"/>
      <c r="C15857"/>
      <c r="D15857"/>
      <c r="E15857"/>
      <c r="F15857"/>
      <c r="G15857"/>
      <c r="H15857"/>
      <c r="I15857"/>
      <c r="J15857"/>
      <c r="K15857" s="1"/>
      <c r="L15857" s="2"/>
    </row>
    <row r="15858" spans="1:12" x14ac:dyDescent="0.2">
      <c r="A15858"/>
      <c r="B15858"/>
      <c r="C15858"/>
      <c r="D15858"/>
      <c r="E15858"/>
      <c r="F15858"/>
      <c r="G15858"/>
      <c r="H15858"/>
      <c r="I15858"/>
      <c r="J15858"/>
      <c r="K15858" s="1"/>
      <c r="L15858" s="2"/>
    </row>
    <row r="15859" spans="1:12" x14ac:dyDescent="0.2">
      <c r="A15859"/>
      <c r="B15859"/>
      <c r="C15859"/>
      <c r="D15859"/>
      <c r="E15859"/>
      <c r="F15859"/>
      <c r="G15859"/>
      <c r="H15859"/>
      <c r="I15859"/>
      <c r="J15859"/>
      <c r="K15859" s="1"/>
      <c r="L15859" s="2"/>
    </row>
    <row r="15860" spans="1:12" x14ac:dyDescent="0.2">
      <c r="A15860"/>
      <c r="B15860"/>
      <c r="C15860"/>
      <c r="D15860"/>
      <c r="E15860"/>
      <c r="F15860"/>
      <c r="G15860"/>
      <c r="H15860"/>
      <c r="I15860"/>
      <c r="J15860"/>
      <c r="K15860" s="1"/>
      <c r="L15860" s="2"/>
    </row>
    <row r="15861" spans="1:12" x14ac:dyDescent="0.2">
      <c r="A15861"/>
      <c r="B15861"/>
      <c r="C15861"/>
      <c r="D15861"/>
      <c r="E15861"/>
      <c r="F15861"/>
      <c r="G15861"/>
      <c r="H15861"/>
      <c r="I15861"/>
      <c r="J15861"/>
      <c r="K15861" s="1"/>
      <c r="L15861" s="2"/>
    </row>
    <row r="15862" spans="1:12" x14ac:dyDescent="0.2">
      <c r="A15862"/>
      <c r="B15862"/>
      <c r="C15862"/>
      <c r="D15862"/>
      <c r="E15862"/>
      <c r="F15862"/>
      <c r="G15862"/>
      <c r="H15862"/>
      <c r="I15862"/>
      <c r="J15862"/>
      <c r="K15862" s="1"/>
      <c r="L15862" s="2"/>
    </row>
    <row r="15863" spans="1:12" x14ac:dyDescent="0.2">
      <c r="A15863"/>
      <c r="B15863"/>
      <c r="C15863"/>
      <c r="D15863"/>
      <c r="E15863"/>
      <c r="F15863"/>
      <c r="G15863"/>
      <c r="H15863"/>
      <c r="I15863"/>
      <c r="J15863"/>
      <c r="K15863" s="1"/>
      <c r="L15863" s="2"/>
    </row>
    <row r="15864" spans="1:12" x14ac:dyDescent="0.2">
      <c r="A15864"/>
      <c r="B15864"/>
      <c r="C15864"/>
      <c r="D15864"/>
      <c r="E15864"/>
      <c r="F15864"/>
      <c r="G15864"/>
      <c r="H15864"/>
      <c r="I15864"/>
      <c r="J15864"/>
      <c r="K15864" s="1"/>
      <c r="L15864" s="2"/>
    </row>
    <row r="15865" spans="1:12" x14ac:dyDescent="0.2">
      <c r="A15865"/>
      <c r="B15865"/>
      <c r="C15865"/>
      <c r="D15865"/>
      <c r="E15865"/>
      <c r="F15865"/>
      <c r="G15865"/>
      <c r="H15865"/>
      <c r="I15865"/>
      <c r="J15865"/>
      <c r="K15865" s="1"/>
      <c r="L15865" s="2"/>
    </row>
    <row r="15866" spans="1:12" x14ac:dyDescent="0.2">
      <c r="A15866"/>
      <c r="B15866"/>
      <c r="C15866"/>
      <c r="D15866"/>
      <c r="E15866"/>
      <c r="F15866"/>
      <c r="G15866"/>
      <c r="H15866"/>
      <c r="I15866"/>
      <c r="J15866"/>
      <c r="K15866" s="1"/>
      <c r="L15866" s="2"/>
    </row>
    <row r="15867" spans="1:12" x14ac:dyDescent="0.2">
      <c r="A15867"/>
      <c r="B15867"/>
      <c r="C15867"/>
      <c r="D15867"/>
      <c r="E15867"/>
      <c r="F15867"/>
      <c r="G15867"/>
      <c r="H15867"/>
      <c r="I15867"/>
      <c r="J15867"/>
      <c r="K15867" s="1"/>
      <c r="L15867" s="2"/>
    </row>
    <row r="15868" spans="1:12" x14ac:dyDescent="0.2">
      <c r="A15868"/>
      <c r="B15868"/>
      <c r="C15868"/>
      <c r="D15868"/>
      <c r="E15868"/>
      <c r="F15868"/>
      <c r="G15868"/>
      <c r="H15868"/>
      <c r="I15868"/>
      <c r="J15868"/>
      <c r="K15868" s="1"/>
      <c r="L15868" s="2"/>
    </row>
    <row r="15869" spans="1:12" x14ac:dyDescent="0.2">
      <c r="A15869"/>
      <c r="B15869"/>
      <c r="C15869"/>
      <c r="D15869"/>
      <c r="E15869"/>
      <c r="F15869"/>
      <c r="G15869"/>
      <c r="H15869"/>
      <c r="I15869"/>
      <c r="J15869"/>
      <c r="K15869" s="1"/>
      <c r="L15869" s="2"/>
    </row>
    <row r="15870" spans="1:12" x14ac:dyDescent="0.2">
      <c r="A15870"/>
      <c r="B15870"/>
      <c r="C15870"/>
      <c r="D15870"/>
      <c r="E15870"/>
      <c r="F15870"/>
      <c r="G15870"/>
      <c r="H15870"/>
      <c r="I15870"/>
      <c r="J15870"/>
      <c r="K15870" s="1"/>
      <c r="L15870" s="2"/>
    </row>
    <row r="15871" spans="1:12" x14ac:dyDescent="0.2">
      <c r="A15871"/>
      <c r="B15871"/>
      <c r="C15871"/>
      <c r="D15871"/>
      <c r="E15871"/>
      <c r="F15871"/>
      <c r="G15871"/>
      <c r="H15871"/>
      <c r="I15871"/>
      <c r="J15871"/>
      <c r="K15871" s="1"/>
      <c r="L15871" s="2"/>
    </row>
    <row r="15872" spans="1:12" x14ac:dyDescent="0.2">
      <c r="A15872"/>
      <c r="B15872"/>
      <c r="C15872"/>
      <c r="D15872"/>
      <c r="E15872"/>
      <c r="F15872"/>
      <c r="G15872"/>
      <c r="H15872"/>
      <c r="I15872"/>
      <c r="J15872"/>
      <c r="K15872" s="1"/>
      <c r="L15872" s="2"/>
    </row>
    <row r="15873" spans="1:12" x14ac:dyDescent="0.2">
      <c r="A15873"/>
      <c r="B15873"/>
      <c r="C15873"/>
      <c r="D15873"/>
      <c r="E15873"/>
      <c r="F15873"/>
      <c r="G15873"/>
      <c r="H15873"/>
      <c r="I15873"/>
      <c r="J15873"/>
      <c r="K15873" s="1"/>
      <c r="L15873" s="2"/>
    </row>
    <row r="15874" spans="1:12" x14ac:dyDescent="0.2">
      <c r="A15874"/>
      <c r="B15874"/>
      <c r="C15874"/>
      <c r="D15874"/>
      <c r="E15874"/>
      <c r="F15874"/>
      <c r="G15874"/>
      <c r="H15874"/>
      <c r="I15874"/>
      <c r="J15874"/>
      <c r="K15874" s="1"/>
      <c r="L15874" s="2"/>
    </row>
    <row r="15875" spans="1:12" x14ac:dyDescent="0.2">
      <c r="A15875"/>
      <c r="B15875"/>
      <c r="C15875"/>
      <c r="D15875"/>
      <c r="E15875"/>
      <c r="F15875"/>
      <c r="G15875"/>
      <c r="H15875"/>
      <c r="I15875"/>
      <c r="J15875"/>
      <c r="K15875" s="1"/>
      <c r="L15875" s="2"/>
    </row>
    <row r="15876" spans="1:12" x14ac:dyDescent="0.2">
      <c r="A15876"/>
      <c r="B15876"/>
      <c r="C15876"/>
      <c r="D15876"/>
      <c r="E15876"/>
      <c r="F15876"/>
      <c r="G15876"/>
      <c r="H15876"/>
      <c r="I15876"/>
      <c r="J15876"/>
      <c r="K15876" s="1"/>
      <c r="L15876" s="2"/>
    </row>
    <row r="15877" spans="1:12" x14ac:dyDescent="0.2">
      <c r="A15877"/>
      <c r="B15877"/>
      <c r="C15877"/>
      <c r="D15877"/>
      <c r="E15877"/>
      <c r="F15877"/>
      <c r="G15877"/>
      <c r="H15877"/>
      <c r="I15877"/>
      <c r="J15877"/>
      <c r="K15877" s="1"/>
      <c r="L15877" s="2"/>
    </row>
    <row r="15878" spans="1:12" x14ac:dyDescent="0.2">
      <c r="A15878"/>
      <c r="B15878"/>
      <c r="C15878"/>
      <c r="D15878"/>
      <c r="E15878"/>
      <c r="F15878"/>
      <c r="G15878"/>
      <c r="H15878"/>
      <c r="I15878"/>
      <c r="J15878"/>
      <c r="K15878" s="1"/>
      <c r="L15878" s="2"/>
    </row>
    <row r="15879" spans="1:12" x14ac:dyDescent="0.2">
      <c r="A15879"/>
      <c r="B15879"/>
      <c r="C15879"/>
      <c r="D15879"/>
      <c r="E15879"/>
      <c r="F15879"/>
      <c r="G15879"/>
      <c r="H15879"/>
      <c r="I15879"/>
      <c r="J15879"/>
      <c r="K15879" s="1"/>
      <c r="L15879" s="2"/>
    </row>
    <row r="15880" spans="1:12" x14ac:dyDescent="0.2">
      <c r="A15880"/>
      <c r="B15880"/>
      <c r="C15880"/>
      <c r="D15880"/>
      <c r="E15880"/>
      <c r="F15880"/>
      <c r="G15880"/>
      <c r="H15880"/>
      <c r="I15880"/>
      <c r="J15880"/>
      <c r="K15880" s="1"/>
      <c r="L15880" s="2"/>
    </row>
    <row r="15881" spans="1:12" x14ac:dyDescent="0.2">
      <c r="A15881"/>
      <c r="B15881"/>
      <c r="C15881"/>
      <c r="D15881"/>
      <c r="E15881"/>
      <c r="F15881"/>
      <c r="G15881"/>
      <c r="H15881"/>
      <c r="I15881"/>
      <c r="J15881"/>
      <c r="K15881" s="1"/>
      <c r="L15881" s="2"/>
    </row>
    <row r="15882" spans="1:12" x14ac:dyDescent="0.2">
      <c r="A15882"/>
      <c r="B15882"/>
      <c r="C15882"/>
      <c r="D15882"/>
      <c r="E15882"/>
      <c r="F15882"/>
      <c r="G15882"/>
      <c r="H15882"/>
      <c r="I15882"/>
      <c r="J15882"/>
      <c r="K15882" s="1"/>
      <c r="L15882" s="2"/>
    </row>
    <row r="15883" spans="1:12" x14ac:dyDescent="0.2">
      <c r="A15883"/>
      <c r="B15883"/>
      <c r="C15883"/>
      <c r="D15883"/>
      <c r="E15883"/>
      <c r="F15883"/>
      <c r="G15883"/>
      <c r="H15883"/>
      <c r="I15883"/>
      <c r="J15883"/>
      <c r="K15883" s="1"/>
      <c r="L15883" s="2"/>
    </row>
    <row r="15884" spans="1:12" x14ac:dyDescent="0.2">
      <c r="A15884"/>
      <c r="B15884"/>
      <c r="C15884"/>
      <c r="D15884"/>
      <c r="E15884"/>
      <c r="F15884"/>
      <c r="G15884"/>
      <c r="H15884"/>
      <c r="I15884"/>
      <c r="J15884"/>
      <c r="K15884" s="1"/>
      <c r="L15884" s="2"/>
    </row>
    <row r="15885" spans="1:12" x14ac:dyDescent="0.2">
      <c r="A15885"/>
      <c r="B15885"/>
      <c r="C15885"/>
      <c r="D15885"/>
      <c r="E15885"/>
      <c r="F15885"/>
      <c r="G15885"/>
      <c r="H15885"/>
      <c r="I15885"/>
      <c r="J15885"/>
      <c r="K15885" s="1"/>
      <c r="L15885" s="2"/>
    </row>
    <row r="15886" spans="1:12" x14ac:dyDescent="0.2">
      <c r="A15886"/>
      <c r="B15886"/>
      <c r="C15886"/>
      <c r="D15886"/>
      <c r="E15886"/>
      <c r="F15886"/>
      <c r="G15886"/>
      <c r="H15886"/>
      <c r="I15886"/>
      <c r="J15886"/>
      <c r="K15886" s="1"/>
      <c r="L15886" s="2"/>
    </row>
    <row r="15887" spans="1:12" x14ac:dyDescent="0.2">
      <c r="A15887"/>
      <c r="B15887"/>
      <c r="C15887"/>
      <c r="D15887"/>
      <c r="E15887"/>
      <c r="F15887"/>
      <c r="G15887"/>
      <c r="H15887"/>
      <c r="I15887"/>
      <c r="J15887"/>
      <c r="K15887" s="1"/>
      <c r="L15887" s="2"/>
    </row>
    <row r="15888" spans="1:12" x14ac:dyDescent="0.2">
      <c r="A15888"/>
      <c r="B15888"/>
      <c r="C15888"/>
      <c r="D15888"/>
      <c r="E15888"/>
      <c r="F15888"/>
      <c r="G15888"/>
      <c r="H15888"/>
      <c r="I15888"/>
      <c r="J15888"/>
      <c r="K15888" s="1"/>
      <c r="L15888" s="2"/>
    </row>
    <row r="15889" spans="1:12" x14ac:dyDescent="0.2">
      <c r="A15889"/>
      <c r="B15889"/>
      <c r="C15889"/>
      <c r="D15889"/>
      <c r="E15889"/>
      <c r="F15889"/>
      <c r="G15889"/>
      <c r="H15889"/>
      <c r="I15889"/>
      <c r="J15889"/>
      <c r="K15889" s="1"/>
      <c r="L15889" s="2"/>
    </row>
    <row r="15890" spans="1:12" x14ac:dyDescent="0.2">
      <c r="A15890"/>
      <c r="B15890"/>
      <c r="C15890"/>
      <c r="D15890"/>
      <c r="E15890"/>
      <c r="F15890"/>
      <c r="G15890"/>
      <c r="H15890"/>
      <c r="I15890"/>
      <c r="J15890"/>
      <c r="K15890" s="1"/>
      <c r="L15890" s="2"/>
    </row>
    <row r="15891" spans="1:12" x14ac:dyDescent="0.2">
      <c r="A15891"/>
      <c r="B15891"/>
      <c r="C15891"/>
      <c r="D15891"/>
      <c r="E15891"/>
      <c r="F15891"/>
      <c r="G15891"/>
      <c r="H15891"/>
      <c r="I15891"/>
      <c r="J15891"/>
      <c r="K15891" s="1"/>
      <c r="L15891" s="2"/>
    </row>
    <row r="15892" spans="1:12" x14ac:dyDescent="0.2">
      <c r="A15892"/>
      <c r="B15892"/>
      <c r="C15892"/>
      <c r="D15892"/>
      <c r="E15892"/>
      <c r="F15892"/>
      <c r="G15892"/>
      <c r="H15892"/>
      <c r="I15892"/>
      <c r="J15892"/>
      <c r="K15892" s="1"/>
      <c r="L15892" s="2"/>
    </row>
    <row r="15893" spans="1:12" x14ac:dyDescent="0.2">
      <c r="A15893"/>
      <c r="B15893"/>
      <c r="C15893"/>
      <c r="D15893"/>
      <c r="E15893"/>
      <c r="F15893"/>
      <c r="G15893"/>
      <c r="H15893"/>
      <c r="I15893"/>
      <c r="J15893"/>
      <c r="K15893" s="1"/>
      <c r="L15893" s="2"/>
    </row>
    <row r="15894" spans="1:12" x14ac:dyDescent="0.2">
      <c r="A15894"/>
      <c r="B15894"/>
      <c r="C15894"/>
      <c r="D15894"/>
      <c r="E15894"/>
      <c r="F15894"/>
      <c r="G15894"/>
      <c r="H15894"/>
      <c r="I15894"/>
      <c r="J15894"/>
      <c r="K15894" s="1"/>
      <c r="L15894" s="2"/>
    </row>
    <row r="15895" spans="1:12" x14ac:dyDescent="0.2">
      <c r="A15895"/>
      <c r="B15895"/>
      <c r="C15895"/>
      <c r="D15895"/>
      <c r="E15895"/>
      <c r="F15895"/>
      <c r="G15895"/>
      <c r="H15895"/>
      <c r="I15895"/>
      <c r="J15895"/>
      <c r="K15895" s="1"/>
      <c r="L15895" s="2"/>
    </row>
    <row r="15896" spans="1:12" x14ac:dyDescent="0.2">
      <c r="A15896"/>
      <c r="B15896"/>
      <c r="C15896"/>
      <c r="D15896"/>
      <c r="E15896"/>
      <c r="F15896"/>
      <c r="G15896"/>
      <c r="H15896"/>
      <c r="I15896"/>
      <c r="J15896"/>
      <c r="K15896" s="1"/>
      <c r="L15896" s="2"/>
    </row>
    <row r="15897" spans="1:12" x14ac:dyDescent="0.2">
      <c r="A15897"/>
      <c r="B15897"/>
      <c r="C15897"/>
      <c r="D15897"/>
      <c r="E15897"/>
      <c r="F15897"/>
      <c r="G15897"/>
      <c r="H15897"/>
      <c r="I15897"/>
      <c r="J15897"/>
      <c r="K15897" s="1"/>
      <c r="L15897" s="2"/>
    </row>
    <row r="15898" spans="1:12" x14ac:dyDescent="0.2">
      <c r="A15898"/>
      <c r="B15898"/>
      <c r="C15898"/>
      <c r="D15898"/>
      <c r="E15898"/>
      <c r="F15898"/>
      <c r="G15898"/>
      <c r="H15898"/>
      <c r="I15898"/>
      <c r="J15898"/>
      <c r="K15898" s="1"/>
      <c r="L15898" s="2"/>
    </row>
    <row r="15899" spans="1:12" x14ac:dyDescent="0.2">
      <c r="A15899"/>
      <c r="B15899"/>
      <c r="C15899"/>
      <c r="D15899"/>
      <c r="E15899"/>
      <c r="F15899"/>
      <c r="G15899"/>
      <c r="H15899"/>
      <c r="I15899"/>
      <c r="J15899"/>
      <c r="K15899" s="1"/>
      <c r="L15899" s="2"/>
    </row>
    <row r="15900" spans="1:12" x14ac:dyDescent="0.2">
      <c r="A15900"/>
      <c r="B15900"/>
      <c r="C15900"/>
      <c r="D15900"/>
      <c r="E15900"/>
      <c r="F15900"/>
      <c r="G15900"/>
      <c r="H15900"/>
      <c r="I15900"/>
      <c r="J15900"/>
      <c r="K15900" s="1"/>
      <c r="L15900" s="2"/>
    </row>
    <row r="15901" spans="1:12" x14ac:dyDescent="0.2">
      <c r="A15901"/>
      <c r="B15901"/>
      <c r="C15901"/>
      <c r="D15901"/>
      <c r="E15901"/>
      <c r="F15901"/>
      <c r="G15901"/>
      <c r="H15901"/>
      <c r="I15901"/>
      <c r="J15901"/>
      <c r="K15901" s="1"/>
      <c r="L15901" s="2"/>
    </row>
    <row r="15902" spans="1:12" x14ac:dyDescent="0.2">
      <c r="A15902"/>
      <c r="B15902"/>
      <c r="C15902"/>
      <c r="D15902"/>
      <c r="E15902"/>
      <c r="F15902"/>
      <c r="G15902"/>
      <c r="H15902"/>
      <c r="I15902"/>
      <c r="J15902"/>
      <c r="K15902" s="1"/>
      <c r="L15902" s="2"/>
    </row>
    <row r="15903" spans="1:12" x14ac:dyDescent="0.2">
      <c r="A15903"/>
      <c r="B15903"/>
      <c r="C15903"/>
      <c r="D15903"/>
      <c r="E15903"/>
      <c r="F15903"/>
      <c r="G15903"/>
      <c r="H15903"/>
      <c r="I15903"/>
      <c r="J15903"/>
      <c r="K15903" s="1"/>
      <c r="L15903" s="2"/>
    </row>
    <row r="15904" spans="1:12" x14ac:dyDescent="0.2">
      <c r="A15904"/>
      <c r="B15904"/>
      <c r="C15904"/>
      <c r="D15904"/>
      <c r="E15904"/>
      <c r="F15904"/>
      <c r="G15904"/>
      <c r="H15904"/>
      <c r="I15904"/>
      <c r="J15904"/>
      <c r="K15904" s="1"/>
      <c r="L15904" s="2"/>
    </row>
    <row r="15905" spans="1:12" x14ac:dyDescent="0.2">
      <c r="A15905"/>
      <c r="B15905"/>
      <c r="C15905"/>
      <c r="D15905"/>
      <c r="E15905"/>
      <c r="F15905"/>
      <c r="G15905"/>
      <c r="H15905"/>
      <c r="I15905"/>
      <c r="J15905"/>
      <c r="K15905" s="1"/>
      <c r="L15905" s="2"/>
    </row>
    <row r="15906" spans="1:12" x14ac:dyDescent="0.2">
      <c r="A15906"/>
      <c r="B15906"/>
      <c r="C15906"/>
      <c r="D15906"/>
      <c r="E15906"/>
      <c r="F15906"/>
      <c r="G15906"/>
      <c r="H15906"/>
      <c r="I15906"/>
      <c r="J15906"/>
      <c r="K15906" s="1"/>
      <c r="L15906" s="2"/>
    </row>
    <row r="15907" spans="1:12" x14ac:dyDescent="0.2">
      <c r="A15907"/>
      <c r="B15907"/>
      <c r="C15907"/>
      <c r="D15907"/>
      <c r="E15907"/>
      <c r="F15907"/>
      <c r="G15907"/>
      <c r="H15907"/>
      <c r="I15907"/>
      <c r="J15907"/>
      <c r="K15907" s="1"/>
      <c r="L15907" s="2"/>
    </row>
    <row r="15908" spans="1:12" x14ac:dyDescent="0.2">
      <c r="A15908"/>
      <c r="B15908"/>
      <c r="C15908"/>
      <c r="D15908"/>
      <c r="E15908"/>
      <c r="F15908"/>
      <c r="G15908"/>
      <c r="H15908"/>
      <c r="I15908"/>
      <c r="J15908"/>
      <c r="K15908" s="1"/>
      <c r="L15908" s="2"/>
    </row>
    <row r="15909" spans="1:12" x14ac:dyDescent="0.2">
      <c r="A15909"/>
      <c r="B15909"/>
      <c r="C15909"/>
      <c r="D15909"/>
      <c r="E15909"/>
      <c r="F15909"/>
      <c r="G15909"/>
      <c r="H15909"/>
      <c r="I15909"/>
      <c r="J15909"/>
      <c r="K15909" s="1"/>
      <c r="L15909" s="2"/>
    </row>
    <row r="15910" spans="1:12" x14ac:dyDescent="0.2">
      <c r="A15910"/>
      <c r="B15910"/>
      <c r="C15910"/>
      <c r="D15910"/>
      <c r="E15910"/>
      <c r="F15910"/>
      <c r="G15910"/>
      <c r="H15910"/>
      <c r="I15910"/>
      <c r="J15910"/>
      <c r="K15910" s="1"/>
      <c r="L15910" s="2"/>
    </row>
    <row r="15911" spans="1:12" x14ac:dyDescent="0.2">
      <c r="A15911"/>
      <c r="B15911"/>
      <c r="C15911"/>
      <c r="D15911"/>
      <c r="E15911"/>
      <c r="F15911"/>
      <c r="G15911"/>
      <c r="H15911"/>
      <c r="I15911"/>
      <c r="J15911"/>
      <c r="K15911" s="1"/>
      <c r="L15911" s="2"/>
    </row>
    <row r="15912" spans="1:12" x14ac:dyDescent="0.2">
      <c r="A15912"/>
      <c r="B15912"/>
      <c r="C15912"/>
      <c r="D15912"/>
      <c r="E15912"/>
      <c r="F15912"/>
      <c r="G15912"/>
      <c r="H15912"/>
      <c r="I15912"/>
      <c r="J15912"/>
      <c r="K15912" s="1"/>
      <c r="L15912" s="2"/>
    </row>
    <row r="15913" spans="1:12" x14ac:dyDescent="0.2">
      <c r="A15913"/>
      <c r="B15913"/>
      <c r="C15913"/>
      <c r="D15913"/>
      <c r="E15913"/>
      <c r="F15913"/>
      <c r="G15913"/>
      <c r="H15913"/>
      <c r="I15913"/>
      <c r="J15913"/>
      <c r="K15913" s="1"/>
      <c r="L15913" s="2"/>
    </row>
    <row r="15914" spans="1:12" x14ac:dyDescent="0.2">
      <c r="A15914"/>
      <c r="B15914"/>
      <c r="C15914"/>
      <c r="D15914"/>
      <c r="E15914"/>
      <c r="F15914"/>
      <c r="G15914"/>
      <c r="H15914"/>
      <c r="I15914"/>
      <c r="J15914"/>
      <c r="K15914" s="1"/>
      <c r="L15914" s="2"/>
    </row>
    <row r="15915" spans="1:12" x14ac:dyDescent="0.2">
      <c r="A15915"/>
      <c r="B15915"/>
      <c r="C15915"/>
      <c r="D15915"/>
      <c r="E15915"/>
      <c r="F15915"/>
      <c r="G15915"/>
      <c r="H15915"/>
      <c r="I15915"/>
      <c r="J15915"/>
      <c r="K15915" s="1"/>
      <c r="L15915" s="2"/>
    </row>
    <row r="15916" spans="1:12" x14ac:dyDescent="0.2">
      <c r="A15916"/>
      <c r="B15916"/>
      <c r="C15916"/>
      <c r="D15916"/>
      <c r="E15916"/>
      <c r="F15916"/>
      <c r="G15916"/>
      <c r="H15916"/>
      <c r="I15916"/>
      <c r="J15916"/>
      <c r="K15916" s="1"/>
      <c r="L15916" s="2"/>
    </row>
    <row r="15917" spans="1:12" x14ac:dyDescent="0.2">
      <c r="A15917"/>
      <c r="B15917"/>
      <c r="C15917"/>
      <c r="D15917"/>
      <c r="E15917"/>
      <c r="F15917"/>
      <c r="G15917"/>
      <c r="H15917"/>
      <c r="I15917"/>
      <c r="J15917"/>
      <c r="K15917" s="1"/>
      <c r="L15917" s="2"/>
    </row>
    <row r="15918" spans="1:12" x14ac:dyDescent="0.2">
      <c r="A15918"/>
      <c r="B15918"/>
      <c r="C15918"/>
      <c r="D15918"/>
      <c r="E15918"/>
      <c r="F15918"/>
      <c r="G15918"/>
      <c r="H15918"/>
      <c r="I15918"/>
      <c r="J15918"/>
      <c r="K15918" s="1"/>
      <c r="L15918" s="2"/>
    </row>
    <row r="15919" spans="1:12" x14ac:dyDescent="0.2">
      <c r="A15919"/>
      <c r="B15919"/>
      <c r="C15919"/>
      <c r="D15919"/>
      <c r="E15919"/>
      <c r="F15919"/>
      <c r="G15919"/>
      <c r="H15919"/>
      <c r="I15919"/>
      <c r="J15919"/>
      <c r="K15919" s="1"/>
      <c r="L15919" s="2"/>
    </row>
    <row r="15920" spans="1:12" x14ac:dyDescent="0.2">
      <c r="A15920"/>
      <c r="B15920"/>
      <c r="C15920"/>
      <c r="D15920"/>
      <c r="E15920"/>
      <c r="F15920"/>
      <c r="G15920"/>
      <c r="H15920"/>
      <c r="I15920"/>
      <c r="J15920"/>
      <c r="K15920" s="1"/>
      <c r="L15920" s="2"/>
    </row>
    <row r="15921" spans="1:12" x14ac:dyDescent="0.2">
      <c r="A15921"/>
      <c r="B15921"/>
      <c r="C15921"/>
      <c r="D15921"/>
      <c r="E15921"/>
      <c r="F15921"/>
      <c r="G15921"/>
      <c r="H15921"/>
      <c r="I15921"/>
      <c r="J15921"/>
      <c r="K15921" s="1"/>
      <c r="L15921" s="2"/>
    </row>
    <row r="15922" spans="1:12" x14ac:dyDescent="0.2">
      <c r="A15922"/>
      <c r="B15922"/>
      <c r="C15922"/>
      <c r="D15922"/>
      <c r="E15922"/>
      <c r="F15922"/>
      <c r="G15922"/>
      <c r="H15922"/>
      <c r="I15922"/>
      <c r="J15922"/>
      <c r="K15922" s="1"/>
      <c r="L15922" s="2"/>
    </row>
    <row r="15923" spans="1:12" x14ac:dyDescent="0.2">
      <c r="A15923"/>
      <c r="B15923"/>
      <c r="C15923"/>
      <c r="D15923"/>
      <c r="E15923"/>
      <c r="F15923"/>
      <c r="G15923"/>
      <c r="H15923"/>
      <c r="I15923"/>
      <c r="J15923"/>
      <c r="K15923" s="1"/>
      <c r="L15923" s="2"/>
    </row>
    <row r="15924" spans="1:12" x14ac:dyDescent="0.2">
      <c r="A15924"/>
      <c r="B15924"/>
      <c r="C15924"/>
      <c r="D15924"/>
      <c r="E15924"/>
      <c r="F15924"/>
      <c r="G15924"/>
      <c r="H15924"/>
      <c r="I15924"/>
      <c r="J15924"/>
      <c r="K15924" s="1"/>
      <c r="L15924" s="2"/>
    </row>
    <row r="15925" spans="1:12" x14ac:dyDescent="0.2">
      <c r="A15925"/>
      <c r="B15925"/>
      <c r="C15925"/>
      <c r="D15925"/>
      <c r="E15925"/>
      <c r="F15925"/>
      <c r="G15925"/>
      <c r="H15925"/>
      <c r="I15925"/>
      <c r="J15925"/>
      <c r="K15925" s="1"/>
      <c r="L15925" s="2"/>
    </row>
    <row r="15926" spans="1:12" x14ac:dyDescent="0.2">
      <c r="A15926"/>
      <c r="B15926"/>
      <c r="C15926"/>
      <c r="D15926"/>
      <c r="E15926"/>
      <c r="F15926"/>
      <c r="G15926"/>
      <c r="H15926"/>
      <c r="I15926"/>
      <c r="J15926"/>
      <c r="K15926" s="1"/>
      <c r="L15926" s="2"/>
    </row>
    <row r="15927" spans="1:12" x14ac:dyDescent="0.2">
      <c r="A15927"/>
      <c r="B15927"/>
      <c r="C15927"/>
      <c r="D15927"/>
      <c r="E15927"/>
      <c r="F15927"/>
      <c r="G15927"/>
      <c r="H15927"/>
      <c r="I15927"/>
      <c r="J15927"/>
      <c r="K15927" s="1"/>
      <c r="L15927" s="2"/>
    </row>
    <row r="15928" spans="1:12" x14ac:dyDescent="0.2">
      <c r="A15928"/>
      <c r="B15928"/>
      <c r="C15928"/>
      <c r="D15928"/>
      <c r="E15928"/>
      <c r="F15928"/>
      <c r="G15928"/>
      <c r="H15928"/>
      <c r="I15928"/>
      <c r="J15928"/>
      <c r="K15928" s="1"/>
      <c r="L15928" s="2"/>
    </row>
    <row r="15929" spans="1:12" x14ac:dyDescent="0.2">
      <c r="A15929"/>
      <c r="B15929"/>
      <c r="C15929"/>
      <c r="D15929"/>
      <c r="E15929"/>
      <c r="F15929"/>
      <c r="G15929"/>
      <c r="H15929"/>
      <c r="I15929"/>
      <c r="J15929"/>
      <c r="K15929" s="1"/>
      <c r="L15929" s="2"/>
    </row>
    <row r="15930" spans="1:12" x14ac:dyDescent="0.2">
      <c r="A15930"/>
      <c r="B15930"/>
      <c r="C15930"/>
      <c r="D15930"/>
      <c r="E15930"/>
      <c r="F15930"/>
      <c r="G15930"/>
      <c r="H15930"/>
      <c r="I15930"/>
      <c r="J15930"/>
      <c r="K15930" s="1"/>
      <c r="L15930" s="2"/>
    </row>
    <row r="15931" spans="1:12" x14ac:dyDescent="0.2">
      <c r="A15931"/>
      <c r="B15931"/>
      <c r="C15931"/>
      <c r="D15931"/>
      <c r="E15931"/>
      <c r="F15931"/>
      <c r="G15931"/>
      <c r="H15931"/>
      <c r="I15931"/>
      <c r="J15931"/>
      <c r="K15931" s="1"/>
      <c r="L15931" s="2"/>
    </row>
    <row r="15932" spans="1:12" x14ac:dyDescent="0.2">
      <c r="A15932"/>
      <c r="B15932"/>
      <c r="C15932"/>
      <c r="D15932"/>
      <c r="E15932"/>
      <c r="F15932"/>
      <c r="G15932"/>
      <c r="H15932"/>
      <c r="I15932"/>
      <c r="J15932"/>
      <c r="K15932" s="1"/>
      <c r="L15932" s="2"/>
    </row>
    <row r="15933" spans="1:12" x14ac:dyDescent="0.2">
      <c r="A15933"/>
      <c r="B15933"/>
      <c r="C15933"/>
      <c r="D15933"/>
      <c r="E15933"/>
      <c r="F15933"/>
      <c r="G15933"/>
      <c r="H15933"/>
      <c r="I15933"/>
      <c r="J15933"/>
      <c r="K15933" s="1"/>
      <c r="L15933" s="2"/>
    </row>
    <row r="15934" spans="1:12" x14ac:dyDescent="0.2">
      <c r="A15934"/>
      <c r="B15934"/>
      <c r="C15934"/>
      <c r="D15934"/>
      <c r="E15934"/>
      <c r="F15934"/>
      <c r="G15934"/>
      <c r="H15934"/>
      <c r="I15934"/>
      <c r="J15934"/>
      <c r="K15934" s="1"/>
      <c r="L15934" s="2"/>
    </row>
    <row r="15935" spans="1:12" x14ac:dyDescent="0.2">
      <c r="A15935"/>
      <c r="B15935"/>
      <c r="C15935"/>
      <c r="D15935"/>
      <c r="E15935"/>
      <c r="F15935"/>
      <c r="G15935"/>
      <c r="H15935"/>
      <c r="I15935"/>
      <c r="J15935"/>
      <c r="K15935" s="1"/>
      <c r="L15935" s="2"/>
    </row>
    <row r="15936" spans="1:12" x14ac:dyDescent="0.2">
      <c r="A15936"/>
      <c r="B15936"/>
      <c r="C15936"/>
      <c r="D15936"/>
      <c r="E15936"/>
      <c r="F15936"/>
      <c r="G15936"/>
      <c r="H15936"/>
      <c r="I15936"/>
      <c r="J15936"/>
      <c r="K15936" s="1"/>
      <c r="L15936" s="2"/>
    </row>
    <row r="15937" spans="1:12" x14ac:dyDescent="0.2">
      <c r="A15937"/>
      <c r="B15937"/>
      <c r="C15937"/>
      <c r="D15937"/>
      <c r="E15937"/>
      <c r="F15937"/>
      <c r="G15937"/>
      <c r="H15937"/>
      <c r="I15937"/>
      <c r="J15937"/>
      <c r="K15937" s="1"/>
      <c r="L15937" s="2"/>
    </row>
    <row r="15938" spans="1:12" x14ac:dyDescent="0.2">
      <c r="A15938"/>
      <c r="B15938"/>
      <c r="C15938"/>
      <c r="D15938"/>
      <c r="E15938"/>
      <c r="F15938"/>
      <c r="G15938"/>
      <c r="H15938"/>
      <c r="I15938"/>
      <c r="J15938"/>
      <c r="K15938" s="1"/>
      <c r="L15938" s="2"/>
    </row>
    <row r="15939" spans="1:12" x14ac:dyDescent="0.2">
      <c r="A15939"/>
      <c r="B15939"/>
      <c r="C15939"/>
      <c r="D15939"/>
      <c r="E15939"/>
      <c r="F15939"/>
      <c r="G15939"/>
      <c r="H15939"/>
      <c r="I15939"/>
      <c r="J15939"/>
      <c r="K15939" s="1"/>
      <c r="L15939" s="2"/>
    </row>
    <row r="15940" spans="1:12" x14ac:dyDescent="0.2">
      <c r="A15940"/>
      <c r="B15940"/>
      <c r="C15940"/>
      <c r="D15940"/>
      <c r="E15940"/>
      <c r="F15940"/>
      <c r="G15940"/>
      <c r="H15940"/>
      <c r="I15940"/>
      <c r="J15940"/>
      <c r="K15940" s="1"/>
      <c r="L15940" s="2"/>
    </row>
    <row r="15941" spans="1:12" x14ac:dyDescent="0.2">
      <c r="A15941"/>
      <c r="B15941"/>
      <c r="C15941"/>
      <c r="D15941"/>
      <c r="E15941"/>
      <c r="F15941"/>
      <c r="G15941"/>
      <c r="H15941"/>
      <c r="I15941"/>
      <c r="J15941"/>
      <c r="K15941" s="1"/>
      <c r="L15941" s="2"/>
    </row>
    <row r="15942" spans="1:12" x14ac:dyDescent="0.2">
      <c r="A15942"/>
      <c r="B15942"/>
      <c r="C15942"/>
      <c r="D15942"/>
      <c r="E15942"/>
      <c r="F15942"/>
      <c r="G15942"/>
      <c r="H15942"/>
      <c r="I15942"/>
      <c r="J15942"/>
      <c r="K15942" s="1"/>
      <c r="L15942" s="2"/>
    </row>
    <row r="15943" spans="1:12" x14ac:dyDescent="0.2">
      <c r="A15943"/>
      <c r="B15943"/>
      <c r="C15943"/>
      <c r="D15943"/>
      <c r="E15943"/>
      <c r="F15943"/>
      <c r="G15943"/>
      <c r="H15943"/>
      <c r="I15943"/>
      <c r="J15943"/>
      <c r="K15943" s="1"/>
      <c r="L15943" s="2"/>
    </row>
    <row r="15944" spans="1:12" x14ac:dyDescent="0.2">
      <c r="A15944"/>
      <c r="B15944"/>
      <c r="C15944"/>
      <c r="D15944"/>
      <c r="E15944"/>
      <c r="F15944"/>
      <c r="G15944"/>
      <c r="H15944"/>
      <c r="I15944"/>
      <c r="J15944"/>
      <c r="K15944" s="1"/>
      <c r="L15944" s="2"/>
    </row>
    <row r="15945" spans="1:12" x14ac:dyDescent="0.2">
      <c r="A15945"/>
      <c r="B15945"/>
      <c r="C15945"/>
      <c r="D15945"/>
      <c r="E15945"/>
      <c r="F15945"/>
      <c r="G15945"/>
      <c r="H15945"/>
      <c r="I15945"/>
      <c r="J15945"/>
      <c r="K15945" s="1"/>
      <c r="L15945" s="2"/>
    </row>
    <row r="15946" spans="1:12" x14ac:dyDescent="0.2">
      <c r="A15946"/>
      <c r="B15946"/>
      <c r="C15946"/>
      <c r="D15946"/>
      <c r="E15946"/>
      <c r="F15946"/>
      <c r="G15946"/>
      <c r="H15946"/>
      <c r="I15946"/>
      <c r="J15946"/>
      <c r="K15946" s="1"/>
      <c r="L15946" s="2"/>
    </row>
    <row r="15947" spans="1:12" x14ac:dyDescent="0.2">
      <c r="A15947"/>
      <c r="B15947"/>
      <c r="C15947"/>
      <c r="D15947"/>
      <c r="E15947"/>
      <c r="F15947"/>
      <c r="G15947"/>
      <c r="H15947"/>
      <c r="I15947"/>
      <c r="J15947"/>
      <c r="K15947" s="1"/>
      <c r="L15947" s="2"/>
    </row>
    <row r="15948" spans="1:12" x14ac:dyDescent="0.2">
      <c r="A15948"/>
      <c r="B15948"/>
      <c r="C15948"/>
      <c r="D15948"/>
      <c r="E15948"/>
      <c r="F15948"/>
      <c r="G15948"/>
      <c r="H15948"/>
      <c r="I15948"/>
      <c r="J15948"/>
      <c r="K15948" s="1"/>
      <c r="L15948" s="2"/>
    </row>
    <row r="15949" spans="1:12" x14ac:dyDescent="0.2">
      <c r="A15949"/>
      <c r="B15949"/>
      <c r="C15949"/>
      <c r="D15949"/>
      <c r="E15949"/>
      <c r="F15949"/>
      <c r="G15949"/>
      <c r="H15949"/>
      <c r="I15949"/>
      <c r="J15949"/>
      <c r="K15949" s="1"/>
      <c r="L15949" s="2"/>
    </row>
    <row r="15950" spans="1:12" x14ac:dyDescent="0.2">
      <c r="A15950"/>
      <c r="B15950"/>
      <c r="C15950"/>
      <c r="D15950"/>
      <c r="E15950"/>
      <c r="F15950"/>
      <c r="G15950"/>
      <c r="H15950"/>
      <c r="I15950"/>
      <c r="J15950"/>
      <c r="K15950" s="1"/>
      <c r="L15950" s="2"/>
    </row>
    <row r="15951" spans="1:12" x14ac:dyDescent="0.2">
      <c r="A15951"/>
      <c r="B15951"/>
      <c r="C15951"/>
      <c r="D15951"/>
      <c r="E15951"/>
      <c r="F15951"/>
      <c r="G15951"/>
      <c r="H15951"/>
      <c r="I15951"/>
      <c r="J15951"/>
      <c r="K15951" s="1"/>
      <c r="L15951" s="2"/>
    </row>
    <row r="15952" spans="1:12" x14ac:dyDescent="0.2">
      <c r="A15952"/>
      <c r="B15952"/>
      <c r="C15952"/>
      <c r="D15952"/>
      <c r="E15952"/>
      <c r="F15952"/>
      <c r="G15952"/>
      <c r="H15952"/>
      <c r="I15952"/>
      <c r="J15952"/>
      <c r="K15952" s="1"/>
      <c r="L15952" s="2"/>
    </row>
    <row r="15953" spans="1:12" x14ac:dyDescent="0.2">
      <c r="A15953"/>
      <c r="B15953"/>
      <c r="C15953"/>
      <c r="D15953"/>
      <c r="E15953"/>
      <c r="F15953"/>
      <c r="G15953"/>
      <c r="H15953"/>
      <c r="I15953"/>
      <c r="J15953"/>
      <c r="K15953" s="1"/>
      <c r="L15953" s="2"/>
    </row>
    <row r="15954" spans="1:12" x14ac:dyDescent="0.2">
      <c r="A15954"/>
      <c r="B15954"/>
      <c r="C15954"/>
      <c r="D15954"/>
      <c r="E15954"/>
      <c r="F15954"/>
      <c r="G15954"/>
      <c r="H15954"/>
      <c r="I15954"/>
      <c r="J15954"/>
      <c r="K15954" s="1"/>
      <c r="L15954" s="2"/>
    </row>
    <row r="15955" spans="1:12" x14ac:dyDescent="0.2">
      <c r="A15955"/>
      <c r="B15955"/>
      <c r="C15955"/>
      <c r="D15955"/>
      <c r="E15955"/>
      <c r="F15955"/>
      <c r="G15955"/>
      <c r="H15955"/>
      <c r="I15955"/>
      <c r="J15955"/>
      <c r="K15955" s="1"/>
      <c r="L15955" s="2"/>
    </row>
    <row r="15956" spans="1:12" x14ac:dyDescent="0.2">
      <c r="A15956"/>
      <c r="B15956"/>
      <c r="C15956"/>
      <c r="D15956"/>
      <c r="E15956"/>
      <c r="F15956"/>
      <c r="G15956"/>
      <c r="H15956"/>
      <c r="I15956"/>
      <c r="J15956"/>
      <c r="K15956" s="1"/>
      <c r="L15956" s="2"/>
    </row>
    <row r="15957" spans="1:12" x14ac:dyDescent="0.2">
      <c r="A15957"/>
      <c r="B15957"/>
      <c r="C15957"/>
      <c r="D15957"/>
      <c r="E15957"/>
      <c r="F15957"/>
      <c r="G15957"/>
      <c r="H15957"/>
      <c r="I15957"/>
      <c r="J15957"/>
      <c r="K15957" s="1"/>
      <c r="L15957" s="2"/>
    </row>
    <row r="15958" spans="1:12" x14ac:dyDescent="0.2">
      <c r="A15958"/>
      <c r="B15958"/>
      <c r="C15958"/>
      <c r="D15958"/>
      <c r="E15958"/>
      <c r="F15958"/>
      <c r="G15958"/>
      <c r="H15958"/>
      <c r="I15958"/>
      <c r="J15958"/>
      <c r="K15958" s="1"/>
      <c r="L15958" s="2"/>
    </row>
    <row r="15959" spans="1:12" x14ac:dyDescent="0.2">
      <c r="A15959"/>
      <c r="B15959"/>
      <c r="C15959"/>
      <c r="D15959"/>
      <c r="E15959"/>
      <c r="F15959"/>
      <c r="G15959"/>
      <c r="H15959"/>
      <c r="I15959"/>
      <c r="J15959"/>
      <c r="K15959" s="1"/>
      <c r="L15959" s="2"/>
    </row>
    <row r="15960" spans="1:12" x14ac:dyDescent="0.2">
      <c r="A15960"/>
      <c r="B15960"/>
      <c r="C15960"/>
      <c r="D15960"/>
      <c r="E15960"/>
      <c r="F15960"/>
      <c r="G15960"/>
      <c r="H15960"/>
      <c r="I15960"/>
      <c r="J15960"/>
      <c r="K15960" s="1"/>
      <c r="L15960" s="2"/>
    </row>
    <row r="15961" spans="1:12" x14ac:dyDescent="0.2">
      <c r="A15961"/>
      <c r="B15961"/>
      <c r="C15961"/>
      <c r="D15961"/>
      <c r="E15961"/>
      <c r="F15961"/>
      <c r="G15961"/>
      <c r="H15961"/>
      <c r="I15961"/>
      <c r="J15961"/>
      <c r="K15961" s="1"/>
      <c r="L15961" s="2"/>
    </row>
    <row r="15962" spans="1:12" x14ac:dyDescent="0.2">
      <c r="A15962"/>
      <c r="B15962"/>
      <c r="C15962"/>
      <c r="D15962"/>
      <c r="E15962"/>
      <c r="F15962"/>
      <c r="G15962"/>
      <c r="H15962"/>
      <c r="I15962"/>
      <c r="J15962"/>
      <c r="K15962" s="1"/>
      <c r="L15962" s="2"/>
    </row>
    <row r="15963" spans="1:12" x14ac:dyDescent="0.2">
      <c r="A15963"/>
      <c r="B15963"/>
      <c r="C15963"/>
      <c r="D15963"/>
      <c r="E15963"/>
      <c r="F15963"/>
      <c r="G15963"/>
      <c r="H15963"/>
      <c r="I15963"/>
      <c r="J15963"/>
      <c r="K15963" s="1"/>
      <c r="L15963" s="2"/>
    </row>
    <row r="15964" spans="1:12" x14ac:dyDescent="0.2">
      <c r="A15964"/>
      <c r="B15964"/>
      <c r="C15964"/>
      <c r="D15964"/>
      <c r="E15964"/>
      <c r="F15964"/>
      <c r="G15964"/>
      <c r="H15964"/>
      <c r="I15964"/>
      <c r="J15964"/>
      <c r="K15964" s="1"/>
      <c r="L15964" s="2"/>
    </row>
    <row r="15965" spans="1:12" x14ac:dyDescent="0.2">
      <c r="A15965"/>
      <c r="B15965"/>
      <c r="C15965"/>
      <c r="D15965"/>
      <c r="E15965"/>
      <c r="F15965"/>
      <c r="G15965"/>
      <c r="H15965"/>
      <c r="I15965"/>
      <c r="J15965"/>
      <c r="K15965" s="1"/>
      <c r="L15965" s="2"/>
    </row>
    <row r="15966" spans="1:12" x14ac:dyDescent="0.2">
      <c r="A15966"/>
      <c r="B15966"/>
      <c r="C15966"/>
      <c r="D15966"/>
      <c r="E15966"/>
      <c r="F15966"/>
      <c r="G15966"/>
      <c r="H15966"/>
      <c r="I15966"/>
      <c r="J15966"/>
      <c r="K15966" s="1"/>
      <c r="L15966" s="2"/>
    </row>
    <row r="15967" spans="1:12" x14ac:dyDescent="0.2">
      <c r="A15967"/>
      <c r="B15967"/>
      <c r="C15967"/>
      <c r="D15967"/>
      <c r="E15967"/>
      <c r="F15967"/>
      <c r="G15967"/>
      <c r="H15967"/>
      <c r="I15967"/>
      <c r="J15967"/>
      <c r="K15967" s="1"/>
      <c r="L15967" s="2"/>
    </row>
    <row r="15968" spans="1:12" x14ac:dyDescent="0.2">
      <c r="A15968"/>
      <c r="B15968"/>
      <c r="C15968"/>
      <c r="D15968"/>
      <c r="E15968"/>
      <c r="F15968"/>
      <c r="G15968"/>
      <c r="H15968"/>
      <c r="I15968"/>
      <c r="J15968"/>
      <c r="K15968" s="1"/>
      <c r="L15968" s="2"/>
    </row>
    <row r="15969" spans="1:12" x14ac:dyDescent="0.2">
      <c r="A15969"/>
      <c r="B15969"/>
      <c r="C15969"/>
      <c r="D15969"/>
      <c r="E15969"/>
      <c r="F15969"/>
      <c r="G15969"/>
      <c r="H15969"/>
      <c r="I15969"/>
      <c r="J15969"/>
      <c r="K15969" s="1"/>
      <c r="L15969" s="2"/>
    </row>
    <row r="15970" spans="1:12" x14ac:dyDescent="0.2">
      <c r="A15970"/>
      <c r="B15970"/>
      <c r="C15970"/>
      <c r="D15970"/>
      <c r="E15970"/>
      <c r="F15970"/>
      <c r="G15970"/>
      <c r="H15970"/>
      <c r="I15970"/>
      <c r="J15970"/>
      <c r="K15970" s="1"/>
      <c r="L15970" s="2"/>
    </row>
    <row r="15971" spans="1:12" x14ac:dyDescent="0.2">
      <c r="A15971"/>
      <c r="B15971"/>
      <c r="C15971"/>
      <c r="D15971"/>
      <c r="E15971"/>
      <c r="F15971"/>
      <c r="G15971"/>
      <c r="H15971"/>
      <c r="I15971"/>
      <c r="J15971"/>
      <c r="K15971" s="1"/>
      <c r="L15971" s="2"/>
    </row>
    <row r="15972" spans="1:12" x14ac:dyDescent="0.2">
      <c r="A15972"/>
      <c r="B15972"/>
      <c r="C15972"/>
      <c r="D15972"/>
      <c r="E15972"/>
      <c r="F15972"/>
      <c r="G15972"/>
      <c r="H15972"/>
      <c r="I15972"/>
      <c r="J15972"/>
      <c r="K15972" s="1"/>
      <c r="L15972" s="2"/>
    </row>
    <row r="15973" spans="1:12" x14ac:dyDescent="0.2">
      <c r="A15973"/>
      <c r="B15973"/>
      <c r="C15973"/>
      <c r="D15973"/>
      <c r="E15973"/>
      <c r="F15973"/>
      <c r="G15973"/>
      <c r="H15973"/>
      <c r="I15973"/>
      <c r="J15973"/>
      <c r="K15973" s="1"/>
      <c r="L15973" s="2"/>
    </row>
    <row r="15974" spans="1:12" x14ac:dyDescent="0.2">
      <c r="A15974"/>
      <c r="B15974"/>
      <c r="C15974"/>
      <c r="D15974"/>
      <c r="E15974"/>
      <c r="F15974"/>
      <c r="G15974"/>
      <c r="H15974"/>
      <c r="I15974"/>
      <c r="J15974"/>
      <c r="K15974" s="1"/>
      <c r="L15974" s="2"/>
    </row>
    <row r="15975" spans="1:12" x14ac:dyDescent="0.2">
      <c r="A15975"/>
      <c r="B15975"/>
      <c r="C15975"/>
      <c r="D15975"/>
      <c r="E15975"/>
      <c r="F15975"/>
      <c r="G15975"/>
      <c r="H15975"/>
      <c r="I15975"/>
      <c r="J15975"/>
      <c r="K15975" s="1"/>
      <c r="L15975" s="2"/>
    </row>
    <row r="15976" spans="1:12" x14ac:dyDescent="0.2">
      <c r="A15976"/>
      <c r="B15976"/>
      <c r="C15976"/>
      <c r="D15976"/>
      <c r="E15976"/>
      <c r="F15976"/>
      <c r="G15976"/>
      <c r="H15976"/>
      <c r="I15976"/>
      <c r="J15976"/>
      <c r="K15976" s="1"/>
      <c r="L15976" s="2"/>
    </row>
    <row r="15977" spans="1:12" x14ac:dyDescent="0.2">
      <c r="A15977"/>
      <c r="B15977"/>
      <c r="C15977"/>
      <c r="D15977"/>
      <c r="E15977"/>
      <c r="F15977"/>
      <c r="G15977"/>
      <c r="H15977"/>
      <c r="I15977"/>
      <c r="J15977"/>
      <c r="K15977" s="1"/>
      <c r="L15977" s="2"/>
    </row>
    <row r="15978" spans="1:12" x14ac:dyDescent="0.2">
      <c r="A15978"/>
      <c r="B15978"/>
      <c r="C15978"/>
      <c r="D15978"/>
      <c r="E15978"/>
      <c r="F15978"/>
      <c r="G15978"/>
      <c r="H15978"/>
      <c r="I15978"/>
      <c r="J15978"/>
      <c r="K15978" s="1"/>
      <c r="L15978" s="2"/>
    </row>
    <row r="15979" spans="1:12" x14ac:dyDescent="0.2">
      <c r="A15979"/>
      <c r="B15979"/>
      <c r="C15979"/>
      <c r="D15979"/>
      <c r="E15979"/>
      <c r="F15979"/>
      <c r="G15979"/>
      <c r="H15979"/>
      <c r="I15979"/>
      <c r="J15979"/>
      <c r="K15979" s="1"/>
      <c r="L15979" s="2"/>
    </row>
    <row r="15980" spans="1:12" x14ac:dyDescent="0.2">
      <c r="A15980"/>
      <c r="B15980"/>
      <c r="C15980"/>
      <c r="D15980"/>
      <c r="E15980"/>
      <c r="F15980"/>
      <c r="G15980"/>
      <c r="H15980"/>
      <c r="I15980"/>
      <c r="J15980"/>
      <c r="K15980" s="1"/>
      <c r="L15980" s="2"/>
    </row>
    <row r="15981" spans="1:12" x14ac:dyDescent="0.2">
      <c r="A15981"/>
      <c r="B15981"/>
      <c r="C15981"/>
      <c r="D15981"/>
      <c r="E15981"/>
      <c r="F15981"/>
      <c r="G15981"/>
      <c r="H15981"/>
      <c r="I15981"/>
      <c r="J15981"/>
      <c r="K15981" s="1"/>
      <c r="L15981" s="2"/>
    </row>
    <row r="15982" spans="1:12" x14ac:dyDescent="0.2">
      <c r="A15982"/>
      <c r="B15982"/>
      <c r="C15982"/>
      <c r="D15982"/>
      <c r="E15982"/>
      <c r="F15982"/>
      <c r="G15982"/>
      <c r="H15982"/>
      <c r="I15982"/>
      <c r="J15982"/>
      <c r="K15982" s="1"/>
      <c r="L15982" s="2"/>
    </row>
    <row r="15983" spans="1:12" x14ac:dyDescent="0.2">
      <c r="A15983"/>
      <c r="B15983"/>
      <c r="C15983"/>
      <c r="D15983"/>
      <c r="E15983"/>
      <c r="F15983"/>
      <c r="G15983"/>
      <c r="H15983"/>
      <c r="I15983"/>
      <c r="J15983"/>
      <c r="K15983" s="1"/>
      <c r="L15983" s="2"/>
    </row>
    <row r="15984" spans="1:12" x14ac:dyDescent="0.2">
      <c r="A15984"/>
      <c r="B15984"/>
      <c r="C15984"/>
      <c r="D15984"/>
      <c r="E15984"/>
      <c r="F15984"/>
      <c r="G15984"/>
      <c r="H15984"/>
      <c r="I15984"/>
      <c r="J15984"/>
      <c r="K15984" s="1"/>
      <c r="L15984" s="2"/>
    </row>
    <row r="15985" spans="1:12" x14ac:dyDescent="0.2">
      <c r="A15985"/>
      <c r="B15985"/>
      <c r="C15985"/>
      <c r="D15985"/>
      <c r="E15985"/>
      <c r="F15985"/>
      <c r="G15985"/>
      <c r="H15985"/>
      <c r="I15985"/>
      <c r="J15985"/>
      <c r="K15985" s="1"/>
      <c r="L15985" s="2"/>
    </row>
    <row r="15986" spans="1:12" x14ac:dyDescent="0.2">
      <c r="A15986"/>
      <c r="B15986"/>
      <c r="C15986"/>
      <c r="D15986"/>
      <c r="E15986"/>
      <c r="F15986"/>
      <c r="G15986"/>
      <c r="H15986"/>
      <c r="I15986"/>
      <c r="J15986"/>
      <c r="K15986" s="1"/>
      <c r="L15986" s="2"/>
    </row>
    <row r="15987" spans="1:12" x14ac:dyDescent="0.2">
      <c r="A15987"/>
      <c r="B15987"/>
      <c r="C15987"/>
      <c r="D15987"/>
      <c r="E15987"/>
      <c r="F15987"/>
      <c r="G15987"/>
      <c r="H15987"/>
      <c r="I15987"/>
      <c r="J15987"/>
      <c r="K15987" s="1"/>
      <c r="L15987" s="2"/>
    </row>
    <row r="15988" spans="1:12" x14ac:dyDescent="0.2">
      <c r="A15988"/>
      <c r="B15988"/>
      <c r="C15988"/>
      <c r="D15988"/>
      <c r="E15988"/>
      <c r="F15988"/>
      <c r="G15988"/>
      <c r="H15988"/>
      <c r="I15988"/>
      <c r="J15988"/>
      <c r="K15988" s="1"/>
      <c r="L15988" s="2"/>
    </row>
    <row r="15989" spans="1:12" x14ac:dyDescent="0.2">
      <c r="A15989"/>
      <c r="B15989"/>
      <c r="C15989"/>
      <c r="D15989"/>
      <c r="E15989"/>
      <c r="F15989"/>
      <c r="G15989"/>
      <c r="H15989"/>
      <c r="I15989"/>
      <c r="J15989"/>
      <c r="K15989" s="1"/>
      <c r="L15989" s="2"/>
    </row>
    <row r="15990" spans="1:12" x14ac:dyDescent="0.2">
      <c r="A15990"/>
      <c r="B15990"/>
      <c r="C15990"/>
      <c r="D15990"/>
      <c r="E15990"/>
      <c r="F15990"/>
      <c r="G15990"/>
      <c r="H15990"/>
      <c r="I15990"/>
      <c r="J15990"/>
      <c r="K15990" s="1"/>
      <c r="L15990" s="2"/>
    </row>
    <row r="15991" spans="1:12" x14ac:dyDescent="0.2">
      <c r="A15991"/>
      <c r="B15991"/>
      <c r="C15991"/>
      <c r="D15991"/>
      <c r="E15991"/>
      <c r="F15991"/>
      <c r="G15991"/>
      <c r="H15991"/>
      <c r="I15991"/>
      <c r="J15991"/>
      <c r="K15991" s="1"/>
      <c r="L15991" s="2"/>
    </row>
    <row r="15992" spans="1:12" x14ac:dyDescent="0.2">
      <c r="A15992"/>
      <c r="B15992"/>
      <c r="C15992"/>
      <c r="D15992"/>
      <c r="E15992"/>
      <c r="F15992"/>
      <c r="G15992"/>
      <c r="H15992"/>
      <c r="I15992"/>
      <c r="J15992"/>
      <c r="K15992" s="1"/>
      <c r="L15992" s="2"/>
    </row>
    <row r="15993" spans="1:12" x14ac:dyDescent="0.2">
      <c r="A15993"/>
      <c r="B15993"/>
      <c r="C15993"/>
      <c r="D15993"/>
      <c r="E15993"/>
      <c r="F15993"/>
      <c r="G15993"/>
      <c r="H15993"/>
      <c r="I15993"/>
      <c r="J15993"/>
      <c r="K15993" s="1"/>
      <c r="L15993" s="2"/>
    </row>
    <row r="15994" spans="1:12" x14ac:dyDescent="0.2">
      <c r="A15994"/>
      <c r="B15994"/>
      <c r="C15994"/>
      <c r="D15994"/>
      <c r="E15994"/>
      <c r="F15994"/>
      <c r="G15994"/>
      <c r="H15994"/>
      <c r="I15994"/>
      <c r="J15994"/>
      <c r="K15994" s="1"/>
      <c r="L15994" s="2"/>
    </row>
    <row r="15995" spans="1:12" x14ac:dyDescent="0.2">
      <c r="A15995"/>
      <c r="B15995"/>
      <c r="C15995"/>
      <c r="D15995"/>
      <c r="E15995"/>
      <c r="F15995"/>
      <c r="G15995"/>
      <c r="H15995"/>
      <c r="I15995"/>
      <c r="J15995"/>
      <c r="K15995" s="1"/>
      <c r="L15995" s="2"/>
    </row>
    <row r="15996" spans="1:12" x14ac:dyDescent="0.2">
      <c r="A15996"/>
      <c r="B15996"/>
      <c r="C15996"/>
      <c r="D15996"/>
      <c r="E15996"/>
      <c r="F15996"/>
      <c r="G15996"/>
      <c r="H15996"/>
      <c r="I15996"/>
      <c r="J15996"/>
      <c r="K15996" s="1"/>
      <c r="L15996" s="2"/>
    </row>
    <row r="15997" spans="1:12" x14ac:dyDescent="0.2">
      <c r="A15997"/>
      <c r="B15997"/>
      <c r="C15997"/>
      <c r="D15997"/>
      <c r="E15997"/>
      <c r="F15997"/>
      <c r="G15997"/>
      <c r="H15997"/>
      <c r="I15997"/>
      <c r="J15997"/>
      <c r="K15997" s="1"/>
      <c r="L15997" s="2"/>
    </row>
    <row r="15998" spans="1:12" x14ac:dyDescent="0.2">
      <c r="A15998"/>
      <c r="B15998"/>
      <c r="C15998"/>
      <c r="D15998"/>
      <c r="E15998"/>
      <c r="F15998"/>
      <c r="G15998"/>
      <c r="H15998"/>
      <c r="I15998"/>
      <c r="J15998"/>
      <c r="K15998" s="1"/>
      <c r="L15998" s="2"/>
    </row>
    <row r="15999" spans="1:12" x14ac:dyDescent="0.2">
      <c r="A15999"/>
      <c r="B15999"/>
      <c r="C15999"/>
      <c r="D15999"/>
      <c r="E15999"/>
      <c r="F15999"/>
      <c r="G15999"/>
      <c r="H15999"/>
      <c r="I15999"/>
      <c r="J15999"/>
      <c r="K15999" s="1"/>
      <c r="L15999" s="2"/>
    </row>
    <row r="16000" spans="1:12" x14ac:dyDescent="0.2">
      <c r="A16000"/>
      <c r="B16000"/>
      <c r="C16000"/>
      <c r="D16000"/>
      <c r="E16000"/>
      <c r="F16000"/>
      <c r="G16000"/>
      <c r="H16000"/>
      <c r="I16000"/>
      <c r="J16000"/>
      <c r="K16000" s="1"/>
      <c r="L16000" s="2"/>
    </row>
    <row r="16001" spans="1:12" x14ac:dyDescent="0.2">
      <c r="A16001"/>
      <c r="B16001"/>
      <c r="C16001"/>
      <c r="D16001"/>
      <c r="E16001"/>
      <c r="F16001"/>
      <c r="G16001"/>
      <c r="H16001"/>
      <c r="I16001"/>
      <c r="J16001"/>
      <c r="K16001" s="1"/>
      <c r="L16001" s="2"/>
    </row>
    <row r="16002" spans="1:12" x14ac:dyDescent="0.2">
      <c r="A16002"/>
      <c r="B16002"/>
      <c r="C16002"/>
      <c r="D16002"/>
      <c r="E16002"/>
      <c r="F16002"/>
      <c r="G16002"/>
      <c r="H16002"/>
      <c r="I16002"/>
      <c r="J16002"/>
      <c r="K16002" s="1"/>
      <c r="L16002" s="2"/>
    </row>
    <row r="16003" spans="1:12" x14ac:dyDescent="0.2">
      <c r="A16003"/>
      <c r="B16003"/>
      <c r="C16003"/>
      <c r="D16003"/>
      <c r="E16003"/>
      <c r="F16003"/>
      <c r="G16003"/>
      <c r="H16003"/>
      <c r="I16003"/>
      <c r="J16003"/>
      <c r="K16003" s="1"/>
      <c r="L16003" s="2"/>
    </row>
    <row r="16004" spans="1:12" x14ac:dyDescent="0.2">
      <c r="A16004"/>
      <c r="B16004"/>
      <c r="C16004"/>
      <c r="D16004"/>
      <c r="E16004"/>
      <c r="F16004"/>
      <c r="G16004"/>
      <c r="H16004"/>
      <c r="I16004"/>
      <c r="J16004"/>
      <c r="K16004" s="1"/>
      <c r="L16004" s="2"/>
    </row>
    <row r="16005" spans="1:12" x14ac:dyDescent="0.2">
      <c r="A16005"/>
      <c r="B16005"/>
      <c r="C16005"/>
      <c r="D16005"/>
      <c r="E16005"/>
      <c r="F16005"/>
      <c r="G16005"/>
      <c r="H16005"/>
      <c r="I16005"/>
      <c r="J16005"/>
      <c r="K16005" s="1"/>
      <c r="L16005" s="2"/>
    </row>
    <row r="16006" spans="1:12" x14ac:dyDescent="0.2">
      <c r="A16006"/>
      <c r="B16006"/>
      <c r="C16006"/>
      <c r="D16006"/>
      <c r="E16006"/>
      <c r="F16006"/>
      <c r="G16006"/>
      <c r="H16006"/>
      <c r="I16006"/>
      <c r="J16006"/>
      <c r="K16006" s="1"/>
      <c r="L16006" s="2"/>
    </row>
    <row r="16007" spans="1:12" x14ac:dyDescent="0.2">
      <c r="A16007"/>
      <c r="B16007"/>
      <c r="C16007"/>
      <c r="D16007"/>
      <c r="E16007"/>
      <c r="F16007"/>
      <c r="G16007"/>
      <c r="H16007"/>
      <c r="I16007"/>
      <c r="J16007"/>
      <c r="K16007" s="1"/>
      <c r="L16007" s="2"/>
    </row>
    <row r="16008" spans="1:12" x14ac:dyDescent="0.2">
      <c r="A16008"/>
      <c r="B16008"/>
      <c r="C16008"/>
      <c r="D16008"/>
      <c r="E16008"/>
      <c r="F16008"/>
      <c r="G16008"/>
      <c r="H16008"/>
      <c r="I16008"/>
      <c r="J16008"/>
      <c r="K16008" s="1"/>
      <c r="L16008" s="2"/>
    </row>
    <row r="16009" spans="1:12" x14ac:dyDescent="0.2">
      <c r="A16009"/>
      <c r="B16009"/>
      <c r="C16009"/>
      <c r="D16009"/>
      <c r="E16009"/>
      <c r="F16009"/>
      <c r="G16009"/>
      <c r="H16009"/>
      <c r="I16009"/>
      <c r="J16009"/>
      <c r="K16009" s="1"/>
      <c r="L16009" s="2"/>
    </row>
    <row r="16010" spans="1:12" x14ac:dyDescent="0.2">
      <c r="A16010"/>
      <c r="B16010"/>
      <c r="C16010"/>
      <c r="D16010"/>
      <c r="E16010"/>
      <c r="F16010"/>
      <c r="G16010"/>
      <c r="H16010"/>
      <c r="I16010"/>
      <c r="J16010"/>
      <c r="K16010" s="1"/>
      <c r="L16010" s="2"/>
    </row>
    <row r="16011" spans="1:12" x14ac:dyDescent="0.2">
      <c r="A16011"/>
      <c r="B16011"/>
      <c r="C16011"/>
      <c r="D16011"/>
      <c r="E16011"/>
      <c r="F16011"/>
      <c r="G16011"/>
      <c r="H16011"/>
      <c r="I16011"/>
      <c r="J16011"/>
      <c r="K16011" s="1"/>
      <c r="L16011" s="2"/>
    </row>
    <row r="16012" spans="1:12" x14ac:dyDescent="0.2">
      <c r="A16012"/>
      <c r="B16012"/>
      <c r="C16012"/>
      <c r="D16012"/>
      <c r="E16012"/>
      <c r="F16012"/>
      <c r="G16012"/>
      <c r="H16012"/>
      <c r="I16012"/>
      <c r="J16012"/>
      <c r="K16012" s="1"/>
      <c r="L16012" s="2"/>
    </row>
    <row r="16013" spans="1:12" x14ac:dyDescent="0.2">
      <c r="A16013"/>
      <c r="B16013"/>
      <c r="C16013"/>
      <c r="D16013"/>
      <c r="E16013"/>
      <c r="F16013"/>
      <c r="G16013"/>
      <c r="H16013"/>
      <c r="I16013"/>
      <c r="J16013"/>
      <c r="K16013" s="1"/>
      <c r="L16013" s="2"/>
    </row>
    <row r="16014" spans="1:12" x14ac:dyDescent="0.2">
      <c r="A16014"/>
      <c r="B16014"/>
      <c r="C16014"/>
      <c r="D16014"/>
      <c r="E16014"/>
      <c r="F16014"/>
      <c r="G16014"/>
      <c r="H16014"/>
      <c r="I16014"/>
      <c r="J16014"/>
      <c r="K16014" s="1"/>
      <c r="L16014" s="2"/>
    </row>
    <row r="16015" spans="1:12" x14ac:dyDescent="0.2">
      <c r="A16015"/>
      <c r="B16015"/>
      <c r="C16015"/>
      <c r="D16015"/>
      <c r="E16015"/>
      <c r="F16015"/>
      <c r="G16015"/>
      <c r="H16015"/>
      <c r="I16015"/>
      <c r="J16015"/>
      <c r="K16015" s="1"/>
      <c r="L16015" s="2"/>
    </row>
    <row r="16016" spans="1:12" x14ac:dyDescent="0.2">
      <c r="A16016"/>
      <c r="B16016"/>
      <c r="C16016"/>
      <c r="D16016"/>
      <c r="E16016"/>
      <c r="F16016"/>
      <c r="G16016"/>
      <c r="H16016"/>
      <c r="I16016"/>
      <c r="J16016"/>
      <c r="K16016" s="1"/>
      <c r="L16016" s="2"/>
    </row>
    <row r="16017" spans="1:12" x14ac:dyDescent="0.2">
      <c r="A16017"/>
      <c r="B16017"/>
      <c r="C16017"/>
      <c r="D16017"/>
      <c r="E16017"/>
      <c r="F16017"/>
      <c r="G16017"/>
      <c r="H16017"/>
      <c r="I16017"/>
      <c r="J16017"/>
      <c r="K16017" s="1"/>
      <c r="L16017" s="2"/>
    </row>
    <row r="16018" spans="1:12" x14ac:dyDescent="0.2">
      <c r="A16018"/>
      <c r="B16018"/>
      <c r="C16018"/>
      <c r="D16018"/>
      <c r="E16018"/>
      <c r="F16018"/>
      <c r="G16018"/>
      <c r="H16018"/>
      <c r="I16018"/>
      <c r="J16018"/>
      <c r="K16018" s="1"/>
      <c r="L16018" s="2"/>
    </row>
    <row r="16019" spans="1:12" x14ac:dyDescent="0.2">
      <c r="A16019"/>
      <c r="B16019"/>
      <c r="C16019"/>
      <c r="D16019"/>
      <c r="E16019"/>
      <c r="F16019"/>
      <c r="G16019"/>
      <c r="H16019"/>
      <c r="I16019"/>
      <c r="J16019"/>
      <c r="K16019" s="1"/>
      <c r="L16019" s="2"/>
    </row>
    <row r="16020" spans="1:12" x14ac:dyDescent="0.2">
      <c r="A16020"/>
      <c r="B16020"/>
      <c r="C16020"/>
      <c r="D16020"/>
      <c r="E16020"/>
      <c r="F16020"/>
      <c r="G16020"/>
      <c r="H16020"/>
      <c r="I16020"/>
      <c r="J16020"/>
      <c r="K16020" s="1"/>
      <c r="L16020" s="2"/>
    </row>
    <row r="16021" spans="1:12" x14ac:dyDescent="0.2">
      <c r="A16021"/>
      <c r="B16021"/>
      <c r="C16021"/>
      <c r="D16021"/>
      <c r="E16021"/>
      <c r="F16021"/>
      <c r="G16021"/>
      <c r="H16021"/>
      <c r="I16021"/>
      <c r="J16021"/>
      <c r="K16021" s="1"/>
      <c r="L16021" s="2"/>
    </row>
    <row r="16022" spans="1:12" x14ac:dyDescent="0.2">
      <c r="A16022"/>
      <c r="B16022"/>
      <c r="C16022"/>
      <c r="D16022"/>
      <c r="E16022"/>
      <c r="F16022"/>
      <c r="G16022"/>
      <c r="H16022"/>
      <c r="I16022"/>
      <c r="J16022"/>
      <c r="K16022" s="1"/>
      <c r="L16022" s="2"/>
    </row>
    <row r="16023" spans="1:12" x14ac:dyDescent="0.2">
      <c r="A16023"/>
      <c r="B16023"/>
      <c r="C16023"/>
      <c r="D16023"/>
      <c r="E16023"/>
      <c r="F16023"/>
      <c r="G16023"/>
      <c r="H16023"/>
      <c r="I16023"/>
      <c r="J16023"/>
      <c r="K16023" s="1"/>
      <c r="L16023" s="2"/>
    </row>
    <row r="16024" spans="1:12" x14ac:dyDescent="0.2">
      <c r="A16024"/>
      <c r="B16024"/>
      <c r="C16024"/>
      <c r="D16024"/>
      <c r="E16024"/>
      <c r="F16024"/>
      <c r="G16024"/>
      <c r="H16024"/>
      <c r="I16024"/>
      <c r="J16024"/>
      <c r="K16024" s="1"/>
      <c r="L16024" s="2"/>
    </row>
    <row r="16025" spans="1:12" x14ac:dyDescent="0.2">
      <c r="A16025"/>
      <c r="B16025"/>
      <c r="C16025"/>
      <c r="D16025"/>
      <c r="E16025"/>
      <c r="F16025"/>
      <c r="G16025"/>
      <c r="H16025"/>
      <c r="I16025"/>
      <c r="J16025"/>
      <c r="K16025" s="1"/>
      <c r="L16025" s="2"/>
    </row>
    <row r="16026" spans="1:12" x14ac:dyDescent="0.2">
      <c r="A16026"/>
      <c r="B16026"/>
      <c r="C16026"/>
      <c r="D16026"/>
      <c r="E16026"/>
      <c r="F16026"/>
      <c r="G16026"/>
      <c r="H16026"/>
      <c r="I16026"/>
      <c r="J16026"/>
      <c r="K16026" s="1"/>
      <c r="L16026" s="2"/>
    </row>
    <row r="16027" spans="1:12" x14ac:dyDescent="0.2">
      <c r="A16027"/>
      <c r="B16027"/>
      <c r="C16027"/>
      <c r="D16027"/>
      <c r="E16027"/>
      <c r="F16027"/>
      <c r="G16027"/>
      <c r="H16027"/>
      <c r="I16027"/>
      <c r="J16027"/>
      <c r="K16027" s="1"/>
      <c r="L16027" s="2"/>
    </row>
    <row r="16028" spans="1:12" x14ac:dyDescent="0.2">
      <c r="A16028"/>
      <c r="B16028"/>
      <c r="C16028"/>
      <c r="D16028"/>
      <c r="E16028"/>
      <c r="F16028"/>
      <c r="G16028"/>
      <c r="H16028"/>
      <c r="I16028"/>
      <c r="J16028"/>
      <c r="K16028" s="1"/>
      <c r="L16028" s="2"/>
    </row>
    <row r="16029" spans="1:12" x14ac:dyDescent="0.2">
      <c r="A16029"/>
      <c r="B16029"/>
      <c r="C16029"/>
      <c r="D16029"/>
      <c r="E16029"/>
      <c r="F16029"/>
      <c r="G16029"/>
      <c r="H16029"/>
      <c r="I16029"/>
      <c r="J16029"/>
      <c r="K16029" s="1"/>
      <c r="L16029" s="2"/>
    </row>
    <row r="16030" spans="1:12" x14ac:dyDescent="0.2">
      <c r="A16030"/>
      <c r="B16030"/>
      <c r="C16030"/>
      <c r="D16030"/>
      <c r="E16030"/>
      <c r="F16030"/>
      <c r="G16030"/>
      <c r="H16030"/>
      <c r="I16030"/>
      <c r="J16030"/>
      <c r="K16030" s="1"/>
      <c r="L16030" s="2"/>
    </row>
    <row r="16031" spans="1:12" x14ac:dyDescent="0.2">
      <c r="A16031"/>
      <c r="B16031"/>
      <c r="C16031"/>
      <c r="D16031"/>
      <c r="E16031"/>
      <c r="F16031"/>
      <c r="G16031"/>
      <c r="H16031"/>
      <c r="I16031"/>
      <c r="J16031"/>
      <c r="K16031" s="1"/>
      <c r="L16031" s="2"/>
    </row>
    <row r="16032" spans="1:12" x14ac:dyDescent="0.2">
      <c r="A16032"/>
      <c r="B16032"/>
      <c r="C16032"/>
      <c r="D16032"/>
      <c r="E16032"/>
      <c r="F16032"/>
      <c r="G16032"/>
      <c r="H16032"/>
      <c r="I16032"/>
      <c r="J16032"/>
      <c r="K16032" s="1"/>
      <c r="L16032" s="2"/>
    </row>
    <row r="16033" spans="1:12" x14ac:dyDescent="0.2">
      <c r="A16033"/>
      <c r="B16033"/>
      <c r="C16033"/>
      <c r="D16033"/>
      <c r="E16033"/>
      <c r="F16033"/>
      <c r="G16033"/>
      <c r="H16033"/>
      <c r="I16033"/>
      <c r="J16033"/>
      <c r="K16033" s="1"/>
      <c r="L16033" s="2"/>
    </row>
    <row r="16034" spans="1:12" x14ac:dyDescent="0.2">
      <c r="A16034"/>
      <c r="B16034"/>
      <c r="C16034"/>
      <c r="D16034"/>
      <c r="E16034"/>
      <c r="F16034"/>
      <c r="G16034"/>
      <c r="H16034"/>
      <c r="I16034"/>
      <c r="J16034"/>
      <c r="K16034" s="1"/>
      <c r="L16034" s="2"/>
    </row>
    <row r="16035" spans="1:12" x14ac:dyDescent="0.2">
      <c r="A16035"/>
      <c r="B16035"/>
      <c r="C16035"/>
      <c r="D16035"/>
      <c r="E16035"/>
      <c r="F16035"/>
      <c r="G16035"/>
      <c r="H16035"/>
      <c r="I16035"/>
      <c r="J16035"/>
      <c r="K16035" s="1"/>
      <c r="L16035" s="2"/>
    </row>
    <row r="16036" spans="1:12" x14ac:dyDescent="0.2">
      <c r="A16036"/>
      <c r="B16036"/>
      <c r="C16036"/>
      <c r="D16036"/>
      <c r="E16036"/>
      <c r="F16036"/>
      <c r="G16036"/>
      <c r="H16036"/>
      <c r="I16036"/>
      <c r="J16036"/>
      <c r="K16036" s="1"/>
      <c r="L16036" s="2"/>
    </row>
    <row r="16037" spans="1:12" x14ac:dyDescent="0.2">
      <c r="A16037"/>
      <c r="B16037"/>
      <c r="C16037"/>
      <c r="D16037"/>
      <c r="E16037"/>
      <c r="F16037"/>
      <c r="G16037"/>
      <c r="H16037"/>
      <c r="I16037"/>
      <c r="J16037"/>
      <c r="K16037" s="1"/>
      <c r="L16037" s="2"/>
    </row>
    <row r="16038" spans="1:12" x14ac:dyDescent="0.2">
      <c r="A16038"/>
      <c r="B16038"/>
      <c r="C16038"/>
      <c r="D16038"/>
      <c r="E16038"/>
      <c r="F16038"/>
      <c r="G16038"/>
      <c r="H16038"/>
      <c r="I16038"/>
      <c r="J16038"/>
      <c r="K16038" s="1"/>
      <c r="L16038" s="2"/>
    </row>
    <row r="16039" spans="1:12" x14ac:dyDescent="0.2">
      <c r="A16039"/>
      <c r="B16039"/>
      <c r="C16039"/>
      <c r="D16039"/>
      <c r="E16039"/>
      <c r="F16039"/>
      <c r="G16039"/>
      <c r="H16039"/>
      <c r="I16039"/>
      <c r="J16039"/>
      <c r="K16039" s="1"/>
      <c r="L16039" s="2"/>
    </row>
    <row r="16040" spans="1:12" x14ac:dyDescent="0.2">
      <c r="A16040"/>
      <c r="B16040"/>
      <c r="C16040"/>
      <c r="D16040"/>
      <c r="E16040"/>
      <c r="F16040"/>
      <c r="G16040"/>
      <c r="H16040"/>
      <c r="I16040"/>
      <c r="J16040"/>
      <c r="K16040" s="1"/>
      <c r="L16040" s="2"/>
    </row>
    <row r="16041" spans="1:12" x14ac:dyDescent="0.2">
      <c r="A16041"/>
      <c r="B16041"/>
      <c r="C16041"/>
      <c r="D16041"/>
      <c r="E16041"/>
      <c r="F16041"/>
      <c r="G16041"/>
      <c r="H16041"/>
      <c r="I16041"/>
      <c r="J16041"/>
      <c r="K16041" s="1"/>
      <c r="L16041" s="2"/>
    </row>
    <row r="16042" spans="1:12" x14ac:dyDescent="0.2">
      <c r="A16042"/>
      <c r="B16042"/>
      <c r="C16042"/>
      <c r="D16042"/>
      <c r="E16042"/>
      <c r="F16042"/>
      <c r="G16042"/>
      <c r="H16042"/>
      <c r="I16042"/>
      <c r="J16042"/>
      <c r="K16042" s="1"/>
      <c r="L16042" s="2"/>
    </row>
    <row r="16043" spans="1:12" x14ac:dyDescent="0.2">
      <c r="A16043"/>
      <c r="B16043"/>
      <c r="C16043"/>
      <c r="D16043"/>
      <c r="E16043"/>
      <c r="F16043"/>
      <c r="G16043"/>
      <c r="H16043"/>
      <c r="I16043"/>
      <c r="J16043"/>
      <c r="K16043" s="1"/>
      <c r="L16043" s="2"/>
    </row>
    <row r="16044" spans="1:12" x14ac:dyDescent="0.2">
      <c r="A16044"/>
      <c r="B16044"/>
      <c r="C16044"/>
      <c r="D16044"/>
      <c r="E16044"/>
      <c r="F16044"/>
      <c r="G16044"/>
      <c r="H16044"/>
      <c r="I16044"/>
      <c r="J16044"/>
      <c r="K16044" s="1"/>
      <c r="L16044" s="2"/>
    </row>
    <row r="16045" spans="1:12" x14ac:dyDescent="0.2">
      <c r="A16045"/>
      <c r="B16045"/>
      <c r="C16045"/>
      <c r="D16045"/>
      <c r="E16045"/>
      <c r="F16045"/>
      <c r="G16045"/>
      <c r="H16045"/>
      <c r="I16045"/>
      <c r="J16045"/>
      <c r="K16045" s="1"/>
      <c r="L16045" s="2"/>
    </row>
    <row r="16046" spans="1:12" x14ac:dyDescent="0.2">
      <c r="A16046"/>
      <c r="B16046"/>
      <c r="C16046"/>
      <c r="D16046"/>
      <c r="E16046"/>
      <c r="F16046"/>
      <c r="G16046"/>
      <c r="H16046"/>
      <c r="I16046"/>
      <c r="J16046"/>
      <c r="K16046" s="1"/>
      <c r="L16046" s="2"/>
    </row>
    <row r="16047" spans="1:12" x14ac:dyDescent="0.2">
      <c r="A16047"/>
      <c r="B16047"/>
      <c r="C16047"/>
      <c r="D16047"/>
      <c r="E16047"/>
      <c r="F16047"/>
      <c r="G16047"/>
      <c r="H16047"/>
      <c r="I16047"/>
      <c r="J16047"/>
      <c r="K16047" s="1"/>
      <c r="L16047" s="2"/>
    </row>
    <row r="16048" spans="1:12" x14ac:dyDescent="0.2">
      <c r="A16048"/>
      <c r="B16048"/>
      <c r="C16048"/>
      <c r="D16048"/>
      <c r="E16048"/>
      <c r="F16048"/>
      <c r="G16048"/>
      <c r="H16048"/>
      <c r="I16048"/>
      <c r="J16048"/>
      <c r="K16048" s="1"/>
      <c r="L16048" s="2"/>
    </row>
    <row r="16049" spans="1:12" x14ac:dyDescent="0.2">
      <c r="A16049"/>
      <c r="B16049"/>
      <c r="C16049"/>
      <c r="D16049"/>
      <c r="E16049"/>
      <c r="F16049"/>
      <c r="G16049"/>
      <c r="H16049"/>
      <c r="I16049"/>
      <c r="J16049"/>
      <c r="K16049" s="1"/>
      <c r="L16049" s="2"/>
    </row>
    <row r="16050" spans="1:12" x14ac:dyDescent="0.2">
      <c r="A16050"/>
      <c r="B16050"/>
      <c r="C16050"/>
      <c r="D16050"/>
      <c r="E16050"/>
      <c r="F16050"/>
      <c r="G16050"/>
      <c r="H16050"/>
      <c r="I16050"/>
      <c r="J16050"/>
      <c r="K16050" s="1"/>
      <c r="L16050" s="2"/>
    </row>
    <row r="16051" spans="1:12" x14ac:dyDescent="0.2">
      <c r="A16051"/>
      <c r="B16051"/>
      <c r="C16051"/>
      <c r="D16051"/>
      <c r="E16051"/>
      <c r="F16051"/>
      <c r="G16051"/>
      <c r="H16051"/>
      <c r="I16051"/>
      <c r="J16051"/>
      <c r="K16051" s="1"/>
      <c r="L16051" s="2"/>
    </row>
    <row r="16052" spans="1:12" x14ac:dyDescent="0.2">
      <c r="A16052"/>
      <c r="B16052"/>
      <c r="C16052"/>
      <c r="D16052"/>
      <c r="E16052"/>
      <c r="F16052"/>
      <c r="G16052"/>
      <c r="H16052"/>
      <c r="I16052"/>
      <c r="J16052"/>
      <c r="K16052" s="1"/>
      <c r="L16052" s="2"/>
    </row>
    <row r="16053" spans="1:12" x14ac:dyDescent="0.2">
      <c r="A16053"/>
      <c r="B16053"/>
      <c r="C16053"/>
      <c r="D16053"/>
      <c r="E16053"/>
      <c r="F16053"/>
      <c r="G16053"/>
      <c r="H16053"/>
      <c r="I16053"/>
      <c r="J16053"/>
      <c r="K16053" s="1"/>
      <c r="L16053" s="2"/>
    </row>
    <row r="16054" spans="1:12" x14ac:dyDescent="0.2">
      <c r="A16054"/>
      <c r="B16054"/>
      <c r="C16054"/>
      <c r="D16054"/>
      <c r="E16054"/>
      <c r="F16054"/>
      <c r="G16054"/>
      <c r="H16054"/>
      <c r="I16054"/>
      <c r="J16054"/>
      <c r="K16054" s="1"/>
      <c r="L16054" s="2"/>
    </row>
    <row r="16055" spans="1:12" x14ac:dyDescent="0.2">
      <c r="A16055"/>
      <c r="B16055"/>
      <c r="C16055"/>
      <c r="D16055"/>
      <c r="E16055"/>
      <c r="F16055"/>
      <c r="G16055"/>
      <c r="H16055"/>
      <c r="I16055"/>
      <c r="J16055"/>
      <c r="K16055" s="1"/>
      <c r="L16055" s="2"/>
    </row>
    <row r="16056" spans="1:12" x14ac:dyDescent="0.2">
      <c r="A16056"/>
      <c r="B16056"/>
      <c r="C16056"/>
      <c r="D16056"/>
      <c r="E16056"/>
      <c r="F16056"/>
      <c r="G16056"/>
      <c r="H16056"/>
      <c r="I16056"/>
      <c r="J16056"/>
      <c r="K16056" s="1"/>
      <c r="L16056" s="2"/>
    </row>
    <row r="16057" spans="1:12" x14ac:dyDescent="0.2">
      <c r="A16057"/>
      <c r="B16057"/>
      <c r="C16057"/>
      <c r="D16057"/>
      <c r="E16057"/>
      <c r="F16057"/>
      <c r="G16057"/>
      <c r="H16057"/>
      <c r="I16057"/>
      <c r="J16057"/>
      <c r="K16057" s="1"/>
      <c r="L16057" s="2"/>
    </row>
    <row r="16058" spans="1:12" x14ac:dyDescent="0.2">
      <c r="A16058"/>
      <c r="B16058"/>
      <c r="C16058"/>
      <c r="D16058"/>
      <c r="E16058"/>
      <c r="F16058"/>
      <c r="G16058"/>
      <c r="H16058"/>
      <c r="I16058"/>
      <c r="J16058"/>
      <c r="K16058" s="1"/>
      <c r="L16058" s="2"/>
    </row>
    <row r="16059" spans="1:12" x14ac:dyDescent="0.2">
      <c r="A16059"/>
      <c r="B16059"/>
      <c r="C16059"/>
      <c r="D16059"/>
      <c r="E16059"/>
      <c r="F16059"/>
      <c r="G16059"/>
      <c r="H16059"/>
      <c r="I16059"/>
      <c r="J16059"/>
      <c r="K16059" s="1"/>
      <c r="L16059" s="2"/>
    </row>
    <row r="16060" spans="1:12" x14ac:dyDescent="0.2">
      <c r="A16060"/>
      <c r="B16060"/>
      <c r="C16060"/>
      <c r="D16060"/>
      <c r="E16060"/>
      <c r="F16060"/>
      <c r="G16060"/>
      <c r="H16060"/>
      <c r="I16060"/>
      <c r="J16060"/>
      <c r="K16060" s="1"/>
      <c r="L16060" s="2"/>
    </row>
    <row r="16061" spans="1:12" x14ac:dyDescent="0.2">
      <c r="A16061"/>
      <c r="B16061"/>
      <c r="C16061"/>
      <c r="D16061"/>
      <c r="E16061"/>
      <c r="F16061"/>
      <c r="G16061"/>
      <c r="H16061"/>
      <c r="I16061"/>
      <c r="J16061"/>
      <c r="K16061" s="1"/>
      <c r="L16061" s="2"/>
    </row>
    <row r="16062" spans="1:12" x14ac:dyDescent="0.2">
      <c r="A16062"/>
      <c r="B16062"/>
      <c r="C16062"/>
      <c r="D16062"/>
      <c r="E16062"/>
      <c r="F16062"/>
      <c r="G16062"/>
      <c r="H16062"/>
      <c r="I16062"/>
      <c r="J16062"/>
      <c r="K16062" s="1"/>
      <c r="L16062" s="2"/>
    </row>
    <row r="16063" spans="1:12" x14ac:dyDescent="0.2">
      <c r="A16063"/>
      <c r="B16063"/>
      <c r="C16063"/>
      <c r="D16063"/>
      <c r="E16063"/>
      <c r="F16063"/>
      <c r="G16063"/>
      <c r="H16063"/>
      <c r="I16063"/>
      <c r="J16063"/>
      <c r="K16063" s="1"/>
      <c r="L16063" s="2"/>
    </row>
    <row r="16064" spans="1:12" x14ac:dyDescent="0.2">
      <c r="A16064"/>
      <c r="B16064"/>
      <c r="C16064"/>
      <c r="D16064"/>
      <c r="E16064"/>
      <c r="F16064"/>
      <c r="G16064"/>
      <c r="H16064"/>
      <c r="I16064"/>
      <c r="J16064"/>
      <c r="K16064" s="1"/>
      <c r="L16064" s="2"/>
    </row>
    <row r="16065" spans="1:12" x14ac:dyDescent="0.2">
      <c r="A16065"/>
      <c r="B16065"/>
      <c r="C16065"/>
      <c r="D16065"/>
      <c r="E16065"/>
      <c r="F16065"/>
      <c r="G16065"/>
      <c r="H16065"/>
      <c r="I16065"/>
      <c r="J16065"/>
      <c r="K16065" s="1"/>
      <c r="L16065" s="2"/>
    </row>
    <row r="16066" spans="1:12" x14ac:dyDescent="0.2">
      <c r="A16066"/>
      <c r="B16066"/>
      <c r="C16066"/>
      <c r="D16066"/>
      <c r="E16066"/>
      <c r="F16066"/>
      <c r="G16066"/>
      <c r="H16066"/>
      <c r="I16066"/>
      <c r="J16066"/>
      <c r="K16066" s="1"/>
      <c r="L16066" s="2"/>
    </row>
    <row r="16067" spans="1:12" x14ac:dyDescent="0.2">
      <c r="A16067"/>
      <c r="B16067"/>
      <c r="C16067"/>
      <c r="D16067"/>
      <c r="E16067"/>
      <c r="F16067"/>
      <c r="G16067"/>
      <c r="H16067"/>
      <c r="I16067"/>
      <c r="J16067"/>
      <c r="K16067" s="1"/>
      <c r="L16067" s="2"/>
    </row>
    <row r="16068" spans="1:12" x14ac:dyDescent="0.2">
      <c r="A16068"/>
      <c r="B16068"/>
      <c r="C16068"/>
      <c r="D16068"/>
      <c r="E16068"/>
      <c r="F16068"/>
      <c r="G16068"/>
      <c r="H16068"/>
      <c r="I16068"/>
      <c r="J16068"/>
      <c r="K16068" s="1"/>
      <c r="L16068" s="2"/>
    </row>
    <row r="16069" spans="1:12" x14ac:dyDescent="0.2">
      <c r="A16069"/>
      <c r="B16069"/>
      <c r="C16069"/>
      <c r="D16069"/>
      <c r="E16069"/>
      <c r="F16069"/>
      <c r="G16069"/>
      <c r="H16069"/>
      <c r="I16069"/>
      <c r="J16069"/>
      <c r="K16069" s="1"/>
      <c r="L16069" s="2"/>
    </row>
    <row r="16070" spans="1:12" x14ac:dyDescent="0.2">
      <c r="A16070"/>
      <c r="B16070"/>
      <c r="C16070"/>
      <c r="D16070"/>
      <c r="E16070"/>
      <c r="F16070"/>
      <c r="G16070"/>
      <c r="H16070"/>
      <c r="I16070"/>
      <c r="J16070"/>
      <c r="K16070" s="1"/>
      <c r="L16070" s="2"/>
    </row>
    <row r="16071" spans="1:12" x14ac:dyDescent="0.2">
      <c r="A16071"/>
      <c r="B16071"/>
      <c r="C16071"/>
      <c r="D16071"/>
      <c r="E16071"/>
      <c r="F16071"/>
      <c r="G16071"/>
      <c r="H16071"/>
      <c r="I16071"/>
      <c r="J16071"/>
      <c r="K16071" s="1"/>
      <c r="L16071" s="2"/>
    </row>
    <row r="16072" spans="1:12" x14ac:dyDescent="0.2">
      <c r="A16072"/>
      <c r="B16072"/>
      <c r="C16072"/>
      <c r="D16072"/>
      <c r="E16072"/>
      <c r="F16072"/>
      <c r="G16072"/>
      <c r="H16072"/>
      <c r="I16072"/>
      <c r="J16072"/>
      <c r="K16072" s="1"/>
      <c r="L16072" s="2"/>
    </row>
    <row r="16073" spans="1:12" x14ac:dyDescent="0.2">
      <c r="A16073"/>
      <c r="B16073"/>
      <c r="C16073"/>
      <c r="D16073"/>
      <c r="E16073"/>
      <c r="F16073"/>
      <c r="G16073"/>
      <c r="H16073"/>
      <c r="I16073"/>
      <c r="J16073"/>
      <c r="K16073" s="1"/>
      <c r="L16073" s="2"/>
    </row>
    <row r="16074" spans="1:12" x14ac:dyDescent="0.2">
      <c r="A16074"/>
      <c r="B16074"/>
      <c r="C16074"/>
      <c r="D16074"/>
      <c r="E16074"/>
      <c r="F16074"/>
      <c r="G16074"/>
      <c r="H16074"/>
      <c r="I16074"/>
      <c r="J16074"/>
      <c r="K16074" s="1"/>
      <c r="L16074" s="2"/>
    </row>
    <row r="16075" spans="1:12" x14ac:dyDescent="0.2">
      <c r="A16075"/>
      <c r="B16075"/>
      <c r="C16075"/>
      <c r="D16075"/>
      <c r="E16075"/>
      <c r="F16075"/>
      <c r="G16075"/>
      <c r="H16075"/>
      <c r="I16075"/>
      <c r="J16075"/>
      <c r="K16075" s="1"/>
      <c r="L16075" s="2"/>
    </row>
    <row r="16076" spans="1:12" x14ac:dyDescent="0.2">
      <c r="A16076"/>
      <c r="B16076"/>
      <c r="C16076"/>
      <c r="D16076"/>
      <c r="E16076"/>
      <c r="F16076"/>
      <c r="G16076"/>
      <c r="H16076"/>
      <c r="I16076"/>
      <c r="J16076"/>
      <c r="K16076" s="1"/>
      <c r="L16076" s="2"/>
    </row>
    <row r="16077" spans="1:12" x14ac:dyDescent="0.2">
      <c r="A16077"/>
      <c r="B16077"/>
      <c r="C16077"/>
      <c r="D16077"/>
      <c r="E16077"/>
      <c r="F16077"/>
      <c r="G16077"/>
      <c r="H16077"/>
      <c r="I16077"/>
      <c r="J16077"/>
      <c r="K16077" s="1"/>
      <c r="L16077" s="2"/>
    </row>
    <row r="16078" spans="1:12" x14ac:dyDescent="0.2">
      <c r="A16078"/>
      <c r="B16078"/>
      <c r="C16078"/>
      <c r="D16078"/>
      <c r="E16078"/>
      <c r="F16078"/>
      <c r="G16078"/>
      <c r="H16078"/>
      <c r="I16078"/>
      <c r="J16078"/>
      <c r="K16078" s="1"/>
      <c r="L16078" s="2"/>
    </row>
    <row r="16079" spans="1:12" x14ac:dyDescent="0.2">
      <c r="A16079"/>
      <c r="B16079"/>
      <c r="C16079"/>
      <c r="D16079"/>
      <c r="E16079"/>
      <c r="F16079"/>
      <c r="G16079"/>
      <c r="H16079"/>
      <c r="I16079"/>
      <c r="J16079"/>
      <c r="K16079" s="1"/>
      <c r="L16079" s="2"/>
    </row>
    <row r="16080" spans="1:12" x14ac:dyDescent="0.2">
      <c r="A16080"/>
      <c r="B16080"/>
      <c r="C16080"/>
      <c r="D16080"/>
      <c r="E16080"/>
      <c r="F16080"/>
      <c r="G16080"/>
      <c r="H16080"/>
      <c r="I16080"/>
      <c r="J16080"/>
      <c r="K16080" s="1"/>
      <c r="L16080" s="2"/>
    </row>
    <row r="16081" spans="1:12" x14ac:dyDescent="0.2">
      <c r="A16081"/>
      <c r="B16081"/>
      <c r="C16081"/>
      <c r="D16081"/>
      <c r="E16081"/>
      <c r="F16081"/>
      <c r="G16081"/>
      <c r="H16081"/>
      <c r="I16081"/>
      <c r="J16081"/>
      <c r="K16081" s="1"/>
      <c r="L16081" s="2"/>
    </row>
    <row r="16082" spans="1:12" x14ac:dyDescent="0.2">
      <c r="A16082"/>
      <c r="B16082"/>
      <c r="C16082"/>
      <c r="D16082"/>
      <c r="E16082"/>
      <c r="F16082"/>
      <c r="G16082"/>
      <c r="H16082"/>
      <c r="I16082"/>
      <c r="J16082"/>
      <c r="K16082" s="1"/>
      <c r="L16082" s="2"/>
    </row>
    <row r="16083" spans="1:12" x14ac:dyDescent="0.2">
      <c r="A16083"/>
      <c r="B16083"/>
      <c r="C16083"/>
      <c r="D16083"/>
      <c r="E16083"/>
      <c r="F16083"/>
      <c r="G16083"/>
      <c r="H16083"/>
      <c r="I16083"/>
      <c r="J16083"/>
      <c r="K16083" s="1"/>
      <c r="L16083" s="2"/>
    </row>
    <row r="16084" spans="1:12" x14ac:dyDescent="0.2">
      <c r="A16084"/>
      <c r="B16084"/>
      <c r="C16084"/>
      <c r="D16084"/>
      <c r="E16084"/>
      <c r="F16084"/>
      <c r="G16084"/>
      <c r="H16084"/>
      <c r="I16084"/>
      <c r="J16084"/>
      <c r="K16084" s="1"/>
      <c r="L16084" s="2"/>
    </row>
    <row r="16085" spans="1:12" x14ac:dyDescent="0.2">
      <c r="A16085"/>
      <c r="B16085"/>
      <c r="C16085"/>
      <c r="D16085"/>
      <c r="E16085"/>
      <c r="F16085"/>
      <c r="G16085"/>
      <c r="H16085"/>
      <c r="I16085"/>
      <c r="J16085"/>
      <c r="K16085" s="1"/>
      <c r="L16085" s="2"/>
    </row>
    <row r="16086" spans="1:12" x14ac:dyDescent="0.2">
      <c r="A16086"/>
      <c r="B16086"/>
      <c r="C16086"/>
      <c r="D16086"/>
      <c r="E16086"/>
      <c r="F16086"/>
      <c r="G16086"/>
      <c r="H16086"/>
      <c r="I16086"/>
      <c r="J16086"/>
      <c r="K16086" s="1"/>
      <c r="L16086" s="2"/>
    </row>
    <row r="16087" spans="1:12" x14ac:dyDescent="0.2">
      <c r="A16087"/>
      <c r="B16087"/>
      <c r="C16087"/>
      <c r="D16087"/>
      <c r="E16087"/>
      <c r="F16087"/>
      <c r="G16087"/>
      <c r="H16087"/>
      <c r="I16087"/>
      <c r="J16087"/>
      <c r="K16087" s="1"/>
      <c r="L16087" s="2"/>
    </row>
    <row r="16088" spans="1:12" x14ac:dyDescent="0.2">
      <c r="A16088"/>
      <c r="B16088"/>
      <c r="C16088"/>
      <c r="D16088"/>
      <c r="E16088"/>
      <c r="F16088"/>
      <c r="G16088"/>
      <c r="H16088"/>
      <c r="I16088"/>
      <c r="J16088"/>
      <c r="K16088" s="1"/>
      <c r="L16088" s="2"/>
    </row>
    <row r="16089" spans="1:12" x14ac:dyDescent="0.2">
      <c r="A16089"/>
      <c r="B16089"/>
      <c r="C16089"/>
      <c r="D16089"/>
      <c r="E16089"/>
      <c r="F16089"/>
      <c r="G16089"/>
      <c r="H16089"/>
      <c r="I16089"/>
      <c r="J16089"/>
      <c r="K16089" s="1"/>
      <c r="L16089" s="2"/>
    </row>
    <row r="16090" spans="1:12" x14ac:dyDescent="0.2">
      <c r="A16090"/>
      <c r="B16090"/>
      <c r="C16090"/>
      <c r="D16090"/>
      <c r="E16090"/>
      <c r="F16090"/>
      <c r="G16090"/>
      <c r="H16090"/>
      <c r="I16090"/>
      <c r="J16090"/>
      <c r="K16090" s="1"/>
      <c r="L16090" s="2"/>
    </row>
    <row r="16091" spans="1:12" x14ac:dyDescent="0.2">
      <c r="A16091"/>
      <c r="B16091"/>
      <c r="C16091"/>
      <c r="D16091"/>
      <c r="E16091"/>
      <c r="F16091"/>
      <c r="G16091"/>
      <c r="H16091"/>
      <c r="I16091"/>
      <c r="J16091"/>
      <c r="K16091" s="1"/>
      <c r="L16091" s="2"/>
    </row>
    <row r="16092" spans="1:12" x14ac:dyDescent="0.2">
      <c r="A16092"/>
      <c r="B16092"/>
      <c r="C16092"/>
      <c r="D16092"/>
      <c r="E16092"/>
      <c r="F16092"/>
      <c r="G16092"/>
      <c r="H16092"/>
      <c r="I16092"/>
      <c r="J16092"/>
      <c r="K16092" s="1"/>
      <c r="L16092" s="2"/>
    </row>
    <row r="16093" spans="1:12" x14ac:dyDescent="0.2">
      <c r="A16093"/>
      <c r="B16093"/>
      <c r="C16093"/>
      <c r="D16093"/>
      <c r="E16093"/>
      <c r="F16093"/>
      <c r="G16093"/>
      <c r="H16093"/>
      <c r="I16093"/>
      <c r="J16093"/>
      <c r="K16093" s="1"/>
      <c r="L16093" s="2"/>
    </row>
    <row r="16094" spans="1:12" x14ac:dyDescent="0.2">
      <c r="A16094"/>
      <c r="B16094"/>
      <c r="C16094"/>
      <c r="D16094"/>
      <c r="E16094"/>
      <c r="F16094"/>
      <c r="G16094"/>
      <c r="H16094"/>
      <c r="I16094"/>
      <c r="J16094"/>
      <c r="K16094" s="1"/>
      <c r="L16094" s="2"/>
    </row>
    <row r="16095" spans="1:12" x14ac:dyDescent="0.2">
      <c r="A16095"/>
      <c r="B16095"/>
      <c r="C16095"/>
      <c r="D16095"/>
      <c r="E16095"/>
      <c r="F16095"/>
      <c r="G16095"/>
      <c r="H16095"/>
      <c r="I16095"/>
      <c r="J16095"/>
      <c r="K16095" s="1"/>
      <c r="L16095" s="2"/>
    </row>
    <row r="16096" spans="1:12" x14ac:dyDescent="0.2">
      <c r="A16096"/>
      <c r="B16096"/>
      <c r="C16096"/>
      <c r="D16096"/>
      <c r="E16096"/>
      <c r="F16096"/>
      <c r="G16096"/>
      <c r="H16096"/>
      <c r="I16096"/>
      <c r="J16096"/>
      <c r="K16096" s="1"/>
      <c r="L16096" s="2"/>
    </row>
    <row r="16097" spans="1:12" x14ac:dyDescent="0.2">
      <c r="A16097"/>
      <c r="B16097"/>
      <c r="C16097"/>
      <c r="D16097"/>
      <c r="E16097"/>
      <c r="F16097"/>
      <c r="G16097"/>
      <c r="H16097"/>
      <c r="I16097"/>
      <c r="J16097"/>
      <c r="K16097" s="1"/>
      <c r="L16097" s="2"/>
    </row>
    <row r="16098" spans="1:12" x14ac:dyDescent="0.2">
      <c r="A16098"/>
      <c r="B16098"/>
      <c r="C16098"/>
      <c r="D16098"/>
      <c r="E16098"/>
      <c r="F16098"/>
      <c r="G16098"/>
      <c r="H16098"/>
      <c r="I16098"/>
      <c r="J16098"/>
      <c r="K16098" s="1"/>
      <c r="L16098" s="2"/>
    </row>
    <row r="16099" spans="1:12" x14ac:dyDescent="0.2">
      <c r="A16099"/>
      <c r="B16099"/>
      <c r="C16099"/>
      <c r="D16099"/>
      <c r="E16099"/>
      <c r="F16099"/>
      <c r="G16099"/>
      <c r="H16099"/>
      <c r="I16099"/>
      <c r="J16099"/>
      <c r="K16099" s="1"/>
      <c r="L16099" s="2"/>
    </row>
    <row r="16100" spans="1:12" x14ac:dyDescent="0.2">
      <c r="A16100"/>
      <c r="B16100"/>
      <c r="C16100"/>
      <c r="D16100"/>
      <c r="E16100"/>
      <c r="F16100"/>
      <c r="G16100"/>
      <c r="H16100"/>
      <c r="I16100"/>
      <c r="J16100"/>
      <c r="K16100" s="1"/>
      <c r="L16100" s="2"/>
    </row>
    <row r="16101" spans="1:12" x14ac:dyDescent="0.2">
      <c r="A16101"/>
      <c r="B16101"/>
      <c r="C16101"/>
      <c r="D16101"/>
      <c r="E16101"/>
      <c r="F16101"/>
      <c r="G16101"/>
      <c r="H16101"/>
      <c r="I16101"/>
      <c r="J16101"/>
      <c r="K16101" s="1"/>
      <c r="L16101" s="2"/>
    </row>
    <row r="16102" spans="1:12" x14ac:dyDescent="0.2">
      <c r="A16102"/>
      <c r="B16102"/>
      <c r="C16102"/>
      <c r="D16102"/>
      <c r="E16102"/>
      <c r="F16102"/>
      <c r="G16102"/>
      <c r="H16102"/>
      <c r="I16102"/>
      <c r="J16102"/>
      <c r="K16102" s="1"/>
      <c r="L16102" s="2"/>
    </row>
    <row r="16103" spans="1:12" x14ac:dyDescent="0.2">
      <c r="A16103"/>
      <c r="B16103"/>
      <c r="C16103"/>
      <c r="D16103"/>
      <c r="E16103"/>
      <c r="F16103"/>
      <c r="G16103"/>
      <c r="H16103"/>
      <c r="I16103"/>
      <c r="J16103"/>
      <c r="K16103" s="1"/>
      <c r="L16103" s="2"/>
    </row>
    <row r="16104" spans="1:12" x14ac:dyDescent="0.2">
      <c r="A16104"/>
      <c r="B16104"/>
      <c r="C16104"/>
      <c r="D16104"/>
      <c r="E16104"/>
      <c r="F16104"/>
      <c r="G16104"/>
      <c r="H16104"/>
      <c r="I16104"/>
      <c r="J16104"/>
      <c r="K16104" s="1"/>
      <c r="L16104" s="2"/>
    </row>
    <row r="16105" spans="1:12" x14ac:dyDescent="0.2">
      <c r="A16105"/>
      <c r="B16105"/>
      <c r="C16105"/>
      <c r="D16105"/>
      <c r="E16105"/>
      <c r="F16105"/>
      <c r="G16105"/>
      <c r="H16105"/>
      <c r="I16105"/>
      <c r="J16105"/>
      <c r="K16105" s="1"/>
      <c r="L16105" s="2"/>
    </row>
    <row r="16106" spans="1:12" x14ac:dyDescent="0.2">
      <c r="A16106"/>
      <c r="B16106"/>
      <c r="C16106"/>
      <c r="D16106"/>
      <c r="E16106"/>
      <c r="F16106"/>
      <c r="G16106"/>
      <c r="H16106"/>
      <c r="I16106"/>
      <c r="J16106"/>
      <c r="K16106" s="1"/>
      <c r="L16106" s="2"/>
    </row>
    <row r="16107" spans="1:12" x14ac:dyDescent="0.2">
      <c r="A16107"/>
      <c r="B16107"/>
      <c r="C16107"/>
      <c r="D16107"/>
      <c r="E16107"/>
      <c r="F16107"/>
      <c r="G16107"/>
      <c r="H16107"/>
      <c r="I16107"/>
      <c r="J16107"/>
      <c r="K16107" s="1"/>
      <c r="L16107" s="2"/>
    </row>
    <row r="16108" spans="1:12" x14ac:dyDescent="0.2">
      <c r="A16108"/>
      <c r="B16108"/>
      <c r="C16108"/>
      <c r="D16108"/>
      <c r="E16108"/>
      <c r="F16108"/>
      <c r="G16108"/>
      <c r="H16108"/>
      <c r="I16108"/>
      <c r="J16108"/>
      <c r="K16108" s="1"/>
      <c r="L16108" s="2"/>
    </row>
    <row r="16109" spans="1:12" x14ac:dyDescent="0.2">
      <c r="A16109"/>
      <c r="B16109"/>
      <c r="C16109"/>
      <c r="D16109"/>
      <c r="E16109"/>
      <c r="F16109"/>
      <c r="G16109"/>
      <c r="H16109"/>
      <c r="I16109"/>
      <c r="J16109"/>
      <c r="K16109" s="1"/>
      <c r="L16109" s="2"/>
    </row>
    <row r="16110" spans="1:12" x14ac:dyDescent="0.2">
      <c r="A16110"/>
      <c r="B16110"/>
      <c r="C16110"/>
      <c r="D16110"/>
      <c r="E16110"/>
      <c r="F16110"/>
      <c r="G16110"/>
      <c r="H16110"/>
      <c r="I16110"/>
      <c r="J16110"/>
      <c r="K16110" s="1"/>
      <c r="L16110" s="2"/>
    </row>
    <row r="16111" spans="1:12" x14ac:dyDescent="0.2">
      <c r="A16111"/>
      <c r="B16111"/>
      <c r="C16111"/>
      <c r="D16111"/>
      <c r="E16111"/>
      <c r="F16111"/>
      <c r="G16111"/>
      <c r="H16111"/>
      <c r="I16111"/>
      <c r="J16111"/>
      <c r="K16111" s="1"/>
      <c r="L16111" s="2"/>
    </row>
    <row r="16112" spans="1:12" x14ac:dyDescent="0.2">
      <c r="A16112"/>
      <c r="B16112"/>
      <c r="C16112"/>
      <c r="D16112"/>
      <c r="E16112"/>
      <c r="F16112"/>
      <c r="G16112"/>
      <c r="H16112"/>
      <c r="I16112"/>
      <c r="J16112"/>
      <c r="K16112" s="1"/>
      <c r="L16112" s="2"/>
    </row>
    <row r="16113" spans="1:12" x14ac:dyDescent="0.2">
      <c r="A16113"/>
      <c r="B16113"/>
      <c r="C16113"/>
      <c r="D16113"/>
      <c r="E16113"/>
      <c r="F16113"/>
      <c r="G16113"/>
      <c r="H16113"/>
      <c r="I16113"/>
      <c r="J16113"/>
      <c r="K16113" s="1"/>
      <c r="L16113" s="2"/>
    </row>
    <row r="16114" spans="1:12" x14ac:dyDescent="0.2">
      <c r="A16114"/>
      <c r="B16114"/>
      <c r="C16114"/>
      <c r="D16114"/>
      <c r="E16114"/>
      <c r="F16114"/>
      <c r="G16114"/>
      <c r="H16114"/>
      <c r="I16114"/>
      <c r="J16114"/>
      <c r="K16114" s="1"/>
      <c r="L16114" s="2"/>
    </row>
    <row r="16115" spans="1:12" x14ac:dyDescent="0.2">
      <c r="A16115"/>
      <c r="B16115"/>
      <c r="C16115"/>
      <c r="D16115"/>
      <c r="E16115"/>
      <c r="F16115"/>
      <c r="G16115"/>
      <c r="H16115"/>
      <c r="I16115"/>
      <c r="J16115"/>
      <c r="K16115" s="1"/>
      <c r="L16115" s="2"/>
    </row>
    <row r="16116" spans="1:12" x14ac:dyDescent="0.2">
      <c r="A16116"/>
      <c r="B16116"/>
      <c r="C16116"/>
      <c r="D16116"/>
      <c r="E16116"/>
      <c r="F16116"/>
      <c r="G16116"/>
      <c r="H16116"/>
      <c r="I16116"/>
      <c r="J16116"/>
      <c r="K16116" s="1"/>
      <c r="L16116" s="2"/>
    </row>
    <row r="16117" spans="1:12" x14ac:dyDescent="0.2">
      <c r="A16117"/>
      <c r="B16117"/>
      <c r="C16117"/>
      <c r="D16117"/>
      <c r="E16117"/>
      <c r="F16117"/>
      <c r="G16117"/>
      <c r="H16117"/>
      <c r="I16117"/>
      <c r="J16117"/>
      <c r="K16117" s="1"/>
      <c r="L16117" s="2"/>
    </row>
    <row r="16118" spans="1:12" x14ac:dyDescent="0.2">
      <c r="A16118"/>
      <c r="B16118"/>
      <c r="C16118"/>
      <c r="D16118"/>
      <c r="E16118"/>
      <c r="F16118"/>
      <c r="G16118"/>
      <c r="H16118"/>
      <c r="I16118"/>
      <c r="J16118"/>
      <c r="K16118" s="1"/>
      <c r="L16118" s="2"/>
    </row>
    <row r="16119" spans="1:12" x14ac:dyDescent="0.2">
      <c r="A16119"/>
      <c r="B16119"/>
      <c r="C16119"/>
      <c r="D16119"/>
      <c r="E16119"/>
      <c r="F16119"/>
      <c r="G16119"/>
      <c r="H16119"/>
      <c r="I16119"/>
      <c r="J16119"/>
      <c r="K16119" s="1"/>
      <c r="L16119" s="2"/>
    </row>
    <row r="16120" spans="1:12" x14ac:dyDescent="0.2">
      <c r="A16120"/>
      <c r="B16120"/>
      <c r="C16120"/>
      <c r="D16120"/>
      <c r="E16120"/>
      <c r="F16120"/>
      <c r="G16120"/>
      <c r="H16120"/>
      <c r="I16120"/>
      <c r="J16120"/>
      <c r="K16120" s="1"/>
      <c r="L16120" s="2"/>
    </row>
    <row r="16121" spans="1:12" x14ac:dyDescent="0.2">
      <c r="A16121"/>
      <c r="B16121"/>
      <c r="C16121"/>
      <c r="D16121"/>
      <c r="E16121"/>
      <c r="F16121"/>
      <c r="G16121"/>
      <c r="H16121"/>
      <c r="I16121"/>
      <c r="J16121"/>
      <c r="K16121" s="1"/>
      <c r="L16121" s="2"/>
    </row>
    <row r="16122" spans="1:12" x14ac:dyDescent="0.2">
      <c r="A16122"/>
      <c r="B16122"/>
      <c r="C16122"/>
      <c r="D16122"/>
      <c r="E16122"/>
      <c r="F16122"/>
      <c r="G16122"/>
      <c r="H16122"/>
      <c r="I16122"/>
      <c r="J16122"/>
      <c r="K16122" s="1"/>
      <c r="L16122" s="2"/>
    </row>
    <row r="16123" spans="1:12" x14ac:dyDescent="0.2">
      <c r="A16123"/>
      <c r="B16123"/>
      <c r="C16123"/>
      <c r="D16123"/>
      <c r="E16123"/>
      <c r="F16123"/>
      <c r="G16123"/>
      <c r="H16123"/>
      <c r="I16123"/>
      <c r="J16123"/>
      <c r="K16123" s="1"/>
      <c r="L16123" s="2"/>
    </row>
    <row r="16124" spans="1:12" x14ac:dyDescent="0.2">
      <c r="A16124"/>
      <c r="B16124"/>
      <c r="C16124"/>
      <c r="D16124"/>
      <c r="E16124"/>
      <c r="F16124"/>
      <c r="G16124"/>
      <c r="H16124"/>
      <c r="I16124"/>
      <c r="J16124"/>
      <c r="K16124" s="1"/>
      <c r="L16124" s="2"/>
    </row>
    <row r="16125" spans="1:12" x14ac:dyDescent="0.2">
      <c r="A16125"/>
      <c r="B16125"/>
      <c r="C16125"/>
      <c r="D16125"/>
      <c r="E16125"/>
      <c r="F16125"/>
      <c r="G16125"/>
      <c r="H16125"/>
      <c r="I16125"/>
      <c r="J16125"/>
      <c r="K16125" s="1"/>
      <c r="L16125" s="2"/>
    </row>
    <row r="16126" spans="1:12" x14ac:dyDescent="0.2">
      <c r="A16126"/>
      <c r="B16126"/>
      <c r="C16126"/>
      <c r="D16126"/>
      <c r="E16126"/>
      <c r="F16126"/>
      <c r="G16126"/>
      <c r="H16126"/>
      <c r="I16126"/>
      <c r="J16126"/>
      <c r="K16126" s="1"/>
      <c r="L16126" s="2"/>
    </row>
    <row r="16127" spans="1:12" x14ac:dyDescent="0.2">
      <c r="A16127"/>
      <c r="B16127"/>
      <c r="C16127"/>
      <c r="D16127"/>
      <c r="E16127"/>
      <c r="F16127"/>
      <c r="G16127"/>
      <c r="H16127"/>
      <c r="I16127"/>
      <c r="J16127"/>
      <c r="K16127" s="1"/>
      <c r="L16127" s="2"/>
    </row>
    <row r="16128" spans="1:12" x14ac:dyDescent="0.2">
      <c r="A16128"/>
      <c r="B16128"/>
      <c r="C16128"/>
      <c r="D16128"/>
      <c r="E16128"/>
      <c r="F16128"/>
      <c r="G16128"/>
      <c r="H16128"/>
      <c r="I16128"/>
      <c r="J16128"/>
      <c r="K16128" s="1"/>
      <c r="L16128" s="2"/>
    </row>
    <row r="16129" spans="1:12" x14ac:dyDescent="0.2">
      <c r="A16129"/>
      <c r="B16129"/>
      <c r="C16129"/>
      <c r="D16129"/>
      <c r="E16129"/>
      <c r="F16129"/>
      <c r="G16129"/>
      <c r="H16129"/>
      <c r="I16129"/>
      <c r="J16129"/>
      <c r="K16129" s="1"/>
      <c r="L16129" s="2"/>
    </row>
    <row r="16130" spans="1:12" x14ac:dyDescent="0.2">
      <c r="A16130"/>
      <c r="B16130"/>
      <c r="C16130"/>
      <c r="D16130"/>
      <c r="E16130"/>
      <c r="F16130"/>
      <c r="G16130"/>
      <c r="H16130"/>
      <c r="I16130"/>
      <c r="J16130"/>
      <c r="K16130" s="1"/>
      <c r="L16130" s="2"/>
    </row>
    <row r="16131" spans="1:12" x14ac:dyDescent="0.2">
      <c r="A16131"/>
      <c r="B16131"/>
      <c r="C16131"/>
      <c r="D16131"/>
      <c r="E16131"/>
      <c r="F16131"/>
      <c r="G16131"/>
      <c r="H16131"/>
      <c r="I16131"/>
      <c r="J16131"/>
      <c r="K16131" s="1"/>
      <c r="L16131" s="2"/>
    </row>
    <row r="16132" spans="1:12" x14ac:dyDescent="0.2">
      <c r="A16132"/>
      <c r="B16132"/>
      <c r="C16132"/>
      <c r="D16132"/>
      <c r="E16132"/>
      <c r="F16132"/>
      <c r="G16132"/>
      <c r="H16132"/>
      <c r="I16132"/>
      <c r="J16132"/>
      <c r="K16132" s="1"/>
      <c r="L16132" s="2"/>
    </row>
    <row r="16133" spans="1:12" x14ac:dyDescent="0.2">
      <c r="A16133"/>
      <c r="B16133"/>
      <c r="C16133"/>
      <c r="D16133"/>
      <c r="E16133"/>
      <c r="F16133"/>
      <c r="G16133"/>
      <c r="H16133"/>
      <c r="I16133"/>
      <c r="J16133"/>
      <c r="K16133" s="1"/>
      <c r="L16133" s="2"/>
    </row>
    <row r="16134" spans="1:12" x14ac:dyDescent="0.2">
      <c r="A16134"/>
      <c r="B16134"/>
      <c r="C16134"/>
      <c r="D16134"/>
      <c r="E16134"/>
      <c r="F16134"/>
      <c r="G16134"/>
      <c r="H16134"/>
      <c r="I16134"/>
      <c r="J16134"/>
      <c r="K16134" s="1"/>
      <c r="L16134" s="2"/>
    </row>
    <row r="16135" spans="1:12" x14ac:dyDescent="0.2">
      <c r="A16135"/>
      <c r="B16135"/>
      <c r="C16135"/>
      <c r="D16135"/>
      <c r="E16135"/>
      <c r="F16135"/>
      <c r="G16135"/>
      <c r="H16135"/>
      <c r="I16135"/>
      <c r="J16135"/>
      <c r="K16135" s="1"/>
      <c r="L16135" s="2"/>
    </row>
    <row r="16136" spans="1:12" x14ac:dyDescent="0.2">
      <c r="A16136"/>
      <c r="B16136"/>
      <c r="C16136"/>
      <c r="D16136"/>
      <c r="E16136"/>
      <c r="F16136"/>
      <c r="G16136"/>
      <c r="H16136"/>
      <c r="I16136"/>
      <c r="J16136"/>
      <c r="K16136" s="1"/>
      <c r="L16136" s="2"/>
    </row>
    <row r="16137" spans="1:12" x14ac:dyDescent="0.2">
      <c r="A16137"/>
      <c r="B16137"/>
      <c r="C16137"/>
      <c r="D16137"/>
      <c r="E16137"/>
      <c r="F16137"/>
      <c r="G16137"/>
      <c r="H16137"/>
      <c r="I16137"/>
      <c r="J16137"/>
      <c r="K16137" s="1"/>
      <c r="L16137" s="2"/>
    </row>
    <row r="16138" spans="1:12" x14ac:dyDescent="0.2">
      <c r="A16138"/>
      <c r="B16138"/>
      <c r="C16138"/>
      <c r="D16138"/>
      <c r="E16138"/>
      <c r="F16138"/>
      <c r="G16138"/>
      <c r="H16138"/>
      <c r="I16138"/>
      <c r="J16138"/>
      <c r="K16138" s="1"/>
      <c r="L16138" s="2"/>
    </row>
    <row r="16139" spans="1:12" x14ac:dyDescent="0.2">
      <c r="A16139"/>
      <c r="B16139"/>
      <c r="C16139"/>
      <c r="D16139"/>
      <c r="E16139"/>
      <c r="F16139"/>
      <c r="G16139"/>
      <c r="H16139"/>
      <c r="I16139"/>
      <c r="J16139"/>
      <c r="K16139" s="1"/>
      <c r="L16139" s="2"/>
    </row>
    <row r="16140" spans="1:12" x14ac:dyDescent="0.2">
      <c r="A16140"/>
      <c r="B16140"/>
      <c r="C16140"/>
      <c r="D16140"/>
      <c r="E16140"/>
      <c r="F16140"/>
      <c r="G16140"/>
      <c r="H16140"/>
      <c r="I16140"/>
      <c r="J16140"/>
      <c r="K16140" s="1"/>
      <c r="L16140" s="2"/>
    </row>
    <row r="16141" spans="1:12" x14ac:dyDescent="0.2">
      <c r="A16141"/>
      <c r="B16141"/>
      <c r="C16141"/>
      <c r="D16141"/>
      <c r="E16141"/>
      <c r="F16141"/>
      <c r="G16141"/>
      <c r="H16141"/>
      <c r="I16141"/>
      <c r="J16141"/>
      <c r="K16141" s="1"/>
      <c r="L16141" s="2"/>
    </row>
    <row r="16142" spans="1:12" x14ac:dyDescent="0.2">
      <c r="A16142"/>
      <c r="B16142"/>
      <c r="C16142"/>
      <c r="D16142"/>
      <c r="E16142"/>
      <c r="F16142"/>
      <c r="G16142"/>
      <c r="H16142"/>
      <c r="I16142"/>
      <c r="J16142"/>
      <c r="K16142" s="1"/>
      <c r="L16142" s="2"/>
    </row>
    <row r="16143" spans="1:12" x14ac:dyDescent="0.2">
      <c r="A16143"/>
      <c r="B16143"/>
      <c r="C16143"/>
      <c r="D16143"/>
      <c r="E16143"/>
      <c r="F16143"/>
      <c r="G16143"/>
      <c r="H16143"/>
      <c r="I16143"/>
      <c r="J16143"/>
      <c r="K16143" s="1"/>
      <c r="L16143" s="2"/>
    </row>
    <row r="16144" spans="1:12" x14ac:dyDescent="0.2">
      <c r="A16144"/>
      <c r="B16144"/>
      <c r="C16144"/>
      <c r="D16144"/>
      <c r="E16144"/>
      <c r="F16144"/>
      <c r="G16144"/>
      <c r="H16144"/>
      <c r="I16144"/>
      <c r="J16144"/>
      <c r="K16144" s="1"/>
      <c r="L16144" s="2"/>
    </row>
    <row r="16145" spans="1:12" x14ac:dyDescent="0.2">
      <c r="A16145"/>
      <c r="B16145"/>
      <c r="C16145"/>
      <c r="D16145"/>
      <c r="E16145"/>
      <c r="F16145"/>
      <c r="G16145"/>
      <c r="H16145"/>
      <c r="I16145"/>
      <c r="J16145"/>
      <c r="K16145" s="1"/>
      <c r="L16145" s="2"/>
    </row>
    <row r="16146" spans="1:12" x14ac:dyDescent="0.2">
      <c r="A16146"/>
      <c r="B16146"/>
      <c r="C16146"/>
      <c r="D16146"/>
      <c r="E16146"/>
      <c r="F16146"/>
      <c r="G16146"/>
      <c r="H16146"/>
      <c r="I16146"/>
      <c r="J16146"/>
      <c r="K16146" s="1"/>
      <c r="L16146" s="2"/>
    </row>
    <row r="16147" spans="1:12" x14ac:dyDescent="0.2">
      <c r="A16147"/>
      <c r="B16147"/>
      <c r="C16147"/>
      <c r="D16147"/>
      <c r="E16147"/>
      <c r="F16147"/>
      <c r="G16147"/>
      <c r="H16147"/>
      <c r="I16147"/>
      <c r="J16147"/>
      <c r="K16147" s="1"/>
      <c r="L16147" s="2"/>
    </row>
    <row r="16148" spans="1:12" x14ac:dyDescent="0.2">
      <c r="A16148"/>
      <c r="B16148"/>
      <c r="C16148"/>
      <c r="D16148"/>
      <c r="E16148"/>
      <c r="F16148"/>
      <c r="G16148"/>
      <c r="H16148"/>
      <c r="I16148"/>
      <c r="J16148"/>
      <c r="K16148" s="1"/>
      <c r="L16148" s="2"/>
    </row>
    <row r="16149" spans="1:12" x14ac:dyDescent="0.2">
      <c r="A16149"/>
      <c r="B16149"/>
      <c r="C16149"/>
      <c r="D16149"/>
      <c r="E16149"/>
      <c r="F16149"/>
      <c r="G16149"/>
      <c r="H16149"/>
      <c r="I16149"/>
      <c r="J16149"/>
      <c r="K16149" s="1"/>
      <c r="L16149" s="2"/>
    </row>
    <row r="16150" spans="1:12" x14ac:dyDescent="0.2">
      <c r="A16150"/>
      <c r="B16150"/>
      <c r="C16150"/>
      <c r="D16150"/>
      <c r="E16150"/>
      <c r="F16150"/>
      <c r="G16150"/>
      <c r="H16150"/>
      <c r="I16150"/>
      <c r="J16150"/>
      <c r="K16150" s="1"/>
      <c r="L16150" s="2"/>
    </row>
    <row r="16151" spans="1:12" x14ac:dyDescent="0.2">
      <c r="A16151"/>
      <c r="B16151"/>
      <c r="C16151"/>
      <c r="D16151"/>
      <c r="E16151"/>
      <c r="F16151"/>
      <c r="G16151"/>
      <c r="H16151"/>
      <c r="I16151"/>
      <c r="J16151"/>
      <c r="K16151" s="1"/>
      <c r="L16151" s="2"/>
    </row>
    <row r="16152" spans="1:12" x14ac:dyDescent="0.2">
      <c r="A16152"/>
      <c r="B16152"/>
      <c r="C16152"/>
      <c r="D16152"/>
      <c r="E16152"/>
      <c r="F16152"/>
      <c r="G16152"/>
      <c r="H16152"/>
      <c r="I16152"/>
      <c r="J16152"/>
      <c r="K16152" s="1"/>
      <c r="L16152" s="2"/>
    </row>
    <row r="16153" spans="1:12" x14ac:dyDescent="0.2">
      <c r="A16153"/>
      <c r="B16153"/>
      <c r="C16153"/>
      <c r="D16153"/>
      <c r="E16153"/>
      <c r="F16153"/>
      <c r="G16153"/>
      <c r="H16153"/>
      <c r="I16153"/>
      <c r="J16153"/>
      <c r="K16153" s="1"/>
      <c r="L16153" s="2"/>
    </row>
    <row r="16154" spans="1:12" x14ac:dyDescent="0.2">
      <c r="A16154"/>
      <c r="B16154"/>
      <c r="C16154"/>
      <c r="D16154"/>
      <c r="E16154"/>
      <c r="F16154"/>
      <c r="G16154"/>
      <c r="H16154"/>
      <c r="I16154"/>
      <c r="J16154"/>
      <c r="K16154" s="1"/>
      <c r="L16154" s="2"/>
    </row>
    <row r="16155" spans="1:12" x14ac:dyDescent="0.2">
      <c r="A16155"/>
      <c r="B16155"/>
      <c r="C16155"/>
      <c r="D16155"/>
      <c r="E16155"/>
      <c r="F16155"/>
      <c r="G16155"/>
      <c r="H16155"/>
      <c r="I16155"/>
      <c r="J16155"/>
      <c r="K16155" s="1"/>
      <c r="L16155" s="2"/>
    </row>
    <row r="16156" spans="1:12" x14ac:dyDescent="0.2">
      <c r="A16156"/>
      <c r="B16156"/>
      <c r="C16156"/>
      <c r="D16156"/>
      <c r="E16156"/>
      <c r="F16156"/>
      <c r="G16156"/>
      <c r="H16156"/>
      <c r="I16156"/>
      <c r="J16156"/>
      <c r="K16156" s="1"/>
      <c r="L16156" s="2"/>
    </row>
    <row r="16157" spans="1:12" x14ac:dyDescent="0.2">
      <c r="A16157"/>
      <c r="B16157"/>
      <c r="C16157"/>
      <c r="D16157"/>
      <c r="E16157"/>
      <c r="F16157"/>
      <c r="G16157"/>
      <c r="H16157"/>
      <c r="I16157"/>
      <c r="J16157"/>
      <c r="K16157" s="1"/>
      <c r="L16157" s="2"/>
    </row>
    <row r="16158" spans="1:12" x14ac:dyDescent="0.2">
      <c r="A16158"/>
      <c r="B16158"/>
      <c r="C16158"/>
      <c r="D16158"/>
      <c r="E16158"/>
      <c r="F16158"/>
      <c r="G16158"/>
      <c r="H16158"/>
      <c r="I16158"/>
      <c r="J16158"/>
      <c r="K16158" s="1"/>
      <c r="L16158" s="2"/>
    </row>
    <row r="16159" spans="1:12" x14ac:dyDescent="0.2">
      <c r="A16159"/>
      <c r="B16159"/>
      <c r="C16159"/>
      <c r="D16159"/>
      <c r="E16159"/>
      <c r="F16159"/>
      <c r="G16159"/>
      <c r="H16159"/>
      <c r="I16159"/>
      <c r="J16159"/>
      <c r="K16159" s="1"/>
      <c r="L16159" s="2"/>
    </row>
    <row r="16160" spans="1:12" x14ac:dyDescent="0.2">
      <c r="A16160"/>
      <c r="B16160"/>
      <c r="C16160"/>
      <c r="D16160"/>
      <c r="E16160"/>
      <c r="F16160"/>
      <c r="G16160"/>
      <c r="H16160"/>
      <c r="I16160"/>
      <c r="J16160"/>
      <c r="K16160" s="1"/>
      <c r="L16160" s="2"/>
    </row>
    <row r="16161" spans="1:12" x14ac:dyDescent="0.2">
      <c r="A16161"/>
      <c r="B16161"/>
      <c r="C16161"/>
      <c r="D16161"/>
      <c r="E16161"/>
      <c r="F16161"/>
      <c r="G16161"/>
      <c r="H16161"/>
      <c r="I16161"/>
      <c r="J16161"/>
      <c r="K16161" s="1"/>
      <c r="L16161" s="2"/>
    </row>
    <row r="16162" spans="1:12" x14ac:dyDescent="0.2">
      <c r="A16162"/>
      <c r="B16162"/>
      <c r="C16162"/>
      <c r="D16162"/>
      <c r="E16162"/>
      <c r="F16162"/>
      <c r="G16162"/>
      <c r="H16162"/>
      <c r="I16162"/>
      <c r="J16162"/>
      <c r="K16162" s="1"/>
      <c r="L16162" s="2"/>
    </row>
    <row r="16163" spans="1:12" x14ac:dyDescent="0.2">
      <c r="A16163"/>
      <c r="B16163"/>
      <c r="C16163"/>
      <c r="D16163"/>
      <c r="E16163"/>
      <c r="F16163"/>
      <c r="G16163"/>
      <c r="H16163"/>
      <c r="I16163"/>
      <c r="J16163"/>
      <c r="K16163" s="1"/>
      <c r="L16163" s="2"/>
    </row>
    <row r="16164" spans="1:12" x14ac:dyDescent="0.2">
      <c r="A16164"/>
      <c r="B16164"/>
      <c r="C16164"/>
      <c r="D16164"/>
      <c r="E16164"/>
      <c r="F16164"/>
      <c r="G16164"/>
      <c r="H16164"/>
      <c r="I16164"/>
      <c r="J16164"/>
      <c r="K16164" s="1"/>
      <c r="L16164" s="2"/>
    </row>
    <row r="16165" spans="1:12" x14ac:dyDescent="0.2">
      <c r="A16165"/>
      <c r="B16165"/>
      <c r="C16165"/>
      <c r="D16165"/>
      <c r="E16165"/>
      <c r="F16165"/>
      <c r="G16165"/>
      <c r="H16165"/>
      <c r="I16165"/>
      <c r="J16165"/>
      <c r="K16165" s="1"/>
      <c r="L16165" s="2"/>
    </row>
    <row r="16166" spans="1:12" x14ac:dyDescent="0.2">
      <c r="A16166"/>
      <c r="B16166"/>
      <c r="C16166"/>
      <c r="D16166"/>
      <c r="E16166"/>
      <c r="F16166"/>
      <c r="G16166"/>
      <c r="H16166"/>
      <c r="I16166"/>
      <c r="J16166"/>
      <c r="K16166" s="1"/>
      <c r="L16166" s="2"/>
    </row>
    <row r="16167" spans="1:12" x14ac:dyDescent="0.2">
      <c r="A16167"/>
      <c r="B16167"/>
      <c r="C16167"/>
      <c r="D16167"/>
      <c r="E16167"/>
      <c r="F16167"/>
      <c r="G16167"/>
      <c r="H16167"/>
      <c r="I16167"/>
      <c r="J16167"/>
      <c r="K16167" s="1"/>
      <c r="L16167" s="2"/>
    </row>
    <row r="16168" spans="1:12" x14ac:dyDescent="0.2">
      <c r="A16168"/>
      <c r="B16168"/>
      <c r="C16168"/>
      <c r="D16168"/>
      <c r="E16168"/>
      <c r="F16168"/>
      <c r="G16168"/>
      <c r="H16168"/>
      <c r="I16168"/>
      <c r="J16168"/>
      <c r="K16168" s="1"/>
      <c r="L16168" s="2"/>
    </row>
    <row r="16169" spans="1:12" x14ac:dyDescent="0.2">
      <c r="A16169"/>
      <c r="B16169"/>
      <c r="C16169"/>
      <c r="D16169"/>
      <c r="E16169"/>
      <c r="F16169"/>
      <c r="G16169"/>
      <c r="H16169"/>
      <c r="I16169"/>
      <c r="J16169"/>
      <c r="K16169" s="1"/>
      <c r="L16169" s="2"/>
    </row>
    <row r="16170" spans="1:12" x14ac:dyDescent="0.2">
      <c r="A16170"/>
      <c r="B16170"/>
      <c r="C16170"/>
      <c r="D16170"/>
      <c r="E16170"/>
      <c r="F16170"/>
      <c r="G16170"/>
      <c r="H16170"/>
      <c r="I16170"/>
      <c r="J16170"/>
      <c r="K16170" s="1"/>
      <c r="L16170" s="2"/>
    </row>
    <row r="16171" spans="1:12" x14ac:dyDescent="0.2">
      <c r="A16171"/>
      <c r="B16171"/>
      <c r="C16171"/>
      <c r="D16171"/>
      <c r="E16171"/>
      <c r="F16171"/>
      <c r="G16171"/>
      <c r="H16171"/>
      <c r="I16171"/>
      <c r="J16171"/>
      <c r="K16171" s="1"/>
      <c r="L16171" s="2"/>
    </row>
    <row r="16172" spans="1:12" x14ac:dyDescent="0.2">
      <c r="A16172"/>
      <c r="B16172"/>
      <c r="C16172"/>
      <c r="D16172"/>
      <c r="E16172"/>
      <c r="F16172"/>
      <c r="G16172"/>
      <c r="H16172"/>
      <c r="I16172"/>
      <c r="J16172"/>
      <c r="K16172" s="1"/>
      <c r="L16172" s="2"/>
    </row>
    <row r="16173" spans="1:12" x14ac:dyDescent="0.2">
      <c r="A16173"/>
      <c r="B16173"/>
      <c r="C16173"/>
      <c r="D16173"/>
      <c r="E16173"/>
      <c r="F16173"/>
      <c r="G16173"/>
      <c r="H16173"/>
      <c r="I16173"/>
      <c r="J16173"/>
      <c r="K16173" s="1"/>
      <c r="L16173" s="2"/>
    </row>
    <row r="16174" spans="1:12" x14ac:dyDescent="0.2">
      <c r="A16174"/>
      <c r="B16174"/>
      <c r="C16174"/>
      <c r="D16174"/>
      <c r="E16174"/>
      <c r="F16174"/>
      <c r="G16174"/>
      <c r="H16174"/>
      <c r="I16174"/>
      <c r="J16174"/>
      <c r="K16174" s="1"/>
      <c r="L16174" s="2"/>
    </row>
    <row r="16175" spans="1:12" x14ac:dyDescent="0.2">
      <c r="A16175"/>
      <c r="B16175"/>
      <c r="C16175"/>
      <c r="D16175"/>
      <c r="E16175"/>
      <c r="F16175"/>
      <c r="G16175"/>
      <c r="H16175"/>
      <c r="I16175"/>
      <c r="J16175"/>
      <c r="K16175" s="1"/>
      <c r="L16175" s="2"/>
    </row>
    <row r="16176" spans="1:12" x14ac:dyDescent="0.2">
      <c r="A16176"/>
      <c r="B16176"/>
      <c r="C16176"/>
      <c r="D16176"/>
      <c r="E16176"/>
      <c r="F16176"/>
      <c r="G16176"/>
      <c r="H16176"/>
      <c r="I16176"/>
      <c r="J16176"/>
      <c r="K16176" s="1"/>
      <c r="L16176" s="2"/>
    </row>
    <row r="16177" spans="1:12" x14ac:dyDescent="0.2">
      <c r="A16177"/>
      <c r="B16177"/>
      <c r="C16177"/>
      <c r="D16177"/>
      <c r="E16177"/>
      <c r="F16177"/>
      <c r="G16177"/>
      <c r="H16177"/>
      <c r="I16177"/>
      <c r="J16177"/>
      <c r="K16177" s="1"/>
      <c r="L16177" s="2"/>
    </row>
    <row r="16178" spans="1:12" x14ac:dyDescent="0.2">
      <c r="A16178"/>
      <c r="B16178"/>
      <c r="C16178"/>
      <c r="D16178"/>
      <c r="E16178"/>
      <c r="F16178"/>
      <c r="G16178"/>
      <c r="H16178"/>
      <c r="I16178"/>
      <c r="J16178"/>
      <c r="K16178" s="1"/>
      <c r="L16178" s="2"/>
    </row>
    <row r="16179" spans="1:12" x14ac:dyDescent="0.2">
      <c r="A16179"/>
      <c r="B16179"/>
      <c r="C16179"/>
      <c r="D16179"/>
      <c r="E16179"/>
      <c r="F16179"/>
      <c r="G16179"/>
      <c r="H16179"/>
      <c r="I16179"/>
      <c r="J16179"/>
      <c r="K16179" s="1"/>
      <c r="L16179" s="2"/>
    </row>
    <row r="16180" spans="1:12" x14ac:dyDescent="0.2">
      <c r="A16180"/>
      <c r="B16180"/>
      <c r="C16180"/>
      <c r="D16180"/>
      <c r="E16180"/>
      <c r="F16180"/>
      <c r="G16180"/>
      <c r="H16180"/>
      <c r="I16180"/>
      <c r="J16180"/>
      <c r="K16180" s="1"/>
      <c r="L16180" s="2"/>
    </row>
    <row r="16181" spans="1:12" x14ac:dyDescent="0.2">
      <c r="A16181"/>
      <c r="B16181"/>
      <c r="C16181"/>
      <c r="D16181"/>
      <c r="E16181"/>
      <c r="F16181"/>
      <c r="G16181"/>
      <c r="H16181"/>
      <c r="I16181"/>
      <c r="J16181"/>
      <c r="K16181" s="1"/>
      <c r="L16181" s="2"/>
    </row>
    <row r="16182" spans="1:12" x14ac:dyDescent="0.2">
      <c r="A16182"/>
      <c r="B16182"/>
      <c r="C16182"/>
      <c r="D16182"/>
      <c r="E16182"/>
      <c r="F16182"/>
      <c r="G16182"/>
      <c r="H16182"/>
      <c r="I16182"/>
      <c r="J16182"/>
      <c r="K16182" s="1"/>
      <c r="L16182" s="2"/>
    </row>
    <row r="16183" spans="1:12" x14ac:dyDescent="0.2">
      <c r="A16183"/>
      <c r="B16183"/>
      <c r="C16183"/>
      <c r="D16183"/>
      <c r="E16183"/>
      <c r="F16183"/>
      <c r="G16183"/>
      <c r="H16183"/>
      <c r="I16183"/>
      <c r="J16183"/>
      <c r="K16183" s="1"/>
      <c r="L16183" s="2"/>
    </row>
    <row r="16184" spans="1:12" x14ac:dyDescent="0.2">
      <c r="A16184"/>
      <c r="B16184"/>
      <c r="C16184"/>
      <c r="D16184"/>
      <c r="E16184"/>
      <c r="F16184"/>
      <c r="G16184"/>
      <c r="H16184"/>
      <c r="I16184"/>
      <c r="J16184"/>
      <c r="K16184" s="1"/>
      <c r="L16184" s="2"/>
    </row>
    <row r="16185" spans="1:12" x14ac:dyDescent="0.2">
      <c r="A16185"/>
      <c r="B16185"/>
      <c r="C16185"/>
      <c r="D16185"/>
      <c r="E16185"/>
      <c r="F16185"/>
      <c r="G16185"/>
      <c r="H16185"/>
      <c r="I16185"/>
      <c r="J16185"/>
      <c r="K16185" s="1"/>
      <c r="L16185" s="2"/>
    </row>
    <row r="16186" spans="1:12" x14ac:dyDescent="0.2">
      <c r="A16186"/>
      <c r="B16186"/>
      <c r="C16186"/>
      <c r="D16186"/>
      <c r="E16186"/>
      <c r="F16186"/>
      <c r="G16186"/>
      <c r="H16186"/>
      <c r="I16186"/>
      <c r="J16186"/>
      <c r="K16186" s="1"/>
      <c r="L16186" s="2"/>
    </row>
    <row r="16187" spans="1:12" x14ac:dyDescent="0.2">
      <c r="A16187"/>
      <c r="B16187"/>
      <c r="C16187"/>
      <c r="D16187"/>
      <c r="E16187"/>
      <c r="F16187"/>
      <c r="G16187"/>
      <c r="H16187"/>
      <c r="I16187"/>
      <c r="J16187"/>
      <c r="K16187" s="1"/>
      <c r="L16187" s="2"/>
    </row>
    <row r="16188" spans="1:12" x14ac:dyDescent="0.2">
      <c r="A16188"/>
      <c r="B16188"/>
      <c r="C16188"/>
      <c r="D16188"/>
      <c r="E16188"/>
      <c r="F16188"/>
      <c r="G16188"/>
      <c r="H16188"/>
      <c r="I16188"/>
      <c r="J16188"/>
      <c r="K16188" s="1"/>
      <c r="L16188" s="2"/>
    </row>
    <row r="16189" spans="1:12" x14ac:dyDescent="0.2">
      <c r="A16189"/>
      <c r="B16189"/>
      <c r="C16189"/>
      <c r="D16189"/>
      <c r="E16189"/>
      <c r="F16189"/>
      <c r="G16189"/>
      <c r="H16189"/>
      <c r="I16189"/>
      <c r="J16189"/>
      <c r="K16189" s="1"/>
      <c r="L16189" s="2"/>
    </row>
    <row r="16190" spans="1:12" x14ac:dyDescent="0.2">
      <c r="A16190"/>
      <c r="B16190"/>
      <c r="C16190"/>
      <c r="D16190"/>
      <c r="E16190"/>
      <c r="F16190"/>
      <c r="G16190"/>
      <c r="H16190"/>
      <c r="I16190"/>
      <c r="J16190"/>
      <c r="K16190" s="1"/>
      <c r="L16190" s="2"/>
    </row>
    <row r="16191" spans="1:12" x14ac:dyDescent="0.2">
      <c r="A16191"/>
      <c r="B16191"/>
      <c r="C16191"/>
      <c r="D16191"/>
      <c r="E16191"/>
      <c r="F16191"/>
      <c r="G16191"/>
      <c r="H16191"/>
      <c r="I16191"/>
      <c r="J16191"/>
      <c r="K16191" s="1"/>
      <c r="L16191" s="2"/>
    </row>
    <row r="16192" spans="1:12" x14ac:dyDescent="0.2">
      <c r="A16192"/>
      <c r="B16192"/>
      <c r="C16192"/>
      <c r="D16192"/>
      <c r="E16192"/>
      <c r="F16192"/>
      <c r="G16192"/>
      <c r="H16192"/>
      <c r="I16192"/>
      <c r="J16192"/>
      <c r="K16192" s="1"/>
      <c r="L16192" s="2"/>
    </row>
    <row r="16193" spans="1:12" x14ac:dyDescent="0.2">
      <c r="A16193"/>
      <c r="B16193"/>
      <c r="C16193"/>
      <c r="D16193"/>
      <c r="E16193"/>
      <c r="F16193"/>
      <c r="G16193"/>
      <c r="H16193"/>
      <c r="I16193"/>
      <c r="J16193"/>
      <c r="K16193" s="1"/>
      <c r="L16193" s="2"/>
    </row>
    <row r="16194" spans="1:12" x14ac:dyDescent="0.2">
      <c r="A16194"/>
      <c r="B16194"/>
      <c r="C16194"/>
      <c r="D16194"/>
      <c r="E16194"/>
      <c r="F16194"/>
      <c r="G16194"/>
      <c r="H16194"/>
      <c r="I16194"/>
      <c r="J16194"/>
      <c r="K16194" s="1"/>
      <c r="L16194" s="2"/>
    </row>
    <row r="16195" spans="1:12" x14ac:dyDescent="0.2">
      <c r="A16195"/>
      <c r="B16195"/>
      <c r="C16195"/>
      <c r="D16195"/>
      <c r="E16195"/>
      <c r="F16195"/>
      <c r="G16195"/>
      <c r="H16195"/>
      <c r="I16195"/>
      <c r="J16195"/>
      <c r="K16195" s="1"/>
      <c r="L16195" s="2"/>
    </row>
    <row r="16196" spans="1:12" x14ac:dyDescent="0.2">
      <c r="A16196"/>
      <c r="B16196"/>
      <c r="C16196"/>
      <c r="D16196"/>
      <c r="E16196"/>
      <c r="F16196"/>
      <c r="G16196"/>
      <c r="H16196"/>
      <c r="I16196"/>
      <c r="J16196"/>
      <c r="K16196" s="1"/>
      <c r="L16196" s="2"/>
    </row>
    <row r="16197" spans="1:12" x14ac:dyDescent="0.2">
      <c r="A16197"/>
      <c r="B16197"/>
      <c r="C16197"/>
      <c r="D16197"/>
      <c r="E16197"/>
      <c r="F16197"/>
      <c r="G16197"/>
      <c r="H16197"/>
      <c r="I16197"/>
      <c r="J16197"/>
      <c r="K16197" s="1"/>
      <c r="L16197" s="2"/>
    </row>
    <row r="16198" spans="1:12" x14ac:dyDescent="0.2">
      <c r="A16198"/>
      <c r="B16198"/>
      <c r="C16198"/>
      <c r="D16198"/>
      <c r="E16198"/>
      <c r="F16198"/>
      <c r="G16198"/>
      <c r="H16198"/>
      <c r="I16198"/>
      <c r="J16198"/>
      <c r="K16198" s="1"/>
      <c r="L16198" s="2"/>
    </row>
    <row r="16199" spans="1:12" x14ac:dyDescent="0.2">
      <c r="A16199"/>
      <c r="B16199"/>
      <c r="C16199"/>
      <c r="D16199"/>
      <c r="E16199"/>
      <c r="F16199"/>
      <c r="G16199"/>
      <c r="H16199"/>
      <c r="I16199"/>
      <c r="J16199"/>
      <c r="K16199" s="1"/>
      <c r="L16199" s="2"/>
    </row>
    <row r="16200" spans="1:12" x14ac:dyDescent="0.2">
      <c r="A16200"/>
      <c r="B16200"/>
      <c r="C16200"/>
      <c r="D16200"/>
      <c r="E16200"/>
      <c r="F16200"/>
      <c r="G16200"/>
      <c r="H16200"/>
      <c r="I16200"/>
      <c r="J16200"/>
      <c r="K16200" s="1"/>
      <c r="L16200" s="2"/>
    </row>
    <row r="16201" spans="1:12" x14ac:dyDescent="0.2">
      <c r="A16201"/>
      <c r="B16201"/>
      <c r="C16201"/>
      <c r="D16201"/>
      <c r="E16201"/>
      <c r="F16201"/>
      <c r="G16201"/>
      <c r="H16201"/>
      <c r="I16201"/>
      <c r="J16201"/>
      <c r="K16201" s="1"/>
      <c r="L16201" s="2"/>
    </row>
    <row r="16202" spans="1:12" x14ac:dyDescent="0.2">
      <c r="A16202"/>
      <c r="B16202"/>
      <c r="C16202"/>
      <c r="D16202"/>
      <c r="E16202"/>
      <c r="F16202"/>
      <c r="G16202"/>
      <c r="H16202"/>
      <c r="I16202"/>
      <c r="J16202"/>
      <c r="K16202" s="1"/>
      <c r="L16202" s="2"/>
    </row>
    <row r="16203" spans="1:12" x14ac:dyDescent="0.2">
      <c r="A16203"/>
      <c r="B16203"/>
      <c r="C16203"/>
      <c r="D16203"/>
      <c r="E16203"/>
      <c r="F16203"/>
      <c r="G16203"/>
      <c r="H16203"/>
      <c r="I16203"/>
      <c r="J16203"/>
      <c r="K16203" s="1"/>
      <c r="L16203" s="2"/>
    </row>
    <row r="16204" spans="1:12" x14ac:dyDescent="0.2">
      <c r="A16204"/>
      <c r="B16204"/>
      <c r="C16204"/>
      <c r="D16204"/>
      <c r="E16204"/>
      <c r="F16204"/>
      <c r="G16204"/>
      <c r="H16204"/>
      <c r="I16204"/>
      <c r="J16204"/>
      <c r="K16204" s="1"/>
      <c r="L16204" s="2"/>
    </row>
    <row r="16205" spans="1:12" x14ac:dyDescent="0.2">
      <c r="A16205"/>
      <c r="B16205"/>
      <c r="C16205"/>
      <c r="D16205"/>
      <c r="E16205"/>
      <c r="F16205"/>
      <c r="G16205"/>
      <c r="H16205"/>
      <c r="I16205"/>
      <c r="J16205"/>
      <c r="K16205" s="1"/>
      <c r="L16205" s="2"/>
    </row>
    <row r="16206" spans="1:12" x14ac:dyDescent="0.2">
      <c r="A16206"/>
      <c r="B16206"/>
      <c r="C16206"/>
      <c r="D16206"/>
      <c r="E16206"/>
      <c r="F16206"/>
      <c r="G16206"/>
      <c r="H16206"/>
      <c r="I16206"/>
      <c r="J16206"/>
      <c r="K16206" s="1"/>
      <c r="L16206" s="2"/>
    </row>
    <row r="16207" spans="1:12" x14ac:dyDescent="0.2">
      <c r="A16207"/>
      <c r="B16207"/>
      <c r="C16207"/>
      <c r="D16207"/>
      <c r="E16207"/>
      <c r="F16207"/>
      <c r="G16207"/>
      <c r="H16207"/>
      <c r="I16207"/>
      <c r="J16207"/>
      <c r="K16207" s="1"/>
      <c r="L16207" s="2"/>
    </row>
    <row r="16208" spans="1:12" x14ac:dyDescent="0.2">
      <c r="A16208"/>
      <c r="B16208"/>
      <c r="C16208"/>
      <c r="D16208"/>
      <c r="E16208"/>
      <c r="F16208"/>
      <c r="G16208"/>
      <c r="H16208"/>
      <c r="I16208"/>
      <c r="J16208"/>
      <c r="K16208" s="1"/>
      <c r="L16208" s="2"/>
    </row>
    <row r="16209" spans="1:12" x14ac:dyDescent="0.2">
      <c r="A16209"/>
      <c r="B16209"/>
      <c r="C16209"/>
      <c r="D16209"/>
      <c r="E16209"/>
      <c r="F16209"/>
      <c r="G16209"/>
      <c r="H16209"/>
      <c r="I16209"/>
      <c r="J16209"/>
      <c r="K16209" s="1"/>
      <c r="L16209" s="2"/>
    </row>
    <row r="16210" spans="1:12" x14ac:dyDescent="0.2">
      <c r="A16210"/>
      <c r="B16210"/>
      <c r="C16210"/>
      <c r="D16210"/>
      <c r="E16210"/>
      <c r="F16210"/>
      <c r="G16210"/>
      <c r="H16210"/>
      <c r="I16210"/>
      <c r="J16210"/>
      <c r="K16210" s="1"/>
      <c r="L16210" s="2"/>
    </row>
    <row r="16211" spans="1:12" x14ac:dyDescent="0.2">
      <c r="A16211"/>
      <c r="B16211"/>
      <c r="C16211"/>
      <c r="D16211"/>
      <c r="E16211"/>
      <c r="F16211"/>
      <c r="G16211"/>
      <c r="H16211"/>
      <c r="I16211"/>
      <c r="J16211"/>
      <c r="K16211" s="1"/>
      <c r="L16211" s="2"/>
    </row>
    <row r="16212" spans="1:12" x14ac:dyDescent="0.2">
      <c r="A16212"/>
      <c r="B16212"/>
      <c r="C16212"/>
      <c r="D16212"/>
      <c r="E16212"/>
      <c r="F16212"/>
      <c r="G16212"/>
      <c r="H16212"/>
      <c r="I16212"/>
      <c r="J16212"/>
      <c r="K16212" s="1"/>
      <c r="L16212" s="2"/>
    </row>
    <row r="16213" spans="1:12" x14ac:dyDescent="0.2">
      <c r="A16213"/>
      <c r="B16213"/>
      <c r="C16213"/>
      <c r="D16213"/>
      <c r="E16213"/>
      <c r="F16213"/>
      <c r="G16213"/>
      <c r="H16213"/>
      <c r="I16213"/>
      <c r="J16213"/>
      <c r="K16213" s="1"/>
      <c r="L16213" s="2"/>
    </row>
    <row r="16214" spans="1:12" x14ac:dyDescent="0.2">
      <c r="A16214"/>
      <c r="B16214"/>
      <c r="C16214"/>
      <c r="D16214"/>
      <c r="E16214"/>
      <c r="F16214"/>
      <c r="G16214"/>
      <c r="H16214"/>
      <c r="I16214"/>
      <c r="J16214"/>
      <c r="K16214" s="1"/>
      <c r="L16214" s="2"/>
    </row>
    <row r="16215" spans="1:12" x14ac:dyDescent="0.2">
      <c r="A16215"/>
      <c r="B16215"/>
      <c r="C16215"/>
      <c r="D16215"/>
      <c r="E16215"/>
      <c r="F16215"/>
      <c r="G16215"/>
      <c r="H16215"/>
      <c r="I16215"/>
      <c r="J16215"/>
      <c r="K16215" s="1"/>
      <c r="L16215" s="2"/>
    </row>
    <row r="16216" spans="1:12" x14ac:dyDescent="0.2">
      <c r="A16216"/>
      <c r="B16216"/>
      <c r="C16216"/>
      <c r="D16216"/>
      <c r="E16216"/>
      <c r="F16216"/>
      <c r="G16216"/>
      <c r="H16216"/>
      <c r="I16216"/>
      <c r="J16216"/>
      <c r="K16216" s="1"/>
      <c r="L16216" s="2"/>
    </row>
    <row r="16217" spans="1:12" x14ac:dyDescent="0.2">
      <c r="A16217"/>
      <c r="B16217"/>
      <c r="C16217"/>
      <c r="D16217"/>
      <c r="E16217"/>
      <c r="F16217"/>
      <c r="G16217"/>
      <c r="H16217"/>
      <c r="I16217"/>
      <c r="J16217"/>
      <c r="K16217" s="1"/>
      <c r="L16217" s="2"/>
    </row>
    <row r="16218" spans="1:12" x14ac:dyDescent="0.2">
      <c r="A16218"/>
      <c r="B16218"/>
      <c r="C16218"/>
      <c r="D16218"/>
      <c r="E16218"/>
      <c r="F16218"/>
      <c r="G16218"/>
      <c r="H16218"/>
      <c r="I16218"/>
      <c r="J16218"/>
      <c r="K16218" s="1"/>
      <c r="L16218" s="2"/>
    </row>
    <row r="16219" spans="1:12" x14ac:dyDescent="0.2">
      <c r="A16219"/>
      <c r="B16219"/>
      <c r="C16219"/>
      <c r="D16219"/>
      <c r="E16219"/>
      <c r="F16219"/>
      <c r="G16219"/>
      <c r="H16219"/>
      <c r="I16219"/>
      <c r="J16219"/>
      <c r="K16219" s="1"/>
      <c r="L16219" s="2"/>
    </row>
    <row r="16220" spans="1:12" x14ac:dyDescent="0.2">
      <c r="A16220"/>
      <c r="B16220"/>
      <c r="C16220"/>
      <c r="D16220"/>
      <c r="E16220"/>
      <c r="F16220"/>
      <c r="G16220"/>
      <c r="H16220"/>
      <c r="I16220"/>
      <c r="J16220"/>
      <c r="K16220" s="1"/>
      <c r="L16220" s="2"/>
    </row>
    <row r="16221" spans="1:12" x14ac:dyDescent="0.2">
      <c r="A16221"/>
      <c r="B16221"/>
      <c r="C16221"/>
      <c r="D16221"/>
      <c r="E16221"/>
      <c r="F16221"/>
      <c r="G16221"/>
      <c r="H16221"/>
      <c r="I16221"/>
      <c r="J16221"/>
      <c r="K16221" s="1"/>
      <c r="L16221" s="2"/>
    </row>
    <row r="16222" spans="1:12" x14ac:dyDescent="0.2">
      <c r="A16222"/>
      <c r="B16222"/>
      <c r="C16222"/>
      <c r="D16222"/>
      <c r="E16222"/>
      <c r="F16222"/>
      <c r="G16222"/>
      <c r="H16222"/>
      <c r="I16222"/>
      <c r="J16222"/>
      <c r="K16222" s="1"/>
      <c r="L16222" s="2"/>
    </row>
    <row r="16223" spans="1:12" x14ac:dyDescent="0.2">
      <c r="A16223"/>
      <c r="B16223"/>
      <c r="C16223"/>
      <c r="D16223"/>
      <c r="E16223"/>
      <c r="F16223"/>
      <c r="G16223"/>
      <c r="H16223"/>
      <c r="I16223"/>
      <c r="J16223"/>
      <c r="K16223" s="1"/>
      <c r="L16223" s="2"/>
    </row>
    <row r="16224" spans="1:12" x14ac:dyDescent="0.2">
      <c r="A16224"/>
      <c r="B16224"/>
      <c r="C16224"/>
      <c r="D16224"/>
      <c r="E16224"/>
      <c r="F16224"/>
      <c r="G16224"/>
      <c r="H16224"/>
      <c r="I16224"/>
      <c r="J16224"/>
      <c r="K16224" s="1"/>
      <c r="L16224" s="2"/>
    </row>
    <row r="16225" spans="1:12" x14ac:dyDescent="0.2">
      <c r="A16225"/>
      <c r="B16225"/>
      <c r="C16225"/>
      <c r="D16225"/>
      <c r="E16225"/>
      <c r="F16225"/>
      <c r="G16225"/>
      <c r="H16225"/>
      <c r="I16225"/>
      <c r="J16225"/>
      <c r="K16225" s="1"/>
      <c r="L16225" s="2"/>
    </row>
    <row r="16226" spans="1:12" x14ac:dyDescent="0.2">
      <c r="A16226"/>
      <c r="B16226"/>
      <c r="C16226"/>
      <c r="D16226"/>
      <c r="E16226"/>
      <c r="F16226"/>
      <c r="G16226"/>
      <c r="H16226"/>
      <c r="I16226"/>
      <c r="J16226"/>
      <c r="K16226" s="1"/>
      <c r="L16226" s="2"/>
    </row>
    <row r="16227" spans="1:12" x14ac:dyDescent="0.2">
      <c r="A16227"/>
      <c r="B16227"/>
      <c r="C16227"/>
      <c r="D16227"/>
      <c r="E16227"/>
      <c r="F16227"/>
      <c r="G16227"/>
      <c r="H16227"/>
      <c r="I16227"/>
      <c r="J16227"/>
      <c r="K16227" s="1"/>
      <c r="L16227" s="2"/>
    </row>
    <row r="16228" spans="1:12" x14ac:dyDescent="0.2">
      <c r="A16228"/>
      <c r="B16228"/>
      <c r="C16228"/>
      <c r="D16228"/>
      <c r="E16228"/>
      <c r="F16228"/>
      <c r="G16228"/>
      <c r="H16228"/>
      <c r="I16228"/>
      <c r="J16228"/>
      <c r="K16228" s="1"/>
      <c r="L16228" s="2"/>
    </row>
    <row r="16229" spans="1:12" x14ac:dyDescent="0.2">
      <c r="A16229"/>
      <c r="B16229"/>
      <c r="C16229"/>
      <c r="D16229"/>
      <c r="E16229"/>
      <c r="F16229"/>
      <c r="G16229"/>
      <c r="H16229"/>
      <c r="I16229"/>
      <c r="J16229"/>
      <c r="K16229" s="1"/>
      <c r="L16229" s="2"/>
    </row>
    <row r="16230" spans="1:12" x14ac:dyDescent="0.2">
      <c r="A16230"/>
      <c r="B16230"/>
      <c r="C16230"/>
      <c r="D16230"/>
      <c r="E16230"/>
      <c r="F16230"/>
      <c r="G16230"/>
      <c r="H16230"/>
      <c r="I16230"/>
      <c r="J16230"/>
      <c r="K16230" s="1"/>
      <c r="L16230" s="2"/>
    </row>
    <row r="16231" spans="1:12" x14ac:dyDescent="0.2">
      <c r="A16231"/>
      <c r="B16231"/>
      <c r="C16231"/>
      <c r="D16231"/>
      <c r="E16231"/>
      <c r="F16231"/>
      <c r="G16231"/>
      <c r="H16231"/>
      <c r="I16231"/>
      <c r="J16231"/>
      <c r="K16231" s="1"/>
      <c r="L16231" s="2"/>
    </row>
    <row r="16232" spans="1:12" x14ac:dyDescent="0.2">
      <c r="A16232"/>
      <c r="B16232"/>
      <c r="C16232"/>
      <c r="D16232"/>
      <c r="E16232"/>
      <c r="F16232"/>
      <c r="G16232"/>
      <c r="H16232"/>
      <c r="I16232"/>
      <c r="J16232"/>
      <c r="K16232" s="1"/>
      <c r="L16232" s="2"/>
    </row>
    <row r="16233" spans="1:12" x14ac:dyDescent="0.2">
      <c r="A16233"/>
      <c r="B16233"/>
      <c r="C16233"/>
      <c r="D16233"/>
      <c r="E16233"/>
      <c r="F16233"/>
      <c r="G16233"/>
      <c r="H16233"/>
      <c r="I16233"/>
      <c r="J16233"/>
      <c r="K16233" s="1"/>
      <c r="L16233" s="2"/>
    </row>
    <row r="16234" spans="1:12" x14ac:dyDescent="0.2">
      <c r="A16234"/>
      <c r="B16234"/>
      <c r="C16234"/>
      <c r="D16234"/>
      <c r="E16234"/>
      <c r="F16234"/>
      <c r="G16234"/>
      <c r="H16234"/>
      <c r="I16234"/>
      <c r="J16234"/>
      <c r="K16234" s="1"/>
      <c r="L16234" s="2"/>
    </row>
    <row r="16235" spans="1:12" x14ac:dyDescent="0.2">
      <c r="A16235"/>
      <c r="B16235"/>
      <c r="C16235"/>
      <c r="D16235"/>
      <c r="E16235"/>
      <c r="F16235"/>
      <c r="G16235"/>
      <c r="H16235"/>
      <c r="I16235"/>
      <c r="J16235"/>
      <c r="K16235" s="1"/>
      <c r="L16235" s="2"/>
    </row>
    <row r="16236" spans="1:12" x14ac:dyDescent="0.2">
      <c r="A16236"/>
      <c r="B16236"/>
      <c r="C16236"/>
      <c r="D16236"/>
      <c r="E16236"/>
      <c r="F16236"/>
      <c r="G16236"/>
      <c r="H16236"/>
      <c r="I16236"/>
      <c r="J16236"/>
      <c r="K16236" s="1"/>
      <c r="L16236" s="2"/>
    </row>
    <row r="16237" spans="1:12" x14ac:dyDescent="0.2">
      <c r="A16237"/>
      <c r="B16237"/>
      <c r="C16237"/>
      <c r="D16237"/>
      <c r="E16237"/>
      <c r="F16237"/>
      <c r="G16237"/>
      <c r="H16237"/>
      <c r="I16237"/>
      <c r="J16237"/>
      <c r="K16237" s="1"/>
      <c r="L16237" s="2"/>
    </row>
    <row r="16238" spans="1:12" x14ac:dyDescent="0.2">
      <c r="A16238"/>
      <c r="B16238"/>
      <c r="C16238"/>
      <c r="D16238"/>
      <c r="E16238"/>
      <c r="F16238"/>
      <c r="G16238"/>
      <c r="H16238"/>
      <c r="I16238"/>
      <c r="J16238"/>
      <c r="K16238" s="1"/>
      <c r="L16238" s="2"/>
    </row>
    <row r="16239" spans="1:12" x14ac:dyDescent="0.2">
      <c r="A16239"/>
      <c r="B16239"/>
      <c r="C16239"/>
      <c r="D16239"/>
      <c r="E16239"/>
      <c r="F16239"/>
      <c r="G16239"/>
      <c r="H16239"/>
      <c r="I16239"/>
      <c r="J16239"/>
      <c r="K16239" s="1"/>
      <c r="L16239" s="2"/>
    </row>
    <row r="16240" spans="1:12" x14ac:dyDescent="0.2">
      <c r="A16240"/>
      <c r="B16240"/>
      <c r="C16240"/>
      <c r="D16240"/>
      <c r="E16240"/>
      <c r="F16240"/>
      <c r="G16240"/>
      <c r="H16240"/>
      <c r="I16240"/>
      <c r="J16240"/>
      <c r="K16240" s="1"/>
      <c r="L16240" s="2"/>
    </row>
    <row r="16241" spans="1:12" x14ac:dyDescent="0.2">
      <c r="A16241"/>
      <c r="B16241"/>
      <c r="C16241"/>
      <c r="D16241"/>
      <c r="E16241"/>
      <c r="F16241"/>
      <c r="G16241"/>
      <c r="H16241"/>
      <c r="I16241"/>
      <c r="J16241"/>
      <c r="K16241" s="1"/>
      <c r="L16241" s="2"/>
    </row>
    <row r="16242" spans="1:12" x14ac:dyDescent="0.2">
      <c r="A16242"/>
      <c r="B16242"/>
      <c r="C16242"/>
      <c r="D16242"/>
      <c r="E16242"/>
      <c r="F16242"/>
      <c r="G16242"/>
      <c r="H16242"/>
      <c r="I16242"/>
      <c r="J16242"/>
      <c r="K16242" s="1"/>
      <c r="L16242" s="2"/>
    </row>
    <row r="16243" spans="1:12" x14ac:dyDescent="0.2">
      <c r="A16243"/>
      <c r="B16243"/>
      <c r="C16243"/>
      <c r="D16243"/>
      <c r="E16243"/>
      <c r="F16243"/>
      <c r="G16243"/>
      <c r="H16243"/>
      <c r="I16243"/>
      <c r="J16243"/>
      <c r="K16243" s="1"/>
      <c r="L16243" s="2"/>
    </row>
    <row r="16244" spans="1:12" x14ac:dyDescent="0.2">
      <c r="A16244"/>
      <c r="B16244"/>
      <c r="C16244"/>
      <c r="D16244"/>
      <c r="E16244"/>
      <c r="F16244"/>
      <c r="G16244"/>
      <c r="H16244"/>
      <c r="I16244"/>
      <c r="J16244"/>
      <c r="K16244" s="1"/>
      <c r="L16244" s="2"/>
    </row>
    <row r="16245" spans="1:12" x14ac:dyDescent="0.2">
      <c r="A16245"/>
      <c r="B16245"/>
      <c r="C16245"/>
      <c r="D16245"/>
      <c r="E16245"/>
      <c r="F16245"/>
      <c r="G16245"/>
      <c r="H16245"/>
      <c r="I16245"/>
      <c r="J16245"/>
      <c r="K16245" s="1"/>
      <c r="L16245" s="2"/>
    </row>
    <row r="16246" spans="1:12" x14ac:dyDescent="0.2">
      <c r="A16246"/>
      <c r="B16246"/>
      <c r="C16246"/>
      <c r="D16246"/>
      <c r="E16246"/>
      <c r="F16246"/>
      <c r="G16246"/>
      <c r="H16246"/>
      <c r="I16246"/>
      <c r="J16246"/>
      <c r="K16246" s="1"/>
      <c r="L16246" s="2"/>
    </row>
    <row r="16247" spans="1:12" x14ac:dyDescent="0.2">
      <c r="A16247"/>
      <c r="B16247"/>
      <c r="C16247"/>
      <c r="D16247"/>
      <c r="E16247"/>
      <c r="F16247"/>
      <c r="G16247"/>
      <c r="H16247"/>
      <c r="I16247"/>
      <c r="J16247"/>
      <c r="K16247" s="1"/>
      <c r="L16247" s="2"/>
    </row>
    <row r="16248" spans="1:12" x14ac:dyDescent="0.2">
      <c r="A16248"/>
      <c r="B16248"/>
      <c r="C16248"/>
      <c r="D16248"/>
      <c r="E16248"/>
      <c r="F16248"/>
      <c r="G16248"/>
      <c r="H16248"/>
      <c r="I16248"/>
      <c r="J16248"/>
      <c r="K16248" s="1"/>
      <c r="L16248" s="2"/>
    </row>
    <row r="16249" spans="1:12" x14ac:dyDescent="0.2">
      <c r="A16249"/>
      <c r="B16249"/>
      <c r="C16249"/>
      <c r="D16249"/>
      <c r="E16249"/>
      <c r="F16249"/>
      <c r="G16249"/>
      <c r="H16249"/>
      <c r="I16249"/>
      <c r="J16249"/>
      <c r="K16249" s="1"/>
      <c r="L16249" s="2"/>
    </row>
    <row r="16250" spans="1:12" x14ac:dyDescent="0.2">
      <c r="A16250"/>
      <c r="B16250"/>
      <c r="C16250"/>
      <c r="D16250"/>
      <c r="E16250"/>
      <c r="F16250"/>
      <c r="G16250"/>
      <c r="H16250"/>
      <c r="I16250"/>
      <c r="J16250"/>
      <c r="K16250" s="1"/>
      <c r="L16250" s="2"/>
    </row>
    <row r="16251" spans="1:12" x14ac:dyDescent="0.2">
      <c r="A16251"/>
      <c r="B16251"/>
      <c r="C16251"/>
      <c r="D16251"/>
      <c r="E16251"/>
      <c r="F16251"/>
      <c r="G16251"/>
      <c r="H16251"/>
      <c r="I16251"/>
      <c r="J16251"/>
      <c r="K16251" s="1"/>
      <c r="L16251" s="2"/>
    </row>
    <row r="16252" spans="1:12" x14ac:dyDescent="0.2">
      <c r="A16252"/>
      <c r="B16252"/>
      <c r="C16252"/>
      <c r="D16252"/>
      <c r="E16252"/>
      <c r="F16252"/>
      <c r="G16252"/>
      <c r="H16252"/>
      <c r="I16252"/>
      <c r="J16252"/>
      <c r="K16252" s="1"/>
      <c r="L16252" s="2"/>
    </row>
    <row r="16253" spans="1:12" x14ac:dyDescent="0.2">
      <c r="A16253"/>
      <c r="B16253"/>
      <c r="C16253"/>
      <c r="D16253"/>
      <c r="E16253"/>
      <c r="F16253"/>
      <c r="G16253"/>
      <c r="H16253"/>
      <c r="I16253"/>
      <c r="J16253"/>
      <c r="K16253" s="1"/>
      <c r="L16253" s="2"/>
    </row>
    <row r="16254" spans="1:12" x14ac:dyDescent="0.2">
      <c r="A16254"/>
      <c r="B16254"/>
      <c r="C16254"/>
      <c r="D16254"/>
      <c r="E16254"/>
      <c r="F16254"/>
      <c r="G16254"/>
      <c r="H16254"/>
      <c r="I16254"/>
      <c r="J16254"/>
      <c r="K16254" s="1"/>
      <c r="L16254" s="2"/>
    </row>
    <row r="16255" spans="1:12" x14ac:dyDescent="0.2">
      <c r="A16255"/>
      <c r="B16255"/>
      <c r="C16255"/>
      <c r="D16255"/>
      <c r="E16255"/>
      <c r="F16255"/>
      <c r="G16255"/>
      <c r="H16255"/>
      <c r="I16255"/>
      <c r="J16255"/>
      <c r="K16255" s="1"/>
      <c r="L16255" s="2"/>
    </row>
    <row r="16256" spans="1:12" x14ac:dyDescent="0.2">
      <c r="A16256"/>
      <c r="B16256"/>
      <c r="C16256"/>
      <c r="D16256"/>
      <c r="E16256"/>
      <c r="F16256"/>
      <c r="G16256"/>
      <c r="H16256"/>
      <c r="I16256"/>
      <c r="J16256"/>
      <c r="K16256" s="1"/>
      <c r="L16256" s="2"/>
    </row>
    <row r="16257" spans="1:12" x14ac:dyDescent="0.2">
      <c r="A16257"/>
      <c r="B16257"/>
      <c r="C16257"/>
      <c r="D16257"/>
      <c r="E16257"/>
      <c r="F16257"/>
      <c r="G16257"/>
      <c r="H16257"/>
      <c r="I16257"/>
      <c r="J16257"/>
      <c r="K16257" s="1"/>
      <c r="L16257" s="2"/>
    </row>
    <row r="16258" spans="1:12" x14ac:dyDescent="0.2">
      <c r="A16258"/>
      <c r="B16258"/>
      <c r="C16258"/>
      <c r="D16258"/>
      <c r="E16258"/>
      <c r="F16258"/>
      <c r="G16258"/>
      <c r="H16258"/>
      <c r="I16258"/>
      <c r="J16258"/>
      <c r="K16258" s="1"/>
      <c r="L16258" s="2"/>
    </row>
    <row r="16259" spans="1:12" x14ac:dyDescent="0.2">
      <c r="A16259"/>
      <c r="B16259"/>
      <c r="C16259"/>
      <c r="D16259"/>
      <c r="E16259"/>
      <c r="F16259"/>
      <c r="G16259"/>
      <c r="H16259"/>
      <c r="I16259"/>
      <c r="J16259"/>
      <c r="K16259" s="1"/>
      <c r="L16259" s="2"/>
    </row>
    <row r="16260" spans="1:12" x14ac:dyDescent="0.2">
      <c r="A16260"/>
      <c r="B16260"/>
      <c r="C16260"/>
      <c r="D16260"/>
      <c r="E16260"/>
      <c r="F16260"/>
      <c r="G16260"/>
      <c r="H16260"/>
      <c r="I16260"/>
      <c r="J16260"/>
      <c r="K16260" s="1"/>
      <c r="L16260" s="2"/>
    </row>
    <row r="16261" spans="1:12" x14ac:dyDescent="0.2">
      <c r="A16261"/>
      <c r="B16261"/>
      <c r="C16261"/>
      <c r="D16261"/>
      <c r="E16261"/>
      <c r="F16261"/>
      <c r="G16261"/>
      <c r="H16261"/>
      <c r="I16261"/>
      <c r="J16261"/>
      <c r="K16261" s="1"/>
      <c r="L16261" s="2"/>
    </row>
    <row r="16262" spans="1:12" x14ac:dyDescent="0.2">
      <c r="A16262"/>
      <c r="B16262"/>
      <c r="C16262"/>
      <c r="D16262"/>
      <c r="E16262"/>
      <c r="F16262"/>
      <c r="G16262"/>
      <c r="H16262"/>
      <c r="I16262"/>
      <c r="J16262"/>
      <c r="K16262" s="1"/>
      <c r="L16262" s="2"/>
    </row>
    <row r="16263" spans="1:12" x14ac:dyDescent="0.2">
      <c r="A16263"/>
      <c r="B16263"/>
      <c r="C16263"/>
      <c r="D16263"/>
      <c r="E16263"/>
      <c r="F16263"/>
      <c r="G16263"/>
      <c r="H16263"/>
      <c r="I16263"/>
      <c r="J16263"/>
      <c r="K16263" s="1"/>
      <c r="L16263" s="2"/>
    </row>
    <row r="16264" spans="1:12" x14ac:dyDescent="0.2">
      <c r="A16264"/>
      <c r="B16264"/>
      <c r="C16264"/>
      <c r="D16264"/>
      <c r="E16264"/>
      <c r="F16264"/>
      <c r="G16264"/>
      <c r="H16264"/>
      <c r="I16264"/>
      <c r="J16264"/>
      <c r="K16264" s="1"/>
      <c r="L16264" s="2"/>
    </row>
    <row r="16265" spans="1:12" x14ac:dyDescent="0.2">
      <c r="A16265"/>
      <c r="B16265"/>
      <c r="C16265"/>
      <c r="D16265"/>
      <c r="E16265"/>
      <c r="F16265"/>
      <c r="G16265"/>
      <c r="H16265"/>
      <c r="I16265"/>
      <c r="J16265"/>
      <c r="K16265" s="1"/>
      <c r="L16265" s="2"/>
    </row>
    <row r="16266" spans="1:12" x14ac:dyDescent="0.2">
      <c r="A16266"/>
      <c r="B16266"/>
      <c r="C16266"/>
      <c r="D16266"/>
      <c r="E16266"/>
      <c r="F16266"/>
      <c r="G16266"/>
      <c r="H16266"/>
      <c r="I16266"/>
      <c r="J16266"/>
      <c r="K16266" s="1"/>
      <c r="L16266" s="2"/>
    </row>
    <row r="16267" spans="1:12" x14ac:dyDescent="0.2">
      <c r="A16267"/>
      <c r="B16267"/>
      <c r="C16267"/>
      <c r="D16267"/>
      <c r="E16267"/>
      <c r="F16267"/>
      <c r="G16267"/>
      <c r="H16267"/>
      <c r="I16267"/>
      <c r="J16267"/>
      <c r="K16267" s="1"/>
      <c r="L16267" s="2"/>
    </row>
    <row r="16268" spans="1:12" x14ac:dyDescent="0.2">
      <c r="A16268"/>
      <c r="B16268"/>
      <c r="C16268"/>
      <c r="D16268"/>
      <c r="E16268"/>
      <c r="F16268"/>
      <c r="G16268"/>
      <c r="H16268"/>
      <c r="I16268"/>
      <c r="J16268"/>
      <c r="K16268" s="1"/>
      <c r="L16268" s="2"/>
    </row>
    <row r="16269" spans="1:12" x14ac:dyDescent="0.2">
      <c r="A16269"/>
      <c r="B16269"/>
      <c r="C16269"/>
      <c r="D16269"/>
      <c r="E16269"/>
      <c r="F16269"/>
      <c r="G16269"/>
      <c r="H16269"/>
      <c r="I16269"/>
      <c r="J16269"/>
      <c r="K16269" s="1"/>
      <c r="L16269" s="2"/>
    </row>
    <row r="16270" spans="1:12" x14ac:dyDescent="0.2">
      <c r="A16270"/>
      <c r="B16270"/>
      <c r="C16270"/>
      <c r="D16270"/>
      <c r="E16270"/>
      <c r="F16270"/>
      <c r="G16270"/>
      <c r="H16270"/>
      <c r="I16270"/>
      <c r="J16270"/>
      <c r="K16270" s="1"/>
      <c r="L16270" s="2"/>
    </row>
    <row r="16271" spans="1:12" x14ac:dyDescent="0.2">
      <c r="A16271"/>
      <c r="B16271"/>
      <c r="C16271"/>
      <c r="D16271"/>
      <c r="E16271"/>
      <c r="F16271"/>
      <c r="G16271"/>
      <c r="H16271"/>
      <c r="I16271"/>
      <c r="J16271"/>
      <c r="K16271" s="1"/>
      <c r="L16271" s="2"/>
    </row>
    <row r="16272" spans="1:12" x14ac:dyDescent="0.2">
      <c r="A16272"/>
      <c r="B16272"/>
      <c r="C16272"/>
      <c r="D16272"/>
      <c r="E16272"/>
      <c r="F16272"/>
      <c r="G16272"/>
      <c r="H16272"/>
      <c r="I16272"/>
      <c r="J16272"/>
      <c r="K16272" s="1"/>
      <c r="L16272" s="2"/>
    </row>
    <row r="16273" spans="1:12" x14ac:dyDescent="0.2">
      <c r="A16273"/>
      <c r="B16273"/>
      <c r="C16273"/>
      <c r="D16273"/>
      <c r="E16273"/>
      <c r="F16273"/>
      <c r="G16273"/>
      <c r="H16273"/>
      <c r="I16273"/>
      <c r="J16273"/>
      <c r="K16273" s="1"/>
      <c r="L16273" s="2"/>
    </row>
    <row r="16274" spans="1:12" x14ac:dyDescent="0.2">
      <c r="A16274"/>
      <c r="B16274"/>
      <c r="C16274"/>
      <c r="D16274"/>
      <c r="E16274"/>
      <c r="F16274"/>
      <c r="G16274"/>
      <c r="H16274"/>
      <c r="I16274"/>
      <c r="J16274"/>
      <c r="K16274" s="1"/>
      <c r="L16274" s="2"/>
    </row>
    <row r="16275" spans="1:12" x14ac:dyDescent="0.2">
      <c r="A16275"/>
      <c r="B16275"/>
      <c r="C16275"/>
      <c r="D16275"/>
      <c r="E16275"/>
      <c r="F16275"/>
      <c r="G16275"/>
      <c r="H16275"/>
      <c r="I16275"/>
      <c r="J16275"/>
      <c r="K16275" s="1"/>
      <c r="L16275" s="2"/>
    </row>
    <row r="16276" spans="1:12" x14ac:dyDescent="0.2">
      <c r="A16276"/>
      <c r="B16276"/>
      <c r="C16276"/>
      <c r="D16276"/>
      <c r="E16276"/>
      <c r="F16276"/>
      <c r="G16276"/>
      <c r="H16276"/>
      <c r="I16276"/>
      <c r="J16276"/>
      <c r="K16276" s="1"/>
      <c r="L16276" s="2"/>
    </row>
    <row r="16277" spans="1:12" x14ac:dyDescent="0.2">
      <c r="A16277"/>
      <c r="B16277"/>
      <c r="C16277"/>
      <c r="D16277"/>
      <c r="E16277"/>
      <c r="F16277"/>
      <c r="G16277"/>
      <c r="H16277"/>
      <c r="I16277"/>
      <c r="J16277"/>
      <c r="K16277" s="1"/>
      <c r="L16277" s="2"/>
    </row>
    <row r="16278" spans="1:12" x14ac:dyDescent="0.2">
      <c r="A16278"/>
      <c r="B16278"/>
      <c r="C16278"/>
      <c r="D16278"/>
      <c r="E16278"/>
      <c r="F16278"/>
      <c r="G16278"/>
      <c r="H16278"/>
      <c r="I16278"/>
      <c r="J16278"/>
      <c r="K16278" s="1"/>
      <c r="L16278" s="2"/>
    </row>
    <row r="16279" spans="1:12" x14ac:dyDescent="0.2">
      <c r="A16279"/>
      <c r="B16279"/>
      <c r="C16279"/>
      <c r="D16279"/>
      <c r="E16279"/>
      <c r="F16279"/>
      <c r="G16279"/>
      <c r="H16279"/>
      <c r="I16279"/>
      <c r="J16279"/>
      <c r="K16279" s="1"/>
      <c r="L16279" s="2"/>
    </row>
    <row r="16280" spans="1:12" x14ac:dyDescent="0.2">
      <c r="A16280"/>
      <c r="B16280"/>
      <c r="C16280"/>
      <c r="D16280"/>
      <c r="E16280"/>
      <c r="F16280"/>
      <c r="G16280"/>
      <c r="H16280"/>
      <c r="I16280"/>
      <c r="J16280"/>
      <c r="K16280" s="1"/>
      <c r="L16280" s="2"/>
    </row>
    <row r="16281" spans="1:12" x14ac:dyDescent="0.2">
      <c r="A16281"/>
      <c r="B16281"/>
      <c r="C16281"/>
      <c r="D16281"/>
      <c r="E16281"/>
      <c r="F16281"/>
      <c r="G16281"/>
      <c r="H16281"/>
      <c r="I16281"/>
      <c r="J16281"/>
      <c r="K16281" s="1"/>
      <c r="L16281" s="2"/>
    </row>
    <row r="16282" spans="1:12" x14ac:dyDescent="0.2">
      <c r="A16282"/>
      <c r="B16282"/>
      <c r="C16282"/>
      <c r="D16282"/>
      <c r="E16282"/>
      <c r="F16282"/>
      <c r="G16282"/>
      <c r="H16282"/>
      <c r="I16282"/>
      <c r="J16282"/>
      <c r="K16282" s="1"/>
      <c r="L16282" s="2"/>
    </row>
    <row r="16283" spans="1:12" x14ac:dyDescent="0.2">
      <c r="A16283"/>
      <c r="B16283"/>
      <c r="C16283"/>
      <c r="D16283"/>
      <c r="E16283"/>
      <c r="F16283"/>
      <c r="G16283"/>
      <c r="H16283"/>
      <c r="I16283"/>
      <c r="J16283"/>
      <c r="K16283" s="1"/>
      <c r="L16283" s="2"/>
    </row>
    <row r="16284" spans="1:12" x14ac:dyDescent="0.2">
      <c r="A16284"/>
      <c r="B16284"/>
      <c r="C16284"/>
      <c r="D16284"/>
      <c r="E16284"/>
      <c r="F16284"/>
      <c r="G16284"/>
      <c r="H16284"/>
      <c r="I16284"/>
      <c r="J16284"/>
      <c r="K16284" s="1"/>
      <c r="L16284" s="2"/>
    </row>
    <row r="16285" spans="1:12" x14ac:dyDescent="0.2">
      <c r="A16285"/>
      <c r="B16285"/>
      <c r="C16285"/>
      <c r="D16285"/>
      <c r="E16285"/>
      <c r="F16285"/>
      <c r="G16285"/>
      <c r="H16285"/>
      <c r="I16285"/>
      <c r="J16285"/>
      <c r="K16285" s="1"/>
      <c r="L16285" s="2"/>
    </row>
    <row r="16286" spans="1:12" x14ac:dyDescent="0.2">
      <c r="A16286"/>
      <c r="B16286"/>
      <c r="C16286"/>
      <c r="D16286"/>
      <c r="E16286"/>
      <c r="F16286"/>
      <c r="G16286"/>
      <c r="H16286"/>
      <c r="I16286"/>
      <c r="J16286"/>
      <c r="K16286" s="1"/>
      <c r="L16286" s="2"/>
    </row>
    <row r="16287" spans="1:12" x14ac:dyDescent="0.2">
      <c r="A16287"/>
      <c r="B16287"/>
      <c r="C16287"/>
      <c r="D16287"/>
      <c r="E16287"/>
      <c r="F16287"/>
      <c r="G16287"/>
      <c r="H16287"/>
      <c r="I16287"/>
      <c r="J16287"/>
      <c r="K16287" s="1"/>
      <c r="L16287" s="2"/>
    </row>
    <row r="16288" spans="1:12" x14ac:dyDescent="0.2">
      <c r="A16288"/>
      <c r="B16288"/>
      <c r="C16288"/>
      <c r="D16288"/>
      <c r="E16288"/>
      <c r="F16288"/>
      <c r="G16288"/>
      <c r="H16288"/>
      <c r="I16288"/>
      <c r="J16288"/>
      <c r="K16288" s="1"/>
      <c r="L16288" s="2"/>
    </row>
    <row r="16289" spans="1:12" x14ac:dyDescent="0.2">
      <c r="A16289"/>
      <c r="B16289"/>
      <c r="C16289"/>
      <c r="D16289"/>
      <c r="E16289"/>
      <c r="F16289"/>
      <c r="G16289"/>
      <c r="H16289"/>
      <c r="I16289"/>
      <c r="J16289"/>
      <c r="K16289" s="1"/>
      <c r="L16289" s="2"/>
    </row>
    <row r="16290" spans="1:12" x14ac:dyDescent="0.2">
      <c r="A16290"/>
      <c r="B16290"/>
      <c r="C16290"/>
      <c r="D16290"/>
      <c r="E16290"/>
      <c r="F16290"/>
      <c r="G16290"/>
      <c r="H16290"/>
      <c r="I16290"/>
      <c r="J16290"/>
      <c r="K16290" s="1"/>
      <c r="L16290" s="2"/>
    </row>
    <row r="16291" spans="1:12" x14ac:dyDescent="0.2">
      <c r="A16291"/>
      <c r="B16291"/>
      <c r="C16291"/>
      <c r="D16291"/>
      <c r="E16291"/>
      <c r="F16291"/>
      <c r="G16291"/>
      <c r="H16291"/>
      <c r="I16291"/>
      <c r="J16291"/>
      <c r="K16291" s="1"/>
      <c r="L16291" s="2"/>
    </row>
    <row r="16292" spans="1:12" x14ac:dyDescent="0.2">
      <c r="A16292"/>
      <c r="B16292"/>
      <c r="C16292"/>
      <c r="D16292"/>
      <c r="E16292"/>
      <c r="F16292"/>
      <c r="G16292"/>
      <c r="H16292"/>
      <c r="I16292"/>
      <c r="J16292"/>
      <c r="K16292" s="1"/>
      <c r="L16292" s="2"/>
    </row>
    <row r="16293" spans="1:12" x14ac:dyDescent="0.2">
      <c r="A16293"/>
      <c r="B16293"/>
      <c r="C16293"/>
      <c r="D16293"/>
      <c r="E16293"/>
      <c r="F16293"/>
      <c r="G16293"/>
      <c r="H16293"/>
      <c r="I16293"/>
      <c r="J16293"/>
      <c r="K16293" s="1"/>
      <c r="L16293" s="2"/>
    </row>
    <row r="16294" spans="1:12" x14ac:dyDescent="0.2">
      <c r="A16294"/>
      <c r="B16294"/>
      <c r="C16294"/>
      <c r="D16294"/>
      <c r="E16294"/>
      <c r="F16294"/>
      <c r="G16294"/>
      <c r="H16294"/>
      <c r="I16294"/>
      <c r="J16294"/>
      <c r="K16294" s="1"/>
      <c r="L16294" s="2"/>
    </row>
    <row r="16295" spans="1:12" x14ac:dyDescent="0.2">
      <c r="A16295"/>
      <c r="B16295"/>
      <c r="C16295"/>
      <c r="D16295"/>
      <c r="E16295"/>
      <c r="F16295"/>
      <c r="G16295"/>
      <c r="H16295"/>
      <c r="I16295"/>
      <c r="J16295"/>
      <c r="K16295" s="1"/>
      <c r="L16295" s="2"/>
    </row>
    <row r="16296" spans="1:12" x14ac:dyDescent="0.2">
      <c r="A16296"/>
      <c r="B16296"/>
      <c r="C16296"/>
      <c r="D16296"/>
      <c r="E16296"/>
      <c r="F16296"/>
      <c r="G16296"/>
      <c r="H16296"/>
      <c r="I16296"/>
      <c r="J16296"/>
      <c r="K16296" s="1"/>
      <c r="L16296" s="2"/>
    </row>
    <row r="16297" spans="1:12" x14ac:dyDescent="0.2">
      <c r="A16297"/>
      <c r="B16297"/>
      <c r="C16297"/>
      <c r="D16297"/>
      <c r="E16297"/>
      <c r="F16297"/>
      <c r="G16297"/>
      <c r="H16297"/>
      <c r="I16297"/>
      <c r="J16297"/>
      <c r="K16297" s="1"/>
      <c r="L16297" s="2"/>
    </row>
    <row r="16298" spans="1:12" x14ac:dyDescent="0.2">
      <c r="A16298"/>
      <c r="B16298"/>
      <c r="C16298"/>
      <c r="D16298"/>
      <c r="E16298"/>
      <c r="F16298"/>
      <c r="G16298"/>
      <c r="H16298"/>
      <c r="I16298"/>
      <c r="J16298"/>
      <c r="K16298" s="1"/>
      <c r="L16298" s="2"/>
    </row>
    <row r="16299" spans="1:12" x14ac:dyDescent="0.2">
      <c r="A16299"/>
      <c r="B16299"/>
      <c r="C16299"/>
      <c r="D16299"/>
      <c r="E16299"/>
      <c r="F16299"/>
      <c r="G16299"/>
      <c r="H16299"/>
      <c r="I16299"/>
      <c r="J16299"/>
      <c r="K16299" s="1"/>
      <c r="L16299" s="2"/>
    </row>
    <row r="16300" spans="1:12" x14ac:dyDescent="0.2">
      <c r="A16300"/>
      <c r="B16300"/>
      <c r="C16300"/>
      <c r="D16300"/>
      <c r="E16300"/>
      <c r="F16300"/>
      <c r="G16300"/>
      <c r="H16300"/>
      <c r="I16300"/>
      <c r="J16300"/>
      <c r="K16300" s="1"/>
      <c r="L16300" s="2"/>
    </row>
    <row r="16301" spans="1:12" x14ac:dyDescent="0.2">
      <c r="A16301"/>
      <c r="B16301"/>
      <c r="C16301"/>
      <c r="D16301"/>
      <c r="E16301"/>
      <c r="F16301"/>
      <c r="G16301"/>
      <c r="H16301"/>
      <c r="I16301"/>
      <c r="J16301"/>
      <c r="K16301" s="1"/>
      <c r="L16301" s="2"/>
    </row>
    <row r="16302" spans="1:12" x14ac:dyDescent="0.2">
      <c r="A16302"/>
      <c r="B16302"/>
      <c r="C16302"/>
      <c r="D16302"/>
      <c r="E16302"/>
      <c r="F16302"/>
      <c r="G16302"/>
      <c r="H16302"/>
      <c r="I16302"/>
      <c r="J16302"/>
      <c r="K16302" s="1"/>
      <c r="L16302" s="2"/>
    </row>
    <row r="16303" spans="1:12" x14ac:dyDescent="0.2">
      <c r="A16303"/>
      <c r="B16303"/>
      <c r="C16303"/>
      <c r="D16303"/>
      <c r="E16303"/>
      <c r="F16303"/>
      <c r="G16303"/>
      <c r="H16303"/>
      <c r="I16303"/>
      <c r="J16303"/>
      <c r="K16303" s="1"/>
      <c r="L16303" s="2"/>
    </row>
    <row r="16304" spans="1:12" x14ac:dyDescent="0.2">
      <c r="A16304"/>
      <c r="B16304"/>
      <c r="C16304"/>
      <c r="D16304"/>
      <c r="E16304"/>
      <c r="F16304"/>
      <c r="G16304"/>
      <c r="H16304"/>
      <c r="I16304"/>
      <c r="J16304"/>
      <c r="K16304" s="1"/>
      <c r="L16304" s="2"/>
    </row>
    <row r="16305" spans="1:12" x14ac:dyDescent="0.2">
      <c r="A16305"/>
      <c r="B16305"/>
      <c r="C16305"/>
      <c r="D16305"/>
      <c r="E16305"/>
      <c r="F16305"/>
      <c r="G16305"/>
      <c r="H16305"/>
      <c r="I16305"/>
      <c r="J16305"/>
      <c r="K16305" s="1"/>
      <c r="L16305" s="2"/>
    </row>
    <row r="16306" spans="1:12" x14ac:dyDescent="0.2">
      <c r="A16306"/>
      <c r="B16306"/>
      <c r="C16306"/>
      <c r="D16306"/>
      <c r="E16306"/>
      <c r="F16306"/>
      <c r="G16306"/>
      <c r="H16306"/>
      <c r="I16306"/>
      <c r="J16306"/>
      <c r="K16306" s="1"/>
      <c r="L16306" s="2"/>
    </row>
    <row r="16307" spans="1:12" x14ac:dyDescent="0.2">
      <c r="A16307"/>
      <c r="B16307"/>
      <c r="C16307"/>
      <c r="D16307"/>
      <c r="E16307"/>
      <c r="F16307"/>
      <c r="G16307"/>
      <c r="H16307"/>
      <c r="I16307"/>
      <c r="J16307"/>
      <c r="K16307" s="1"/>
      <c r="L16307" s="2"/>
    </row>
    <row r="16308" spans="1:12" x14ac:dyDescent="0.2">
      <c r="A16308"/>
      <c r="B16308"/>
      <c r="C16308"/>
      <c r="D16308"/>
      <c r="E16308"/>
      <c r="F16308"/>
      <c r="G16308"/>
      <c r="H16308"/>
      <c r="I16308"/>
      <c r="J16308"/>
      <c r="K16308" s="1"/>
      <c r="L16308" s="2"/>
    </row>
    <row r="16309" spans="1:12" x14ac:dyDescent="0.2">
      <c r="A16309"/>
      <c r="B16309"/>
      <c r="C16309"/>
      <c r="D16309"/>
      <c r="E16309"/>
      <c r="F16309"/>
      <c r="G16309"/>
      <c r="H16309"/>
      <c r="I16309"/>
      <c r="J16309"/>
      <c r="K16309" s="1"/>
      <c r="L16309" s="2"/>
    </row>
    <row r="16310" spans="1:12" x14ac:dyDescent="0.2">
      <c r="A16310"/>
      <c r="B16310"/>
      <c r="C16310"/>
      <c r="D16310"/>
      <c r="E16310"/>
      <c r="F16310"/>
      <c r="G16310"/>
      <c r="H16310"/>
      <c r="I16310"/>
      <c r="J16310"/>
      <c r="K16310" s="1"/>
      <c r="L16310" s="2"/>
    </row>
    <row r="16311" spans="1:12" x14ac:dyDescent="0.2">
      <c r="A16311"/>
      <c r="B16311"/>
      <c r="C16311"/>
      <c r="D16311"/>
      <c r="E16311"/>
      <c r="F16311"/>
      <c r="G16311"/>
      <c r="H16311"/>
      <c r="I16311"/>
      <c r="J16311"/>
      <c r="K16311" s="1"/>
      <c r="L16311" s="2"/>
    </row>
    <row r="16312" spans="1:12" x14ac:dyDescent="0.2">
      <c r="A16312"/>
      <c r="B16312"/>
      <c r="C16312"/>
      <c r="D16312"/>
      <c r="E16312"/>
      <c r="F16312"/>
      <c r="G16312"/>
      <c r="H16312"/>
      <c r="I16312"/>
      <c r="J16312"/>
      <c r="K16312" s="1"/>
      <c r="L16312" s="2"/>
    </row>
    <row r="16313" spans="1:12" x14ac:dyDescent="0.2">
      <c r="A16313"/>
      <c r="B16313"/>
      <c r="C16313"/>
      <c r="D16313"/>
      <c r="E16313"/>
      <c r="F16313"/>
      <c r="G16313"/>
      <c r="H16313"/>
      <c r="I16313"/>
      <c r="J16313"/>
      <c r="K16313" s="1"/>
      <c r="L16313" s="2"/>
    </row>
    <row r="16314" spans="1:12" x14ac:dyDescent="0.2">
      <c r="A16314"/>
      <c r="B16314"/>
      <c r="C16314"/>
      <c r="D16314"/>
      <c r="E16314"/>
      <c r="F16314"/>
      <c r="G16314"/>
      <c r="H16314"/>
      <c r="I16314"/>
      <c r="J16314"/>
      <c r="K16314" s="1"/>
      <c r="L16314" s="2"/>
    </row>
    <row r="16315" spans="1:12" x14ac:dyDescent="0.2">
      <c r="A16315"/>
      <c r="B16315"/>
      <c r="C16315"/>
      <c r="D16315"/>
      <c r="E16315"/>
      <c r="F16315"/>
      <c r="G16315"/>
      <c r="H16315"/>
      <c r="I16315"/>
      <c r="J16315"/>
      <c r="K16315" s="1"/>
      <c r="L16315" s="2"/>
    </row>
    <row r="16316" spans="1:12" x14ac:dyDescent="0.2">
      <c r="A16316"/>
      <c r="B16316"/>
      <c r="C16316"/>
      <c r="D16316"/>
      <c r="E16316"/>
      <c r="F16316"/>
      <c r="G16316"/>
      <c r="H16316"/>
      <c r="I16316"/>
      <c r="J16316"/>
      <c r="K16316" s="1"/>
      <c r="L16316" s="2"/>
    </row>
    <row r="16317" spans="1:12" x14ac:dyDescent="0.2">
      <c r="A16317"/>
      <c r="B16317"/>
      <c r="C16317"/>
      <c r="D16317"/>
      <c r="E16317"/>
      <c r="F16317"/>
      <c r="G16317"/>
      <c r="H16317"/>
      <c r="I16317"/>
      <c r="J16317"/>
      <c r="K16317" s="1"/>
      <c r="L16317" s="2"/>
    </row>
    <row r="16318" spans="1:12" x14ac:dyDescent="0.2">
      <c r="A16318"/>
      <c r="B16318"/>
      <c r="C16318"/>
      <c r="D16318"/>
      <c r="E16318"/>
      <c r="F16318"/>
      <c r="G16318"/>
      <c r="H16318"/>
      <c r="I16318"/>
      <c r="J16318"/>
      <c r="K16318" s="1"/>
      <c r="L16318" s="2"/>
    </row>
    <row r="16319" spans="1:12" x14ac:dyDescent="0.2">
      <c r="A16319"/>
      <c r="B16319"/>
      <c r="C16319"/>
      <c r="D16319"/>
      <c r="E16319"/>
      <c r="F16319"/>
      <c r="G16319"/>
      <c r="H16319"/>
      <c r="I16319"/>
      <c r="J16319"/>
      <c r="K16319" s="1"/>
      <c r="L16319" s="2"/>
    </row>
    <row r="16320" spans="1:12" x14ac:dyDescent="0.2">
      <c r="A16320"/>
      <c r="B16320"/>
      <c r="C16320"/>
      <c r="D16320"/>
      <c r="E16320"/>
      <c r="F16320"/>
      <c r="G16320"/>
      <c r="H16320"/>
      <c r="I16320"/>
      <c r="J16320"/>
      <c r="K16320" s="1"/>
      <c r="L16320" s="2"/>
    </row>
    <row r="16321" spans="1:12" x14ac:dyDescent="0.2">
      <c r="A16321"/>
      <c r="B16321"/>
      <c r="C16321"/>
      <c r="D16321"/>
      <c r="E16321"/>
      <c r="F16321"/>
      <c r="G16321"/>
      <c r="H16321"/>
      <c r="I16321"/>
      <c r="J16321"/>
      <c r="K16321" s="1"/>
      <c r="L16321" s="2"/>
    </row>
    <row r="16322" spans="1:12" x14ac:dyDescent="0.2">
      <c r="A16322"/>
      <c r="B16322"/>
      <c r="C16322"/>
      <c r="D16322"/>
      <c r="E16322"/>
      <c r="F16322"/>
      <c r="G16322"/>
      <c r="H16322"/>
      <c r="I16322"/>
      <c r="J16322"/>
      <c r="K16322" s="1"/>
      <c r="L16322" s="2"/>
    </row>
    <row r="16323" spans="1:12" x14ac:dyDescent="0.2">
      <c r="A16323"/>
      <c r="B16323"/>
      <c r="C16323"/>
      <c r="D16323"/>
      <c r="E16323"/>
      <c r="F16323"/>
      <c r="G16323"/>
      <c r="H16323"/>
      <c r="I16323"/>
      <c r="J16323"/>
      <c r="K16323" s="1"/>
      <c r="L16323" s="2"/>
    </row>
    <row r="16324" spans="1:12" x14ac:dyDescent="0.2">
      <c r="A16324"/>
      <c r="B16324"/>
      <c r="C16324"/>
      <c r="D16324"/>
      <c r="E16324"/>
      <c r="F16324"/>
      <c r="G16324"/>
      <c r="H16324"/>
      <c r="I16324"/>
      <c r="J16324"/>
      <c r="K16324" s="1"/>
      <c r="L16324" s="2"/>
    </row>
    <row r="16325" spans="1:12" x14ac:dyDescent="0.2">
      <c r="A16325"/>
      <c r="B16325"/>
      <c r="C16325"/>
      <c r="D16325"/>
      <c r="E16325"/>
      <c r="F16325"/>
      <c r="G16325"/>
      <c r="H16325"/>
      <c r="I16325"/>
      <c r="J16325"/>
      <c r="K16325" s="1"/>
      <c r="L16325" s="2"/>
    </row>
    <row r="16326" spans="1:12" x14ac:dyDescent="0.2">
      <c r="A16326"/>
      <c r="B16326"/>
      <c r="C16326"/>
      <c r="D16326"/>
      <c r="E16326"/>
      <c r="F16326"/>
      <c r="G16326"/>
      <c r="H16326"/>
      <c r="I16326"/>
      <c r="J16326"/>
      <c r="K16326" s="1"/>
      <c r="L16326" s="2"/>
    </row>
    <row r="16327" spans="1:12" x14ac:dyDescent="0.2">
      <c r="A16327"/>
      <c r="B16327"/>
      <c r="C16327"/>
      <c r="D16327"/>
      <c r="E16327"/>
      <c r="F16327"/>
      <c r="G16327"/>
      <c r="H16327"/>
      <c r="I16327"/>
      <c r="J16327"/>
      <c r="K16327" s="1"/>
      <c r="L16327" s="2"/>
    </row>
    <row r="16328" spans="1:12" x14ac:dyDescent="0.2">
      <c r="A16328"/>
      <c r="B16328"/>
      <c r="C16328"/>
      <c r="D16328"/>
      <c r="E16328"/>
      <c r="F16328"/>
      <c r="G16328"/>
      <c r="H16328"/>
      <c r="I16328"/>
      <c r="J16328"/>
      <c r="K16328" s="1"/>
      <c r="L16328" s="2"/>
    </row>
    <row r="16329" spans="1:12" x14ac:dyDescent="0.2">
      <c r="A16329"/>
      <c r="B16329"/>
      <c r="C16329"/>
      <c r="D16329"/>
      <c r="E16329"/>
      <c r="F16329"/>
      <c r="G16329"/>
      <c r="H16329"/>
      <c r="I16329"/>
      <c r="J16329"/>
      <c r="K16329" s="1"/>
      <c r="L16329" s="2"/>
    </row>
    <row r="16330" spans="1:12" x14ac:dyDescent="0.2">
      <c r="A16330"/>
      <c r="B16330"/>
      <c r="C16330"/>
      <c r="D16330"/>
      <c r="E16330"/>
      <c r="F16330"/>
      <c r="G16330"/>
      <c r="H16330"/>
      <c r="I16330"/>
      <c r="J16330"/>
      <c r="K16330" s="1"/>
      <c r="L16330" s="2"/>
    </row>
    <row r="16331" spans="1:12" x14ac:dyDescent="0.2">
      <c r="A16331"/>
      <c r="B16331"/>
      <c r="C16331"/>
      <c r="D16331"/>
      <c r="E16331"/>
      <c r="F16331"/>
      <c r="G16331"/>
      <c r="H16331"/>
      <c r="I16331"/>
      <c r="J16331"/>
      <c r="K16331" s="1"/>
      <c r="L16331" s="2"/>
    </row>
    <row r="16332" spans="1:12" x14ac:dyDescent="0.2">
      <c r="A16332"/>
      <c r="B16332"/>
      <c r="C16332"/>
      <c r="D16332"/>
      <c r="E16332"/>
      <c r="F16332"/>
      <c r="G16332"/>
      <c r="H16332"/>
      <c r="I16332"/>
      <c r="J16332"/>
      <c r="K16332" s="1"/>
      <c r="L16332" s="2"/>
    </row>
    <row r="16333" spans="1:12" x14ac:dyDescent="0.2">
      <c r="A16333"/>
      <c r="B16333"/>
      <c r="C16333"/>
      <c r="D16333"/>
      <c r="E16333"/>
      <c r="F16333"/>
      <c r="G16333"/>
      <c r="H16333"/>
      <c r="I16333"/>
      <c r="J16333"/>
      <c r="K16333" s="1"/>
      <c r="L16333" s="2"/>
    </row>
    <row r="16334" spans="1:12" x14ac:dyDescent="0.2">
      <c r="A16334"/>
      <c r="B16334"/>
      <c r="C16334"/>
      <c r="D16334"/>
      <c r="E16334"/>
      <c r="F16334"/>
      <c r="G16334"/>
      <c r="H16334"/>
      <c r="I16334"/>
      <c r="J16334"/>
      <c r="K16334" s="1"/>
      <c r="L16334" s="2"/>
    </row>
    <row r="16335" spans="1:12" x14ac:dyDescent="0.2">
      <c r="A16335"/>
      <c r="B16335"/>
      <c r="C16335"/>
      <c r="D16335"/>
      <c r="E16335"/>
      <c r="F16335"/>
      <c r="G16335"/>
      <c r="H16335"/>
      <c r="I16335"/>
      <c r="J16335"/>
      <c r="K16335" s="1"/>
      <c r="L16335" s="2"/>
    </row>
    <row r="16336" spans="1:12" x14ac:dyDescent="0.2">
      <c r="A16336"/>
      <c r="B16336"/>
      <c r="C16336"/>
      <c r="D16336"/>
      <c r="E16336"/>
      <c r="F16336"/>
      <c r="G16336"/>
      <c r="H16336"/>
      <c r="I16336"/>
      <c r="J16336"/>
      <c r="K16336" s="1"/>
      <c r="L16336" s="2"/>
    </row>
    <row r="16337" spans="1:12" x14ac:dyDescent="0.2">
      <c r="A16337"/>
      <c r="B16337"/>
      <c r="C16337"/>
      <c r="D16337"/>
      <c r="E16337"/>
      <c r="F16337"/>
      <c r="G16337"/>
      <c r="H16337"/>
      <c r="I16337"/>
      <c r="J16337"/>
      <c r="K16337" s="1"/>
      <c r="L16337" s="2"/>
    </row>
    <row r="16338" spans="1:12" x14ac:dyDescent="0.2">
      <c r="A16338"/>
      <c r="B16338"/>
      <c r="C16338"/>
      <c r="D16338"/>
      <c r="E16338"/>
      <c r="F16338"/>
      <c r="G16338"/>
      <c r="H16338"/>
      <c r="I16338"/>
      <c r="J16338"/>
      <c r="K16338" s="1"/>
      <c r="L16338" s="2"/>
    </row>
    <row r="16339" spans="1:12" x14ac:dyDescent="0.2">
      <c r="A16339"/>
      <c r="B16339"/>
      <c r="C16339"/>
      <c r="D16339"/>
      <c r="E16339"/>
      <c r="F16339"/>
      <c r="G16339"/>
      <c r="H16339"/>
      <c r="I16339"/>
      <c r="J16339"/>
      <c r="K16339" s="1"/>
      <c r="L16339" s="2"/>
    </row>
    <row r="16340" spans="1:12" x14ac:dyDescent="0.2">
      <c r="A16340"/>
      <c r="B16340"/>
      <c r="C16340"/>
      <c r="D16340"/>
      <c r="E16340"/>
      <c r="F16340"/>
      <c r="G16340"/>
      <c r="H16340"/>
      <c r="I16340"/>
      <c r="J16340"/>
      <c r="K16340" s="1"/>
      <c r="L16340" s="2"/>
    </row>
    <row r="16341" spans="1:12" x14ac:dyDescent="0.2">
      <c r="A16341"/>
      <c r="B16341"/>
      <c r="C16341"/>
      <c r="D16341"/>
      <c r="E16341"/>
      <c r="F16341"/>
      <c r="G16341"/>
      <c r="H16341"/>
      <c r="I16341"/>
      <c r="J16341"/>
      <c r="K16341" s="1"/>
      <c r="L16341" s="2"/>
    </row>
    <row r="16342" spans="1:12" x14ac:dyDescent="0.2">
      <c r="A16342"/>
      <c r="B16342"/>
      <c r="C16342"/>
      <c r="D16342"/>
      <c r="E16342"/>
      <c r="F16342"/>
      <c r="G16342"/>
      <c r="H16342"/>
      <c r="I16342"/>
      <c r="J16342"/>
      <c r="K16342" s="1"/>
      <c r="L16342" s="2"/>
    </row>
    <row r="16343" spans="1:12" x14ac:dyDescent="0.2">
      <c r="A16343"/>
      <c r="B16343"/>
      <c r="C16343"/>
      <c r="D16343"/>
      <c r="E16343"/>
      <c r="F16343"/>
      <c r="G16343"/>
      <c r="H16343"/>
      <c r="I16343"/>
      <c r="J16343"/>
      <c r="K16343" s="1"/>
      <c r="L16343" s="2"/>
    </row>
    <row r="16344" spans="1:12" x14ac:dyDescent="0.2">
      <c r="A16344"/>
      <c r="B16344"/>
      <c r="C16344"/>
      <c r="D16344"/>
      <c r="E16344"/>
      <c r="F16344"/>
      <c r="G16344"/>
      <c r="H16344"/>
      <c r="I16344"/>
      <c r="J16344"/>
      <c r="K16344" s="1"/>
      <c r="L16344" s="2"/>
    </row>
    <row r="16345" spans="1:12" x14ac:dyDescent="0.2">
      <c r="A16345"/>
      <c r="B16345"/>
      <c r="C16345"/>
      <c r="D16345"/>
      <c r="E16345"/>
      <c r="F16345"/>
      <c r="G16345"/>
      <c r="H16345"/>
      <c r="I16345"/>
      <c r="J16345"/>
      <c r="K16345" s="1"/>
      <c r="L16345" s="2"/>
    </row>
    <row r="16346" spans="1:12" x14ac:dyDescent="0.2">
      <c r="A16346"/>
      <c r="B16346"/>
      <c r="C16346"/>
      <c r="D16346"/>
      <c r="E16346"/>
      <c r="F16346"/>
      <c r="G16346"/>
      <c r="H16346"/>
      <c r="I16346"/>
      <c r="J16346"/>
      <c r="K16346" s="1"/>
      <c r="L16346" s="2"/>
    </row>
    <row r="16347" spans="1:12" x14ac:dyDescent="0.2">
      <c r="A16347"/>
      <c r="B16347"/>
      <c r="C16347"/>
      <c r="D16347"/>
      <c r="E16347"/>
      <c r="F16347"/>
      <c r="G16347"/>
      <c r="H16347"/>
      <c r="I16347"/>
      <c r="J16347"/>
      <c r="K16347" s="1"/>
      <c r="L16347" s="2"/>
    </row>
    <row r="16348" spans="1:12" x14ac:dyDescent="0.2">
      <c r="A16348"/>
      <c r="B16348"/>
      <c r="C16348"/>
      <c r="D16348"/>
      <c r="E16348"/>
      <c r="F16348"/>
      <c r="G16348"/>
      <c r="H16348"/>
      <c r="I16348"/>
      <c r="J16348"/>
      <c r="K16348" s="1"/>
      <c r="L16348" s="2"/>
    </row>
    <row r="16349" spans="1:12" x14ac:dyDescent="0.2">
      <c r="A16349"/>
      <c r="B16349"/>
      <c r="C16349"/>
      <c r="D16349"/>
      <c r="E16349"/>
      <c r="F16349"/>
      <c r="G16349"/>
      <c r="H16349"/>
      <c r="I16349"/>
      <c r="J16349"/>
      <c r="K16349" s="1"/>
      <c r="L16349" s="2"/>
    </row>
    <row r="16350" spans="1:12" x14ac:dyDescent="0.2">
      <c r="A16350"/>
      <c r="B16350"/>
      <c r="C16350"/>
      <c r="D16350"/>
      <c r="E16350"/>
      <c r="F16350"/>
      <c r="G16350"/>
      <c r="H16350"/>
      <c r="I16350"/>
      <c r="J16350"/>
      <c r="K16350" s="1"/>
      <c r="L16350" s="2"/>
    </row>
    <row r="16351" spans="1:12" x14ac:dyDescent="0.2">
      <c r="A16351"/>
      <c r="B16351"/>
      <c r="C16351"/>
      <c r="D16351"/>
      <c r="E16351"/>
      <c r="F16351"/>
      <c r="G16351"/>
      <c r="H16351"/>
      <c r="I16351"/>
      <c r="J16351"/>
      <c r="K16351" s="1"/>
      <c r="L16351" s="2"/>
    </row>
    <row r="16352" spans="1:12" x14ac:dyDescent="0.2">
      <c r="A16352"/>
      <c r="B16352"/>
      <c r="C16352"/>
      <c r="D16352"/>
      <c r="E16352"/>
      <c r="F16352"/>
      <c r="G16352"/>
      <c r="H16352"/>
      <c r="I16352"/>
      <c r="J16352"/>
      <c r="K16352" s="1"/>
      <c r="L16352" s="2"/>
    </row>
    <row r="16353" spans="1:12" x14ac:dyDescent="0.2">
      <c r="A16353"/>
      <c r="B16353"/>
      <c r="C16353"/>
      <c r="D16353"/>
      <c r="E16353"/>
      <c r="F16353"/>
      <c r="G16353"/>
      <c r="H16353"/>
      <c r="I16353"/>
      <c r="J16353"/>
      <c r="K16353" s="1"/>
      <c r="L16353" s="2"/>
    </row>
    <row r="16354" spans="1:12" x14ac:dyDescent="0.2">
      <c r="A16354"/>
      <c r="B16354"/>
      <c r="C16354"/>
      <c r="D16354"/>
      <c r="E16354"/>
      <c r="F16354"/>
      <c r="G16354"/>
      <c r="H16354"/>
      <c r="I16354"/>
      <c r="J16354"/>
      <c r="K16354" s="1"/>
      <c r="L16354" s="2"/>
    </row>
    <row r="16355" spans="1:12" x14ac:dyDescent="0.2">
      <c r="A16355"/>
      <c r="B16355"/>
      <c r="C16355"/>
      <c r="D16355"/>
      <c r="E16355"/>
      <c r="F16355"/>
      <c r="G16355"/>
      <c r="H16355"/>
      <c r="I16355"/>
      <c r="J16355"/>
      <c r="K16355" s="1"/>
      <c r="L16355" s="2"/>
    </row>
    <row r="16356" spans="1:12" x14ac:dyDescent="0.2">
      <c r="A16356"/>
      <c r="B16356"/>
      <c r="C16356"/>
      <c r="D16356"/>
      <c r="E16356"/>
      <c r="F16356"/>
      <c r="G16356"/>
      <c r="H16356"/>
      <c r="I16356"/>
      <c r="J16356"/>
      <c r="K16356" s="1"/>
      <c r="L16356" s="2"/>
    </row>
    <row r="16357" spans="1:12" x14ac:dyDescent="0.2">
      <c r="A16357"/>
      <c r="B16357"/>
      <c r="C16357"/>
      <c r="D16357"/>
      <c r="E16357"/>
      <c r="F16357"/>
      <c r="G16357"/>
      <c r="H16357"/>
      <c r="I16357"/>
      <c r="J16357"/>
      <c r="K16357" s="1"/>
      <c r="L16357" s="2"/>
    </row>
    <row r="16358" spans="1:12" x14ac:dyDescent="0.2">
      <c r="A16358"/>
      <c r="B16358"/>
      <c r="C16358"/>
      <c r="D16358"/>
      <c r="E16358"/>
      <c r="F16358"/>
      <c r="G16358"/>
      <c r="H16358"/>
      <c r="I16358"/>
      <c r="J16358"/>
      <c r="K16358" s="1"/>
      <c r="L16358" s="2"/>
    </row>
    <row r="16359" spans="1:12" x14ac:dyDescent="0.2">
      <c r="A16359"/>
      <c r="B16359"/>
      <c r="C16359"/>
      <c r="D16359"/>
      <c r="E16359"/>
      <c r="F16359"/>
      <c r="G16359"/>
      <c r="H16359"/>
      <c r="I16359"/>
      <c r="J16359"/>
      <c r="K16359" s="1"/>
      <c r="L16359" s="2"/>
    </row>
    <row r="16360" spans="1:12" x14ac:dyDescent="0.2">
      <c r="A16360"/>
      <c r="B16360"/>
      <c r="C16360"/>
      <c r="D16360"/>
      <c r="E16360"/>
      <c r="F16360"/>
      <c r="G16360"/>
      <c r="H16360"/>
      <c r="I16360"/>
      <c r="J16360"/>
      <c r="K16360" s="1"/>
      <c r="L16360" s="2"/>
    </row>
    <row r="16361" spans="1:12" x14ac:dyDescent="0.2">
      <c r="A16361"/>
      <c r="B16361"/>
      <c r="C16361"/>
      <c r="D16361"/>
      <c r="E16361"/>
      <c r="F16361"/>
      <c r="G16361"/>
      <c r="H16361"/>
      <c r="I16361"/>
      <c r="J16361"/>
      <c r="K16361" s="1"/>
      <c r="L16361" s="2"/>
    </row>
    <row r="16362" spans="1:12" x14ac:dyDescent="0.2">
      <c r="A16362"/>
      <c r="B16362"/>
      <c r="C16362"/>
      <c r="D16362"/>
      <c r="E16362"/>
      <c r="F16362"/>
      <c r="G16362"/>
      <c r="H16362"/>
      <c r="I16362"/>
      <c r="J16362"/>
      <c r="K16362" s="1"/>
      <c r="L16362" s="2"/>
    </row>
    <row r="16363" spans="1:12" x14ac:dyDescent="0.2">
      <c r="A16363"/>
      <c r="B16363"/>
      <c r="C16363"/>
      <c r="D16363"/>
      <c r="E16363"/>
      <c r="F16363"/>
      <c r="G16363"/>
      <c r="H16363"/>
      <c r="I16363"/>
      <c r="J16363"/>
      <c r="K16363" s="1"/>
      <c r="L16363" s="2"/>
    </row>
    <row r="16364" spans="1:12" x14ac:dyDescent="0.2">
      <c r="A16364"/>
      <c r="B16364"/>
      <c r="C16364"/>
      <c r="D16364"/>
      <c r="E16364"/>
      <c r="F16364"/>
      <c r="G16364"/>
      <c r="H16364"/>
      <c r="I16364"/>
      <c r="J16364"/>
      <c r="K16364" s="1"/>
      <c r="L16364" s="2"/>
    </row>
    <row r="16365" spans="1:12" x14ac:dyDescent="0.2">
      <c r="A16365"/>
      <c r="B16365"/>
      <c r="C16365"/>
      <c r="D16365"/>
      <c r="E16365"/>
      <c r="F16365"/>
      <c r="G16365"/>
      <c r="H16365"/>
      <c r="I16365"/>
      <c r="J16365"/>
      <c r="K16365" s="1"/>
      <c r="L16365" s="2"/>
    </row>
    <row r="16366" spans="1:12" x14ac:dyDescent="0.2">
      <c r="A16366"/>
      <c r="B16366"/>
      <c r="C16366"/>
      <c r="D16366"/>
      <c r="E16366"/>
      <c r="F16366"/>
      <c r="G16366"/>
      <c r="H16366"/>
      <c r="I16366"/>
      <c r="J16366"/>
      <c r="K16366" s="1"/>
      <c r="L16366" s="2"/>
    </row>
    <row r="16367" spans="1:12" x14ac:dyDescent="0.2">
      <c r="A16367"/>
      <c r="B16367"/>
      <c r="C16367"/>
      <c r="D16367"/>
      <c r="E16367"/>
      <c r="F16367"/>
      <c r="G16367"/>
      <c r="H16367"/>
      <c r="I16367"/>
      <c r="J16367"/>
      <c r="K16367" s="1"/>
      <c r="L16367" s="2"/>
    </row>
    <row r="16368" spans="1:12" x14ac:dyDescent="0.2">
      <c r="A16368"/>
      <c r="B16368"/>
      <c r="C16368"/>
      <c r="D16368"/>
      <c r="E16368"/>
      <c r="F16368"/>
      <c r="G16368"/>
      <c r="H16368"/>
      <c r="I16368"/>
      <c r="J16368"/>
      <c r="K16368" s="1"/>
      <c r="L16368" s="2"/>
    </row>
    <row r="16369" spans="1:12" x14ac:dyDescent="0.2">
      <c r="A16369"/>
      <c r="B16369"/>
      <c r="C16369"/>
      <c r="D16369"/>
      <c r="E16369"/>
      <c r="F16369"/>
      <c r="G16369"/>
      <c r="H16369"/>
      <c r="I16369"/>
      <c r="J16369"/>
      <c r="K16369" s="1"/>
      <c r="L16369" s="2"/>
    </row>
    <row r="16370" spans="1:12" x14ac:dyDescent="0.2">
      <c r="A16370"/>
      <c r="B16370"/>
      <c r="C16370"/>
      <c r="D16370"/>
      <c r="E16370"/>
      <c r="F16370"/>
      <c r="G16370"/>
      <c r="H16370"/>
      <c r="I16370"/>
      <c r="J16370"/>
      <c r="K16370" s="1"/>
      <c r="L16370" s="2"/>
    </row>
    <row r="16371" spans="1:12" x14ac:dyDescent="0.2">
      <c r="A16371"/>
      <c r="B16371"/>
      <c r="C16371"/>
      <c r="D16371"/>
      <c r="E16371"/>
      <c r="F16371"/>
      <c r="G16371"/>
      <c r="H16371"/>
      <c r="I16371"/>
      <c r="J16371"/>
      <c r="K16371" s="1"/>
      <c r="L16371" s="2"/>
    </row>
    <row r="16372" spans="1:12" x14ac:dyDescent="0.2">
      <c r="A16372"/>
      <c r="B16372"/>
      <c r="C16372"/>
      <c r="D16372"/>
      <c r="E16372"/>
      <c r="F16372"/>
      <c r="G16372"/>
      <c r="H16372"/>
      <c r="I16372"/>
      <c r="J16372"/>
      <c r="K16372" s="1"/>
      <c r="L16372" s="2"/>
    </row>
    <row r="16373" spans="1:12" x14ac:dyDescent="0.2">
      <c r="A16373"/>
      <c r="B16373"/>
      <c r="C16373"/>
      <c r="D16373"/>
      <c r="E16373"/>
      <c r="F16373"/>
      <c r="G16373"/>
      <c r="H16373"/>
      <c r="I16373"/>
      <c r="J16373"/>
      <c r="K16373" s="1"/>
      <c r="L16373" s="2"/>
    </row>
    <row r="16374" spans="1:12" x14ac:dyDescent="0.2">
      <c r="A16374"/>
      <c r="B16374"/>
      <c r="C16374"/>
      <c r="D16374"/>
      <c r="E16374"/>
      <c r="F16374"/>
      <c r="G16374"/>
      <c r="H16374"/>
      <c r="I16374"/>
      <c r="J16374"/>
      <c r="K16374" s="1"/>
      <c r="L16374" s="2"/>
    </row>
    <row r="16375" spans="1:12" x14ac:dyDescent="0.2">
      <c r="A16375"/>
      <c r="B16375"/>
      <c r="C16375"/>
      <c r="D16375"/>
      <c r="E16375"/>
      <c r="F16375"/>
      <c r="G16375"/>
      <c r="H16375"/>
      <c r="I16375"/>
      <c r="J16375"/>
      <c r="K16375" s="1"/>
      <c r="L16375" s="2"/>
    </row>
    <row r="16376" spans="1:12" x14ac:dyDescent="0.2">
      <c r="A16376"/>
      <c r="B16376"/>
      <c r="C16376"/>
      <c r="D16376"/>
      <c r="E16376"/>
      <c r="F16376"/>
      <c r="G16376"/>
      <c r="H16376"/>
      <c r="I16376"/>
      <c r="J16376"/>
      <c r="K16376" s="1"/>
      <c r="L16376" s="2"/>
    </row>
    <row r="16377" spans="1:12" x14ac:dyDescent="0.2">
      <c r="A16377"/>
      <c r="B16377"/>
      <c r="C16377"/>
      <c r="D16377"/>
      <c r="E16377"/>
      <c r="F16377"/>
      <c r="G16377"/>
      <c r="H16377"/>
      <c r="I16377"/>
      <c r="J16377"/>
      <c r="K16377" s="1"/>
      <c r="L16377" s="2"/>
    </row>
    <row r="16378" spans="1:12" x14ac:dyDescent="0.2">
      <c r="A16378"/>
      <c r="B16378"/>
      <c r="C16378"/>
      <c r="D16378"/>
      <c r="E16378"/>
      <c r="F16378"/>
      <c r="G16378"/>
      <c r="H16378"/>
      <c r="I16378"/>
      <c r="J16378"/>
      <c r="K16378" s="1"/>
      <c r="L16378" s="2"/>
    </row>
    <row r="16379" spans="1:12" x14ac:dyDescent="0.2">
      <c r="A16379"/>
      <c r="B16379"/>
      <c r="C16379"/>
      <c r="D16379"/>
      <c r="E16379"/>
      <c r="F16379"/>
      <c r="G16379"/>
      <c r="H16379"/>
      <c r="I16379"/>
      <c r="J16379"/>
      <c r="K16379" s="1"/>
      <c r="L16379" s="2"/>
    </row>
    <row r="16380" spans="1:12" x14ac:dyDescent="0.2">
      <c r="A16380"/>
      <c r="B16380"/>
      <c r="C16380"/>
      <c r="D16380"/>
      <c r="E16380"/>
      <c r="F16380"/>
      <c r="G16380"/>
      <c r="H16380"/>
      <c r="I16380"/>
      <c r="J16380"/>
      <c r="K16380" s="1"/>
      <c r="L16380" s="2"/>
    </row>
    <row r="16381" spans="1:12" x14ac:dyDescent="0.2">
      <c r="A16381"/>
      <c r="B16381"/>
      <c r="C16381"/>
      <c r="D16381"/>
      <c r="E16381"/>
      <c r="F16381"/>
      <c r="G16381"/>
      <c r="H16381"/>
      <c r="I16381"/>
      <c r="J16381"/>
      <c r="K16381" s="1"/>
      <c r="L16381" s="2"/>
    </row>
    <row r="16382" spans="1:12" x14ac:dyDescent="0.2">
      <c r="A16382"/>
      <c r="B16382"/>
      <c r="C16382"/>
      <c r="D16382"/>
      <c r="E16382"/>
      <c r="F16382"/>
      <c r="G16382"/>
      <c r="H16382"/>
      <c r="I16382"/>
      <c r="J16382"/>
      <c r="K16382" s="1"/>
      <c r="L16382" s="2"/>
    </row>
    <row r="16383" spans="1:12" x14ac:dyDescent="0.2">
      <c r="A16383"/>
      <c r="B16383"/>
      <c r="C16383"/>
      <c r="D16383"/>
      <c r="E16383"/>
      <c r="F16383"/>
      <c r="G16383"/>
      <c r="H16383"/>
      <c r="I16383"/>
      <c r="J16383"/>
      <c r="K16383" s="1"/>
      <c r="L16383" s="2"/>
    </row>
    <row r="16384" spans="1:12" x14ac:dyDescent="0.2">
      <c r="A16384"/>
      <c r="B16384"/>
      <c r="C16384"/>
      <c r="D16384"/>
      <c r="E16384"/>
      <c r="F16384"/>
      <c r="G16384"/>
      <c r="H16384"/>
      <c r="I16384"/>
      <c r="J16384"/>
      <c r="K16384" s="1"/>
      <c r="L16384" s="2"/>
    </row>
    <row r="16385" spans="1:12" x14ac:dyDescent="0.2">
      <c r="A16385"/>
      <c r="B16385"/>
      <c r="C16385"/>
      <c r="D16385"/>
      <c r="E16385"/>
      <c r="F16385"/>
      <c r="G16385"/>
      <c r="H16385"/>
      <c r="I16385"/>
      <c r="J16385"/>
      <c r="K16385" s="1"/>
      <c r="L16385" s="2"/>
    </row>
    <row r="16386" spans="1:12" x14ac:dyDescent="0.2">
      <c r="A16386"/>
      <c r="B16386"/>
      <c r="C16386"/>
      <c r="D16386"/>
      <c r="E16386"/>
      <c r="F16386"/>
      <c r="G16386"/>
      <c r="H16386"/>
      <c r="I16386"/>
      <c r="J16386"/>
      <c r="K16386" s="1"/>
      <c r="L16386" s="2"/>
    </row>
    <row r="16387" spans="1:12" x14ac:dyDescent="0.2">
      <c r="A16387"/>
      <c r="B16387"/>
      <c r="C16387"/>
      <c r="D16387"/>
      <c r="E16387"/>
      <c r="F16387"/>
      <c r="G16387"/>
      <c r="H16387"/>
      <c r="I16387"/>
      <c r="J16387"/>
      <c r="K16387" s="1"/>
      <c r="L16387" s="2"/>
    </row>
    <row r="16388" spans="1:12" x14ac:dyDescent="0.2">
      <c r="A16388"/>
      <c r="B16388"/>
      <c r="C16388"/>
      <c r="D16388"/>
      <c r="E16388"/>
      <c r="F16388"/>
      <c r="G16388"/>
      <c r="H16388"/>
      <c r="I16388"/>
      <c r="J16388"/>
      <c r="K16388" s="1"/>
      <c r="L16388" s="2"/>
    </row>
    <row r="16389" spans="1:12" x14ac:dyDescent="0.2">
      <c r="A16389"/>
      <c r="B16389"/>
      <c r="C16389"/>
      <c r="D16389"/>
      <c r="E16389"/>
      <c r="F16389"/>
      <c r="G16389"/>
      <c r="H16389"/>
      <c r="I16389"/>
      <c r="J16389"/>
      <c r="K16389" s="1"/>
      <c r="L16389" s="2"/>
    </row>
    <row r="16390" spans="1:12" x14ac:dyDescent="0.2">
      <c r="A16390"/>
      <c r="B16390"/>
      <c r="C16390"/>
      <c r="D16390"/>
      <c r="E16390"/>
      <c r="F16390"/>
      <c r="G16390"/>
      <c r="H16390"/>
      <c r="I16390"/>
      <c r="J16390"/>
      <c r="K16390" s="1"/>
      <c r="L16390" s="2"/>
    </row>
    <row r="16391" spans="1:12" x14ac:dyDescent="0.2">
      <c r="A16391"/>
      <c r="B16391"/>
      <c r="C16391"/>
      <c r="D16391"/>
      <c r="E16391"/>
      <c r="F16391"/>
      <c r="G16391"/>
      <c r="H16391"/>
      <c r="I16391"/>
      <c r="J16391"/>
      <c r="K16391" s="1"/>
      <c r="L16391" s="2"/>
    </row>
    <row r="16392" spans="1:12" x14ac:dyDescent="0.2">
      <c r="A16392"/>
      <c r="B16392"/>
      <c r="C16392"/>
      <c r="D16392"/>
      <c r="E16392"/>
      <c r="F16392"/>
      <c r="G16392"/>
      <c r="H16392"/>
      <c r="I16392"/>
      <c r="J16392"/>
      <c r="K16392" s="1"/>
      <c r="L16392" s="2"/>
    </row>
    <row r="16393" spans="1:12" x14ac:dyDescent="0.2">
      <c r="A16393"/>
      <c r="B16393"/>
      <c r="C16393"/>
      <c r="D16393"/>
      <c r="E16393"/>
      <c r="F16393"/>
      <c r="G16393"/>
      <c r="H16393"/>
      <c r="I16393"/>
      <c r="J16393"/>
      <c r="K16393" s="1"/>
      <c r="L16393" s="2"/>
    </row>
    <row r="16394" spans="1:12" x14ac:dyDescent="0.2">
      <c r="A16394"/>
      <c r="B16394"/>
      <c r="C16394"/>
      <c r="D16394"/>
      <c r="E16394"/>
      <c r="F16394"/>
      <c r="G16394"/>
      <c r="H16394"/>
      <c r="I16394"/>
      <c r="J16394"/>
      <c r="K16394" s="1"/>
      <c r="L16394" s="2"/>
    </row>
    <row r="16395" spans="1:12" x14ac:dyDescent="0.2">
      <c r="A16395"/>
      <c r="B16395"/>
      <c r="C16395"/>
      <c r="D16395"/>
      <c r="E16395"/>
      <c r="F16395"/>
      <c r="G16395"/>
      <c r="H16395"/>
      <c r="I16395"/>
      <c r="J16395"/>
      <c r="K16395" s="1"/>
      <c r="L16395" s="2"/>
    </row>
    <row r="16396" spans="1:12" x14ac:dyDescent="0.2">
      <c r="A16396"/>
      <c r="B16396"/>
      <c r="C16396"/>
      <c r="D16396"/>
      <c r="E16396"/>
      <c r="F16396"/>
      <c r="G16396"/>
      <c r="H16396"/>
      <c r="I16396"/>
      <c r="J16396"/>
      <c r="K16396" s="1"/>
      <c r="L16396" s="2"/>
    </row>
    <row r="16397" spans="1:12" x14ac:dyDescent="0.2">
      <c r="A16397"/>
      <c r="B16397"/>
      <c r="C16397"/>
      <c r="D16397"/>
      <c r="E16397"/>
      <c r="F16397"/>
      <c r="G16397"/>
      <c r="H16397"/>
      <c r="I16397"/>
      <c r="J16397"/>
      <c r="K16397" s="1"/>
      <c r="L16397" s="2"/>
    </row>
    <row r="16398" spans="1:12" x14ac:dyDescent="0.2">
      <c r="A16398"/>
      <c r="B16398"/>
      <c r="C16398"/>
      <c r="D16398"/>
      <c r="E16398"/>
      <c r="F16398"/>
      <c r="G16398"/>
      <c r="H16398"/>
      <c r="I16398"/>
      <c r="J16398"/>
      <c r="K16398" s="1"/>
      <c r="L16398" s="2"/>
    </row>
    <row r="16399" spans="1:12" x14ac:dyDescent="0.2">
      <c r="A16399"/>
      <c r="B16399"/>
      <c r="C16399"/>
      <c r="D16399"/>
      <c r="E16399"/>
      <c r="F16399"/>
      <c r="G16399"/>
      <c r="H16399"/>
      <c r="I16399"/>
      <c r="J16399"/>
      <c r="K16399" s="1"/>
      <c r="L16399" s="2"/>
    </row>
    <row r="16400" spans="1:12" x14ac:dyDescent="0.2">
      <c r="A16400"/>
      <c r="B16400"/>
      <c r="C16400"/>
      <c r="D16400"/>
      <c r="E16400"/>
      <c r="F16400"/>
      <c r="G16400"/>
      <c r="H16400"/>
      <c r="I16400"/>
      <c r="J16400"/>
      <c r="K16400" s="1"/>
      <c r="L16400" s="2"/>
    </row>
    <row r="16401" spans="1:12" x14ac:dyDescent="0.2">
      <c r="A16401"/>
      <c r="B16401"/>
      <c r="C16401"/>
      <c r="D16401"/>
      <c r="E16401"/>
      <c r="F16401"/>
      <c r="G16401"/>
      <c r="H16401"/>
      <c r="I16401"/>
      <c r="J16401"/>
      <c r="K16401" s="1"/>
      <c r="L16401" s="2"/>
    </row>
    <row r="16402" spans="1:12" x14ac:dyDescent="0.2">
      <c r="A16402"/>
      <c r="B16402"/>
      <c r="C16402"/>
      <c r="D16402"/>
      <c r="E16402"/>
      <c r="F16402"/>
      <c r="G16402"/>
      <c r="H16402"/>
      <c r="I16402"/>
      <c r="J16402"/>
      <c r="K16402" s="1"/>
      <c r="L16402" s="2"/>
    </row>
    <row r="16403" spans="1:12" x14ac:dyDescent="0.2">
      <c r="A16403"/>
      <c r="B16403"/>
      <c r="C16403"/>
      <c r="D16403"/>
      <c r="E16403"/>
      <c r="F16403"/>
      <c r="G16403"/>
      <c r="H16403"/>
      <c r="I16403"/>
      <c r="J16403"/>
      <c r="K16403" s="1"/>
      <c r="L16403" s="2"/>
    </row>
    <row r="16404" spans="1:12" x14ac:dyDescent="0.2">
      <c r="A16404"/>
      <c r="B16404"/>
      <c r="C16404"/>
      <c r="D16404"/>
      <c r="E16404"/>
      <c r="F16404"/>
      <c r="G16404"/>
      <c r="H16404"/>
      <c r="I16404"/>
      <c r="J16404"/>
      <c r="K16404" s="1"/>
      <c r="L16404" s="2"/>
    </row>
    <row r="16405" spans="1:12" x14ac:dyDescent="0.2">
      <c r="A16405"/>
      <c r="B16405"/>
      <c r="C16405"/>
      <c r="D16405"/>
      <c r="E16405"/>
      <c r="F16405"/>
      <c r="G16405"/>
      <c r="H16405"/>
      <c r="I16405"/>
      <c r="J16405"/>
      <c r="K16405" s="1"/>
      <c r="L16405" s="2"/>
    </row>
    <row r="16406" spans="1:12" x14ac:dyDescent="0.2">
      <c r="A16406"/>
      <c r="B16406"/>
      <c r="C16406"/>
      <c r="D16406"/>
      <c r="E16406"/>
      <c r="F16406"/>
      <c r="G16406"/>
      <c r="H16406"/>
      <c r="I16406"/>
      <c r="J16406"/>
      <c r="K16406" s="1"/>
      <c r="L16406" s="2"/>
    </row>
    <row r="16407" spans="1:12" x14ac:dyDescent="0.2">
      <c r="A16407"/>
      <c r="B16407"/>
      <c r="C16407"/>
      <c r="D16407"/>
      <c r="E16407"/>
      <c r="F16407"/>
      <c r="G16407"/>
      <c r="H16407"/>
      <c r="I16407"/>
      <c r="J16407"/>
      <c r="K16407" s="1"/>
      <c r="L16407" s="2"/>
    </row>
    <row r="16408" spans="1:12" x14ac:dyDescent="0.2">
      <c r="A16408"/>
      <c r="B16408"/>
      <c r="C16408"/>
      <c r="D16408"/>
      <c r="E16408"/>
      <c r="F16408"/>
      <c r="G16408"/>
      <c r="H16408"/>
      <c r="I16408"/>
      <c r="J16408"/>
      <c r="K16408" s="1"/>
      <c r="L16408" s="2"/>
    </row>
    <row r="16409" spans="1:12" x14ac:dyDescent="0.2">
      <c r="A16409"/>
      <c r="B16409"/>
      <c r="C16409"/>
      <c r="D16409"/>
      <c r="E16409"/>
      <c r="F16409"/>
      <c r="G16409"/>
      <c r="H16409"/>
      <c r="I16409"/>
      <c r="J16409"/>
      <c r="K16409" s="1"/>
      <c r="L16409" s="2"/>
    </row>
    <row r="16410" spans="1:12" x14ac:dyDescent="0.2">
      <c r="A16410"/>
      <c r="B16410"/>
      <c r="C16410"/>
      <c r="D16410"/>
      <c r="E16410"/>
      <c r="F16410"/>
      <c r="G16410"/>
      <c r="H16410"/>
      <c r="I16410"/>
      <c r="J16410"/>
      <c r="K16410" s="1"/>
      <c r="L16410" s="2"/>
    </row>
    <row r="16411" spans="1:12" x14ac:dyDescent="0.2">
      <c r="A16411"/>
      <c r="B16411"/>
      <c r="C16411"/>
      <c r="D16411"/>
      <c r="E16411"/>
      <c r="F16411"/>
      <c r="G16411"/>
      <c r="H16411"/>
      <c r="I16411"/>
      <c r="J16411"/>
      <c r="K16411" s="1"/>
      <c r="L16411" s="2"/>
    </row>
    <row r="16412" spans="1:12" x14ac:dyDescent="0.2">
      <c r="A16412"/>
      <c r="B16412"/>
      <c r="C16412"/>
      <c r="D16412"/>
      <c r="E16412"/>
      <c r="F16412"/>
      <c r="G16412"/>
      <c r="H16412"/>
      <c r="I16412"/>
      <c r="J16412"/>
      <c r="K16412" s="1"/>
      <c r="L16412" s="2"/>
    </row>
    <row r="16413" spans="1:12" x14ac:dyDescent="0.2">
      <c r="A16413"/>
      <c r="B16413"/>
      <c r="C16413"/>
      <c r="D16413"/>
      <c r="E16413"/>
      <c r="F16413"/>
      <c r="G16413"/>
      <c r="H16413"/>
      <c r="I16413"/>
      <c r="J16413"/>
      <c r="K16413" s="1"/>
      <c r="L16413" s="2"/>
    </row>
    <row r="16414" spans="1:12" x14ac:dyDescent="0.2">
      <c r="A16414"/>
      <c r="B16414"/>
      <c r="C16414"/>
      <c r="D16414"/>
      <c r="E16414"/>
      <c r="F16414"/>
      <c r="G16414"/>
      <c r="H16414"/>
      <c r="I16414"/>
      <c r="J16414"/>
      <c r="K16414" s="1"/>
      <c r="L16414" s="2"/>
    </row>
    <row r="16415" spans="1:12" x14ac:dyDescent="0.2">
      <c r="A16415"/>
      <c r="B16415"/>
      <c r="C16415"/>
      <c r="D16415"/>
      <c r="E16415"/>
      <c r="F16415"/>
      <c r="G16415"/>
      <c r="H16415"/>
      <c r="I16415"/>
      <c r="J16415"/>
      <c r="K16415" s="1"/>
      <c r="L16415" s="2"/>
    </row>
    <row r="16416" spans="1:12" x14ac:dyDescent="0.2">
      <c r="A16416"/>
      <c r="B16416"/>
      <c r="C16416"/>
      <c r="D16416"/>
      <c r="E16416"/>
      <c r="F16416"/>
      <c r="G16416"/>
      <c r="H16416"/>
      <c r="I16416"/>
      <c r="J16416"/>
      <c r="K16416" s="1"/>
      <c r="L16416" s="2"/>
    </row>
    <row r="16417" spans="1:12" x14ac:dyDescent="0.2">
      <c r="A16417"/>
      <c r="B16417"/>
      <c r="C16417"/>
      <c r="D16417"/>
      <c r="E16417"/>
      <c r="F16417"/>
      <c r="G16417"/>
      <c r="H16417"/>
      <c r="I16417"/>
      <c r="J16417"/>
      <c r="K16417" s="1"/>
      <c r="L16417" s="2"/>
    </row>
    <row r="16418" spans="1:12" x14ac:dyDescent="0.2">
      <c r="A16418"/>
      <c r="B16418"/>
      <c r="C16418"/>
      <c r="D16418"/>
      <c r="E16418"/>
      <c r="F16418"/>
      <c r="G16418"/>
      <c r="H16418"/>
      <c r="I16418"/>
      <c r="J16418"/>
      <c r="K16418" s="1"/>
      <c r="L16418" s="2"/>
    </row>
    <row r="16419" spans="1:12" x14ac:dyDescent="0.2">
      <c r="A16419"/>
      <c r="B16419"/>
      <c r="C16419"/>
      <c r="D16419"/>
      <c r="E16419"/>
      <c r="F16419"/>
      <c r="G16419"/>
      <c r="H16419"/>
      <c r="I16419"/>
      <c r="J16419"/>
      <c r="K16419" s="1"/>
      <c r="L16419" s="2"/>
    </row>
    <row r="16420" spans="1:12" x14ac:dyDescent="0.2">
      <c r="A16420"/>
      <c r="B16420"/>
      <c r="C16420"/>
      <c r="D16420"/>
      <c r="E16420"/>
      <c r="F16420"/>
      <c r="G16420"/>
      <c r="H16420"/>
      <c r="I16420"/>
      <c r="J16420"/>
      <c r="K16420" s="1"/>
      <c r="L16420" s="2"/>
    </row>
    <row r="16421" spans="1:12" x14ac:dyDescent="0.2">
      <c r="A16421"/>
      <c r="B16421"/>
      <c r="C16421"/>
      <c r="D16421"/>
      <c r="E16421"/>
      <c r="F16421"/>
      <c r="G16421"/>
      <c r="H16421"/>
      <c r="I16421"/>
      <c r="J16421"/>
      <c r="K16421" s="1"/>
      <c r="L16421" s="2"/>
    </row>
    <row r="16422" spans="1:12" x14ac:dyDescent="0.2">
      <c r="A16422"/>
      <c r="B16422"/>
      <c r="C16422"/>
      <c r="D16422"/>
      <c r="E16422"/>
      <c r="F16422"/>
      <c r="G16422"/>
      <c r="H16422"/>
      <c r="I16422"/>
      <c r="J16422"/>
      <c r="K16422" s="1"/>
      <c r="L16422" s="2"/>
    </row>
    <row r="16423" spans="1:12" x14ac:dyDescent="0.2">
      <c r="A16423"/>
      <c r="B16423"/>
      <c r="C16423"/>
      <c r="D16423"/>
      <c r="E16423"/>
      <c r="F16423"/>
      <c r="G16423"/>
      <c r="H16423"/>
      <c r="I16423"/>
      <c r="J16423"/>
      <c r="K16423" s="1"/>
      <c r="L16423" s="2"/>
    </row>
    <row r="16424" spans="1:12" x14ac:dyDescent="0.2">
      <c r="A16424"/>
      <c r="B16424"/>
      <c r="C16424"/>
      <c r="D16424"/>
      <c r="E16424"/>
      <c r="F16424"/>
      <c r="G16424"/>
      <c r="H16424"/>
      <c r="I16424"/>
      <c r="J16424"/>
      <c r="K16424" s="1"/>
      <c r="L16424" s="2"/>
    </row>
    <row r="16425" spans="1:12" x14ac:dyDescent="0.2">
      <c r="A16425"/>
      <c r="B16425"/>
      <c r="C16425"/>
      <c r="D16425"/>
      <c r="E16425"/>
      <c r="F16425"/>
      <c r="G16425"/>
      <c r="H16425"/>
      <c r="I16425"/>
      <c r="J16425"/>
      <c r="K16425" s="1"/>
      <c r="L16425" s="2"/>
    </row>
    <row r="16426" spans="1:12" x14ac:dyDescent="0.2">
      <c r="A16426"/>
      <c r="B16426"/>
      <c r="C16426"/>
      <c r="D16426"/>
      <c r="E16426"/>
      <c r="F16426"/>
      <c r="G16426"/>
      <c r="H16426"/>
      <c r="I16426"/>
      <c r="J16426"/>
      <c r="K16426" s="1"/>
      <c r="L16426" s="2"/>
    </row>
    <row r="16427" spans="1:12" x14ac:dyDescent="0.2">
      <c r="A16427"/>
      <c r="B16427"/>
      <c r="C16427"/>
      <c r="D16427"/>
      <c r="E16427"/>
      <c r="F16427"/>
      <c r="G16427"/>
      <c r="H16427"/>
      <c r="I16427"/>
      <c r="J16427"/>
      <c r="K16427" s="1"/>
      <c r="L16427" s="2"/>
    </row>
    <row r="16428" spans="1:12" x14ac:dyDescent="0.2">
      <c r="A16428"/>
      <c r="B16428"/>
      <c r="C16428"/>
      <c r="D16428"/>
      <c r="E16428"/>
      <c r="F16428"/>
      <c r="G16428"/>
      <c r="H16428"/>
      <c r="I16428"/>
      <c r="J16428"/>
      <c r="K16428" s="1"/>
      <c r="L16428" s="2"/>
    </row>
    <row r="16429" spans="1:12" x14ac:dyDescent="0.2">
      <c r="A16429"/>
      <c r="B16429"/>
      <c r="C16429"/>
      <c r="D16429"/>
      <c r="E16429"/>
      <c r="F16429"/>
      <c r="G16429"/>
      <c r="H16429"/>
      <c r="I16429"/>
      <c r="J16429"/>
      <c r="K16429" s="1"/>
      <c r="L16429" s="2"/>
    </row>
    <row r="16430" spans="1:12" x14ac:dyDescent="0.2">
      <c r="A16430"/>
      <c r="B16430"/>
      <c r="C16430"/>
      <c r="D16430"/>
      <c r="E16430"/>
      <c r="F16430"/>
      <c r="G16430"/>
      <c r="H16430"/>
      <c r="I16430"/>
      <c r="J16430"/>
      <c r="K16430" s="1"/>
      <c r="L16430" s="2"/>
    </row>
    <row r="16431" spans="1:12" x14ac:dyDescent="0.2">
      <c r="A16431"/>
      <c r="B16431"/>
      <c r="C16431"/>
      <c r="D16431"/>
      <c r="E16431"/>
      <c r="F16431"/>
      <c r="G16431"/>
      <c r="H16431"/>
      <c r="I16431"/>
      <c r="J16431"/>
      <c r="K16431" s="1"/>
      <c r="L16431" s="2"/>
    </row>
    <row r="16432" spans="1:12" x14ac:dyDescent="0.2">
      <c r="A16432"/>
      <c r="B16432"/>
      <c r="C16432"/>
      <c r="D16432"/>
      <c r="E16432"/>
      <c r="F16432"/>
      <c r="G16432"/>
      <c r="H16432"/>
      <c r="I16432"/>
      <c r="J16432"/>
      <c r="K16432" s="1"/>
      <c r="L16432" s="2"/>
    </row>
    <row r="16433" spans="1:12" x14ac:dyDescent="0.2">
      <c r="A16433"/>
      <c r="B16433"/>
      <c r="C16433"/>
      <c r="D16433"/>
      <c r="E16433"/>
      <c r="F16433"/>
      <c r="G16433"/>
      <c r="H16433"/>
      <c r="I16433"/>
      <c r="J16433"/>
      <c r="K16433" s="1"/>
      <c r="L16433" s="2"/>
    </row>
    <row r="16434" spans="1:12" x14ac:dyDescent="0.2">
      <c r="A16434"/>
      <c r="B16434"/>
      <c r="C16434"/>
      <c r="D16434"/>
      <c r="E16434"/>
      <c r="F16434"/>
      <c r="G16434"/>
      <c r="H16434"/>
      <c r="I16434"/>
      <c r="J16434"/>
      <c r="K16434" s="1"/>
      <c r="L16434" s="2"/>
    </row>
    <row r="16435" spans="1:12" x14ac:dyDescent="0.2">
      <c r="A16435"/>
      <c r="B16435"/>
      <c r="C16435"/>
      <c r="D16435"/>
      <c r="E16435"/>
      <c r="F16435"/>
      <c r="G16435"/>
      <c r="H16435"/>
      <c r="I16435"/>
      <c r="J16435"/>
      <c r="K16435" s="1"/>
      <c r="L16435" s="2"/>
    </row>
    <row r="16436" spans="1:12" x14ac:dyDescent="0.2">
      <c r="A16436"/>
      <c r="B16436"/>
      <c r="C16436"/>
      <c r="D16436"/>
      <c r="E16436"/>
      <c r="F16436"/>
      <c r="G16436"/>
      <c r="H16436"/>
      <c r="I16436"/>
      <c r="J16436"/>
      <c r="K16436" s="1"/>
      <c r="L16436" s="2"/>
    </row>
    <row r="16437" spans="1:12" x14ac:dyDescent="0.2">
      <c r="A16437"/>
      <c r="B16437"/>
      <c r="C16437"/>
      <c r="D16437"/>
      <c r="E16437"/>
      <c r="F16437"/>
      <c r="G16437"/>
      <c r="H16437"/>
      <c r="I16437"/>
      <c r="J16437"/>
      <c r="K16437" s="1"/>
      <c r="L16437" s="2"/>
    </row>
    <row r="16438" spans="1:12" x14ac:dyDescent="0.2">
      <c r="A16438"/>
      <c r="B16438"/>
      <c r="C16438"/>
      <c r="D16438"/>
      <c r="E16438"/>
      <c r="F16438"/>
      <c r="G16438"/>
      <c r="H16438"/>
      <c r="I16438"/>
      <c r="J16438"/>
      <c r="K16438" s="1"/>
      <c r="L16438" s="2"/>
    </row>
    <row r="16439" spans="1:12" x14ac:dyDescent="0.2">
      <c r="A16439"/>
      <c r="B16439"/>
      <c r="C16439"/>
      <c r="D16439"/>
      <c r="E16439"/>
      <c r="F16439"/>
      <c r="G16439"/>
      <c r="H16439"/>
      <c r="I16439"/>
      <c r="J16439"/>
      <c r="K16439" s="1"/>
      <c r="L16439" s="2"/>
    </row>
    <row r="16440" spans="1:12" x14ac:dyDescent="0.2">
      <c r="A16440"/>
      <c r="B16440"/>
      <c r="C16440"/>
      <c r="D16440"/>
      <c r="E16440"/>
      <c r="F16440"/>
      <c r="G16440"/>
      <c r="H16440"/>
      <c r="I16440"/>
      <c r="J16440"/>
      <c r="K16440" s="1"/>
      <c r="L16440" s="2"/>
    </row>
    <row r="16441" spans="1:12" x14ac:dyDescent="0.2">
      <c r="A16441"/>
      <c r="B16441"/>
      <c r="C16441"/>
      <c r="D16441"/>
      <c r="E16441"/>
      <c r="F16441"/>
      <c r="G16441"/>
      <c r="H16441"/>
      <c r="I16441"/>
      <c r="J16441"/>
      <c r="K16441" s="1"/>
      <c r="L16441" s="2"/>
    </row>
    <row r="16442" spans="1:12" x14ac:dyDescent="0.2">
      <c r="A16442"/>
      <c r="B16442"/>
      <c r="C16442"/>
      <c r="D16442"/>
      <c r="E16442"/>
      <c r="F16442"/>
      <c r="G16442"/>
      <c r="H16442"/>
      <c r="I16442"/>
      <c r="J16442"/>
      <c r="K16442" s="1"/>
      <c r="L16442" s="2"/>
    </row>
    <row r="16443" spans="1:12" x14ac:dyDescent="0.2">
      <c r="A16443"/>
      <c r="B16443"/>
      <c r="C16443"/>
      <c r="D16443"/>
      <c r="E16443"/>
      <c r="F16443"/>
      <c r="G16443"/>
      <c r="H16443"/>
      <c r="I16443"/>
      <c r="J16443"/>
      <c r="K16443" s="1"/>
      <c r="L16443" s="2"/>
    </row>
    <row r="16444" spans="1:12" x14ac:dyDescent="0.2">
      <c r="A16444"/>
      <c r="B16444"/>
      <c r="C16444"/>
      <c r="D16444"/>
      <c r="E16444"/>
      <c r="F16444"/>
      <c r="G16444"/>
      <c r="H16444"/>
      <c r="I16444"/>
      <c r="J16444"/>
      <c r="K16444" s="1"/>
      <c r="L16444" s="2"/>
    </row>
    <row r="16445" spans="1:12" x14ac:dyDescent="0.2">
      <c r="A16445"/>
      <c r="B16445"/>
      <c r="C16445"/>
      <c r="D16445"/>
      <c r="E16445"/>
      <c r="F16445"/>
      <c r="G16445"/>
      <c r="H16445"/>
      <c r="I16445"/>
      <c r="J16445"/>
      <c r="K16445" s="1"/>
      <c r="L16445" s="2"/>
    </row>
    <row r="16446" spans="1:12" x14ac:dyDescent="0.2">
      <c r="A16446"/>
      <c r="B16446"/>
      <c r="C16446"/>
      <c r="D16446"/>
      <c r="E16446"/>
      <c r="F16446"/>
      <c r="G16446"/>
      <c r="H16446"/>
      <c r="I16446"/>
      <c r="J16446"/>
      <c r="K16446" s="1"/>
      <c r="L16446" s="2"/>
    </row>
    <row r="16447" spans="1:12" x14ac:dyDescent="0.2">
      <c r="A16447"/>
      <c r="B16447"/>
      <c r="C16447"/>
      <c r="D16447"/>
      <c r="E16447"/>
      <c r="F16447"/>
      <c r="G16447"/>
      <c r="H16447"/>
      <c r="I16447"/>
      <c r="J16447"/>
      <c r="K16447" s="1"/>
      <c r="L16447" s="2"/>
    </row>
    <row r="16448" spans="1:12" x14ac:dyDescent="0.2">
      <c r="A16448"/>
      <c r="B16448"/>
      <c r="C16448"/>
      <c r="D16448"/>
      <c r="E16448"/>
      <c r="F16448"/>
      <c r="G16448"/>
      <c r="H16448"/>
      <c r="I16448"/>
      <c r="J16448"/>
      <c r="K16448" s="1"/>
      <c r="L16448" s="2"/>
    </row>
    <row r="16449" spans="1:12" x14ac:dyDescent="0.2">
      <c r="A16449"/>
      <c r="B16449"/>
      <c r="C16449"/>
      <c r="D16449"/>
      <c r="E16449"/>
      <c r="F16449"/>
      <c r="G16449"/>
      <c r="H16449"/>
      <c r="I16449"/>
      <c r="J16449"/>
      <c r="K16449" s="1"/>
      <c r="L16449" s="2"/>
    </row>
    <row r="16450" spans="1:12" x14ac:dyDescent="0.2">
      <c r="A16450"/>
      <c r="B16450"/>
      <c r="C16450"/>
      <c r="D16450"/>
      <c r="E16450"/>
      <c r="F16450"/>
      <c r="G16450"/>
      <c r="H16450"/>
      <c r="I16450"/>
      <c r="J16450"/>
      <c r="K16450" s="1"/>
      <c r="L16450" s="2"/>
    </row>
    <row r="16451" spans="1:12" x14ac:dyDescent="0.2">
      <c r="A16451"/>
      <c r="B16451"/>
      <c r="C16451"/>
      <c r="D16451"/>
      <c r="E16451"/>
      <c r="F16451"/>
      <c r="G16451"/>
      <c r="H16451"/>
      <c r="I16451"/>
      <c r="J16451"/>
      <c r="K16451" s="1"/>
      <c r="L16451" s="2"/>
    </row>
    <row r="16452" spans="1:12" x14ac:dyDescent="0.2">
      <c r="A16452"/>
      <c r="B16452"/>
      <c r="C16452"/>
      <c r="D16452"/>
      <c r="E16452"/>
      <c r="F16452"/>
      <c r="G16452"/>
      <c r="H16452"/>
      <c r="I16452"/>
      <c r="J16452"/>
      <c r="K16452" s="1"/>
      <c r="L16452" s="2"/>
    </row>
    <row r="16453" spans="1:12" x14ac:dyDescent="0.2">
      <c r="A16453"/>
      <c r="B16453"/>
      <c r="C16453"/>
      <c r="D16453"/>
      <c r="E16453"/>
      <c r="F16453"/>
      <c r="G16453"/>
      <c r="H16453"/>
      <c r="I16453"/>
      <c r="J16453"/>
      <c r="K16453" s="1"/>
      <c r="L16453" s="2"/>
    </row>
    <row r="16454" spans="1:12" x14ac:dyDescent="0.2">
      <c r="A16454"/>
      <c r="B16454"/>
      <c r="C16454"/>
      <c r="D16454"/>
      <c r="E16454"/>
      <c r="F16454"/>
      <c r="G16454"/>
      <c r="H16454"/>
      <c r="I16454"/>
      <c r="J16454"/>
      <c r="K16454" s="1"/>
      <c r="L16454" s="2"/>
    </row>
    <row r="16455" spans="1:12" x14ac:dyDescent="0.2">
      <c r="A16455"/>
      <c r="B16455"/>
      <c r="C16455"/>
      <c r="D16455"/>
      <c r="E16455"/>
      <c r="F16455"/>
      <c r="G16455"/>
      <c r="H16455"/>
      <c r="I16455"/>
      <c r="J16455"/>
      <c r="K16455" s="1"/>
      <c r="L16455" s="2"/>
    </row>
    <row r="16456" spans="1:12" x14ac:dyDescent="0.2">
      <c r="A16456"/>
      <c r="B16456"/>
      <c r="C16456"/>
      <c r="D16456"/>
      <c r="E16456"/>
      <c r="F16456"/>
      <c r="G16456"/>
      <c r="H16456"/>
      <c r="I16456"/>
      <c r="J16456"/>
      <c r="K16456" s="1"/>
      <c r="L16456" s="2"/>
    </row>
    <row r="16457" spans="1:12" x14ac:dyDescent="0.2">
      <c r="A16457"/>
      <c r="B16457"/>
      <c r="C16457"/>
      <c r="D16457"/>
      <c r="E16457"/>
      <c r="F16457"/>
      <c r="G16457"/>
      <c r="H16457"/>
      <c r="I16457"/>
      <c r="J16457"/>
      <c r="K16457" s="1"/>
      <c r="L16457" s="2"/>
    </row>
    <row r="16458" spans="1:12" x14ac:dyDescent="0.2">
      <c r="A16458"/>
      <c r="B16458"/>
      <c r="C16458"/>
      <c r="D16458"/>
      <c r="E16458"/>
      <c r="F16458"/>
      <c r="G16458"/>
      <c r="H16458"/>
      <c r="I16458"/>
      <c r="J16458"/>
      <c r="K16458" s="1"/>
      <c r="L16458" s="2"/>
    </row>
    <row r="16459" spans="1:12" x14ac:dyDescent="0.2">
      <c r="A16459"/>
      <c r="B16459"/>
      <c r="C16459"/>
      <c r="D16459"/>
      <c r="E16459"/>
      <c r="F16459"/>
      <c r="G16459"/>
      <c r="H16459"/>
      <c r="I16459"/>
      <c r="J16459"/>
      <c r="K16459" s="1"/>
      <c r="L16459" s="2"/>
    </row>
    <row r="16460" spans="1:12" x14ac:dyDescent="0.2">
      <c r="A16460"/>
      <c r="B16460"/>
      <c r="C16460"/>
      <c r="D16460"/>
      <c r="E16460"/>
      <c r="F16460"/>
      <c r="G16460"/>
      <c r="H16460"/>
      <c r="I16460"/>
      <c r="J16460"/>
      <c r="K16460" s="1"/>
      <c r="L16460" s="2"/>
    </row>
    <row r="16461" spans="1:12" x14ac:dyDescent="0.2">
      <c r="A16461"/>
      <c r="B16461"/>
      <c r="C16461"/>
      <c r="D16461"/>
      <c r="E16461"/>
      <c r="F16461"/>
      <c r="G16461"/>
      <c r="H16461"/>
      <c r="I16461"/>
      <c r="J16461"/>
      <c r="K16461" s="1"/>
      <c r="L16461" s="2"/>
    </row>
    <row r="16462" spans="1:12" x14ac:dyDescent="0.2">
      <c r="A16462"/>
      <c r="B16462"/>
      <c r="C16462"/>
      <c r="D16462"/>
      <c r="E16462"/>
      <c r="F16462"/>
      <c r="G16462"/>
      <c r="H16462"/>
      <c r="I16462"/>
      <c r="J16462"/>
      <c r="K16462" s="1"/>
      <c r="L16462" s="2"/>
    </row>
    <row r="16463" spans="1:12" x14ac:dyDescent="0.2">
      <c r="A16463"/>
      <c r="B16463"/>
      <c r="C16463"/>
      <c r="D16463"/>
      <c r="E16463"/>
      <c r="F16463"/>
      <c r="G16463"/>
      <c r="H16463"/>
      <c r="I16463"/>
      <c r="J16463"/>
      <c r="K16463" s="1"/>
      <c r="L16463" s="2"/>
    </row>
    <row r="16464" spans="1:12" x14ac:dyDescent="0.2">
      <c r="A16464"/>
      <c r="B16464"/>
      <c r="C16464"/>
      <c r="D16464"/>
      <c r="E16464"/>
      <c r="F16464"/>
      <c r="G16464"/>
      <c r="H16464"/>
      <c r="I16464"/>
      <c r="J16464"/>
      <c r="K16464" s="1"/>
      <c r="L16464" s="2"/>
    </row>
    <row r="16465" spans="1:12" x14ac:dyDescent="0.2">
      <c r="A16465"/>
      <c r="B16465"/>
      <c r="C16465"/>
      <c r="D16465"/>
      <c r="E16465"/>
      <c r="F16465"/>
      <c r="G16465"/>
      <c r="H16465"/>
      <c r="I16465"/>
      <c r="J16465"/>
      <c r="K16465" s="1"/>
      <c r="L16465" s="2"/>
    </row>
    <row r="16466" spans="1:12" x14ac:dyDescent="0.2">
      <c r="A16466"/>
      <c r="B16466"/>
      <c r="C16466"/>
      <c r="D16466"/>
      <c r="E16466"/>
      <c r="F16466"/>
      <c r="G16466"/>
      <c r="H16466"/>
      <c r="I16466"/>
      <c r="J16466"/>
      <c r="K16466" s="1"/>
      <c r="L16466" s="2"/>
    </row>
    <row r="16467" spans="1:12" x14ac:dyDescent="0.2">
      <c r="A16467"/>
      <c r="B16467"/>
      <c r="C16467"/>
      <c r="D16467"/>
      <c r="E16467"/>
      <c r="F16467"/>
      <c r="G16467"/>
      <c r="H16467"/>
      <c r="I16467"/>
      <c r="J16467"/>
      <c r="K16467" s="1"/>
      <c r="L16467" s="2"/>
    </row>
    <row r="16468" spans="1:12" x14ac:dyDescent="0.2">
      <c r="A16468"/>
      <c r="B16468"/>
      <c r="C16468"/>
      <c r="D16468"/>
      <c r="E16468"/>
      <c r="F16468"/>
      <c r="G16468"/>
      <c r="H16468"/>
      <c r="I16468"/>
      <c r="J16468"/>
      <c r="K16468" s="1"/>
      <c r="L16468" s="2"/>
    </row>
    <row r="16469" spans="1:12" x14ac:dyDescent="0.2">
      <c r="A16469"/>
      <c r="B16469"/>
      <c r="C16469"/>
      <c r="D16469"/>
      <c r="E16469"/>
      <c r="F16469"/>
      <c r="G16469"/>
      <c r="H16469"/>
      <c r="I16469"/>
      <c r="J16469"/>
      <c r="K16469" s="1"/>
      <c r="L16469" s="2"/>
    </row>
    <row r="16470" spans="1:12" x14ac:dyDescent="0.2">
      <c r="A16470"/>
      <c r="B16470"/>
      <c r="C16470"/>
      <c r="D16470"/>
      <c r="E16470"/>
      <c r="F16470"/>
      <c r="G16470"/>
      <c r="H16470"/>
      <c r="I16470"/>
      <c r="J16470"/>
      <c r="K16470" s="1"/>
      <c r="L16470" s="2"/>
    </row>
    <row r="16471" spans="1:12" x14ac:dyDescent="0.2">
      <c r="A16471"/>
      <c r="B16471"/>
      <c r="C16471"/>
      <c r="D16471"/>
      <c r="E16471"/>
      <c r="F16471"/>
      <c r="G16471"/>
      <c r="H16471"/>
      <c r="I16471"/>
      <c r="J16471"/>
      <c r="K16471" s="1"/>
      <c r="L16471" s="2"/>
    </row>
    <row r="16472" spans="1:12" x14ac:dyDescent="0.2">
      <c r="A16472"/>
      <c r="B16472"/>
      <c r="C16472"/>
      <c r="D16472"/>
      <c r="E16472"/>
      <c r="F16472"/>
      <c r="G16472"/>
      <c r="H16472"/>
      <c r="I16472"/>
      <c r="J16472"/>
      <c r="K16472" s="1"/>
      <c r="L16472" s="2"/>
    </row>
    <row r="16473" spans="1:12" x14ac:dyDescent="0.2">
      <c r="A16473"/>
      <c r="B16473"/>
      <c r="C16473"/>
      <c r="D16473"/>
      <c r="E16473"/>
      <c r="F16473"/>
      <c r="G16473"/>
      <c r="H16473"/>
      <c r="I16473"/>
      <c r="J16473"/>
      <c r="K16473" s="1"/>
      <c r="L16473" s="2"/>
    </row>
    <row r="16474" spans="1:12" x14ac:dyDescent="0.2">
      <c r="A16474"/>
      <c r="B16474"/>
      <c r="C16474"/>
      <c r="D16474"/>
      <c r="E16474"/>
      <c r="F16474"/>
      <c r="G16474"/>
      <c r="H16474"/>
      <c r="I16474"/>
      <c r="J16474"/>
      <c r="K16474" s="1"/>
      <c r="L16474" s="2"/>
    </row>
    <row r="16475" spans="1:12" x14ac:dyDescent="0.2">
      <c r="A16475"/>
      <c r="B16475"/>
      <c r="C16475"/>
      <c r="D16475"/>
      <c r="E16475"/>
      <c r="F16475"/>
      <c r="G16475"/>
      <c r="H16475"/>
      <c r="I16475"/>
      <c r="J16475"/>
      <c r="K16475" s="1"/>
      <c r="L16475" s="2"/>
    </row>
    <row r="16476" spans="1:12" x14ac:dyDescent="0.2">
      <c r="A16476"/>
      <c r="B16476"/>
      <c r="C16476"/>
      <c r="D16476"/>
      <c r="E16476"/>
      <c r="F16476"/>
      <c r="G16476"/>
      <c r="H16476"/>
      <c r="I16476"/>
      <c r="J16476"/>
      <c r="K16476" s="1"/>
      <c r="L16476" s="2"/>
    </row>
    <row r="16477" spans="1:12" x14ac:dyDescent="0.2">
      <c r="A16477"/>
      <c r="B16477"/>
      <c r="C16477"/>
      <c r="D16477"/>
      <c r="E16477"/>
      <c r="F16477"/>
      <c r="G16477"/>
      <c r="H16477"/>
      <c r="I16477"/>
      <c r="J16477"/>
      <c r="K16477" s="1"/>
      <c r="L16477" s="2"/>
    </row>
    <row r="16478" spans="1:12" x14ac:dyDescent="0.2">
      <c r="A16478"/>
      <c r="B16478"/>
      <c r="C16478"/>
      <c r="D16478"/>
      <c r="E16478"/>
      <c r="F16478"/>
      <c r="G16478"/>
      <c r="H16478"/>
      <c r="I16478"/>
      <c r="J16478"/>
      <c r="K16478" s="1"/>
      <c r="L16478" s="2"/>
    </row>
    <row r="16479" spans="1:12" x14ac:dyDescent="0.2">
      <c r="A16479"/>
      <c r="B16479"/>
      <c r="C16479"/>
      <c r="D16479"/>
      <c r="E16479"/>
      <c r="F16479"/>
      <c r="G16479"/>
      <c r="H16479"/>
      <c r="I16479"/>
      <c r="J16479"/>
      <c r="K16479" s="1"/>
      <c r="L16479" s="2"/>
    </row>
    <row r="16480" spans="1:12" x14ac:dyDescent="0.2">
      <c r="A16480"/>
      <c r="B16480"/>
      <c r="C16480"/>
      <c r="D16480"/>
      <c r="E16480"/>
      <c r="F16480"/>
      <c r="G16480"/>
      <c r="H16480"/>
      <c r="I16480"/>
      <c r="J16480"/>
      <c r="K16480" s="1"/>
      <c r="L16480" s="2"/>
    </row>
    <row r="16481" spans="1:12" x14ac:dyDescent="0.2">
      <c r="A16481"/>
      <c r="B16481"/>
      <c r="C16481"/>
      <c r="D16481"/>
      <c r="E16481"/>
      <c r="F16481"/>
      <c r="G16481"/>
      <c r="H16481"/>
      <c r="I16481"/>
      <c r="J16481"/>
      <c r="K16481" s="1"/>
      <c r="L16481" s="2"/>
    </row>
    <row r="16482" spans="1:12" x14ac:dyDescent="0.2">
      <c r="A16482"/>
      <c r="B16482"/>
      <c r="C16482"/>
      <c r="D16482"/>
      <c r="E16482"/>
      <c r="F16482"/>
      <c r="G16482"/>
      <c r="H16482"/>
      <c r="I16482"/>
      <c r="J16482"/>
      <c r="K16482" s="1"/>
      <c r="L16482" s="2"/>
    </row>
    <row r="16483" spans="1:12" x14ac:dyDescent="0.2">
      <c r="A16483"/>
      <c r="B16483"/>
      <c r="C16483"/>
      <c r="D16483"/>
      <c r="E16483"/>
      <c r="F16483"/>
      <c r="G16483"/>
      <c r="H16483"/>
      <c r="I16483"/>
      <c r="J16483"/>
      <c r="K16483" s="1"/>
      <c r="L16483" s="2"/>
    </row>
    <row r="16484" spans="1:12" x14ac:dyDescent="0.2">
      <c r="A16484"/>
      <c r="B16484"/>
      <c r="C16484"/>
      <c r="D16484"/>
      <c r="E16484"/>
      <c r="F16484"/>
      <c r="G16484"/>
      <c r="H16484"/>
      <c r="I16484"/>
      <c r="J16484"/>
      <c r="K16484" s="1"/>
      <c r="L16484" s="2"/>
    </row>
    <row r="16485" spans="1:12" x14ac:dyDescent="0.2">
      <c r="A16485"/>
      <c r="B16485"/>
      <c r="C16485"/>
      <c r="D16485"/>
      <c r="E16485"/>
      <c r="F16485"/>
      <c r="G16485"/>
      <c r="H16485"/>
      <c r="I16485"/>
      <c r="J16485"/>
      <c r="K16485" s="1"/>
      <c r="L16485" s="2"/>
    </row>
    <row r="16486" spans="1:12" x14ac:dyDescent="0.2">
      <c r="A16486"/>
      <c r="B16486"/>
      <c r="C16486"/>
      <c r="D16486"/>
      <c r="E16486"/>
      <c r="F16486"/>
      <c r="G16486"/>
      <c r="H16486"/>
      <c r="I16486"/>
      <c r="J16486"/>
      <c r="K16486" s="1"/>
      <c r="L16486" s="2"/>
    </row>
    <row r="16487" spans="1:12" x14ac:dyDescent="0.2">
      <c r="A16487"/>
      <c r="B16487"/>
      <c r="C16487"/>
      <c r="D16487"/>
      <c r="E16487"/>
      <c r="F16487"/>
      <c r="G16487"/>
      <c r="H16487"/>
      <c r="I16487"/>
      <c r="J16487"/>
      <c r="K16487" s="1"/>
      <c r="L16487" s="2"/>
    </row>
    <row r="16488" spans="1:12" x14ac:dyDescent="0.2">
      <c r="A16488"/>
      <c r="B16488"/>
      <c r="C16488"/>
      <c r="D16488"/>
      <c r="E16488"/>
      <c r="F16488"/>
      <c r="G16488"/>
      <c r="H16488"/>
      <c r="I16488"/>
      <c r="J16488"/>
      <c r="K16488" s="1"/>
      <c r="L16488" s="2"/>
    </row>
    <row r="16489" spans="1:12" x14ac:dyDescent="0.2">
      <c r="A16489"/>
      <c r="B16489"/>
      <c r="C16489"/>
      <c r="D16489"/>
      <c r="E16489"/>
      <c r="F16489"/>
      <c r="G16489"/>
      <c r="H16489"/>
      <c r="I16489"/>
      <c r="J16489"/>
      <c r="K16489" s="1"/>
      <c r="L16489" s="2"/>
    </row>
    <row r="16490" spans="1:12" x14ac:dyDescent="0.2">
      <c r="A16490"/>
      <c r="B16490"/>
      <c r="C16490"/>
      <c r="D16490"/>
      <c r="E16490"/>
      <c r="F16490"/>
      <c r="G16490"/>
      <c r="H16490"/>
      <c r="I16490"/>
      <c r="J16490"/>
      <c r="K16490" s="1"/>
      <c r="L16490" s="2"/>
    </row>
    <row r="16491" spans="1:12" x14ac:dyDescent="0.2">
      <c r="A16491"/>
      <c r="B16491"/>
      <c r="C16491"/>
      <c r="D16491"/>
      <c r="E16491"/>
      <c r="F16491"/>
      <c r="G16491"/>
      <c r="H16491"/>
      <c r="I16491"/>
      <c r="J16491"/>
      <c r="K16491" s="1"/>
      <c r="L16491" s="2"/>
    </row>
    <row r="16492" spans="1:12" x14ac:dyDescent="0.2">
      <c r="A16492"/>
      <c r="B16492"/>
      <c r="C16492"/>
      <c r="D16492"/>
      <c r="E16492"/>
      <c r="F16492"/>
      <c r="G16492"/>
      <c r="H16492"/>
      <c r="I16492"/>
      <c r="J16492"/>
      <c r="K16492" s="1"/>
      <c r="L16492" s="2"/>
    </row>
    <row r="16493" spans="1:12" x14ac:dyDescent="0.2">
      <c r="A16493"/>
      <c r="B16493"/>
      <c r="C16493"/>
      <c r="D16493"/>
      <c r="E16493"/>
      <c r="F16493"/>
      <c r="G16493"/>
      <c r="H16493"/>
      <c r="I16493"/>
      <c r="J16493"/>
      <c r="K16493" s="1"/>
      <c r="L16493" s="2"/>
    </row>
    <row r="16494" spans="1:12" x14ac:dyDescent="0.2">
      <c r="A16494"/>
      <c r="B16494"/>
      <c r="C16494"/>
      <c r="D16494"/>
      <c r="E16494"/>
      <c r="F16494"/>
      <c r="G16494"/>
      <c r="H16494"/>
      <c r="I16494"/>
      <c r="J16494"/>
      <c r="K16494" s="1"/>
      <c r="L16494" s="2"/>
    </row>
    <row r="16495" spans="1:12" x14ac:dyDescent="0.2">
      <c r="A16495"/>
      <c r="B16495"/>
      <c r="C16495"/>
      <c r="D16495"/>
      <c r="E16495"/>
      <c r="F16495"/>
      <c r="G16495"/>
      <c r="H16495"/>
      <c r="I16495"/>
      <c r="J16495"/>
      <c r="K16495" s="1"/>
      <c r="L16495" s="2"/>
    </row>
    <row r="16496" spans="1:12" x14ac:dyDescent="0.2">
      <c r="A16496"/>
      <c r="B16496"/>
      <c r="C16496"/>
      <c r="D16496"/>
      <c r="E16496"/>
      <c r="F16496"/>
      <c r="G16496"/>
      <c r="H16496"/>
      <c r="I16496"/>
      <c r="J16496"/>
      <c r="K16496" s="1"/>
      <c r="L16496" s="2"/>
    </row>
    <row r="16497" spans="1:12" x14ac:dyDescent="0.2">
      <c r="A16497"/>
      <c r="B16497"/>
      <c r="C16497"/>
      <c r="D16497"/>
      <c r="E16497"/>
      <c r="F16497"/>
      <c r="G16497"/>
      <c r="H16497"/>
      <c r="I16497"/>
      <c r="J16497"/>
      <c r="K16497" s="1"/>
      <c r="L16497" s="2"/>
    </row>
    <row r="16498" spans="1:12" x14ac:dyDescent="0.2">
      <c r="A16498"/>
      <c r="B16498"/>
      <c r="C16498"/>
      <c r="D16498"/>
      <c r="E16498"/>
      <c r="F16498"/>
      <c r="G16498"/>
      <c r="H16498"/>
      <c r="I16498"/>
      <c r="J16498"/>
      <c r="K16498" s="1"/>
      <c r="L16498" s="2"/>
    </row>
    <row r="16499" spans="1:12" x14ac:dyDescent="0.2">
      <c r="A16499"/>
      <c r="B16499"/>
      <c r="C16499"/>
      <c r="D16499"/>
      <c r="E16499"/>
      <c r="F16499"/>
      <c r="G16499"/>
      <c r="H16499"/>
      <c r="I16499"/>
      <c r="J16499"/>
      <c r="K16499" s="1"/>
      <c r="L16499" s="2"/>
    </row>
    <row r="16500" spans="1:12" x14ac:dyDescent="0.2">
      <c r="A16500"/>
      <c r="B16500"/>
      <c r="C16500"/>
      <c r="D16500"/>
      <c r="E16500"/>
      <c r="F16500"/>
      <c r="G16500"/>
      <c r="H16500"/>
      <c r="I16500"/>
      <c r="J16500"/>
      <c r="K16500" s="1"/>
      <c r="L16500" s="2"/>
    </row>
    <row r="16501" spans="1:12" x14ac:dyDescent="0.2">
      <c r="A16501"/>
      <c r="B16501"/>
      <c r="C16501"/>
      <c r="D16501"/>
      <c r="E16501"/>
      <c r="F16501"/>
      <c r="G16501"/>
      <c r="H16501"/>
      <c r="I16501"/>
      <c r="J16501"/>
      <c r="K16501" s="1"/>
      <c r="L16501" s="2"/>
    </row>
    <row r="16502" spans="1:12" x14ac:dyDescent="0.2">
      <c r="A16502"/>
      <c r="B16502"/>
      <c r="C16502"/>
      <c r="D16502"/>
      <c r="E16502"/>
      <c r="F16502"/>
      <c r="G16502"/>
      <c r="H16502"/>
      <c r="I16502"/>
      <c r="J16502"/>
      <c r="K16502" s="1"/>
      <c r="L16502" s="2"/>
    </row>
    <row r="16503" spans="1:12" x14ac:dyDescent="0.2">
      <c r="A16503"/>
      <c r="B16503"/>
      <c r="C16503"/>
      <c r="D16503"/>
      <c r="E16503"/>
      <c r="F16503"/>
      <c r="G16503"/>
      <c r="H16503"/>
      <c r="I16503"/>
      <c r="J16503"/>
      <c r="K16503" s="1"/>
      <c r="L16503" s="2"/>
    </row>
    <row r="16504" spans="1:12" x14ac:dyDescent="0.2">
      <c r="A16504"/>
      <c r="B16504"/>
      <c r="C16504"/>
      <c r="D16504"/>
      <c r="E16504"/>
      <c r="F16504"/>
      <c r="G16504"/>
      <c r="H16504"/>
      <c r="I16504"/>
      <c r="J16504"/>
      <c r="K16504" s="1"/>
      <c r="L16504" s="2"/>
    </row>
    <row r="16505" spans="1:12" x14ac:dyDescent="0.2">
      <c r="A16505"/>
      <c r="B16505"/>
      <c r="C16505"/>
      <c r="D16505"/>
      <c r="E16505"/>
      <c r="F16505"/>
      <c r="G16505"/>
      <c r="H16505"/>
      <c r="I16505"/>
      <c r="J16505"/>
      <c r="K16505" s="1"/>
      <c r="L16505" s="2"/>
    </row>
    <row r="16506" spans="1:12" x14ac:dyDescent="0.2">
      <c r="A16506"/>
      <c r="B16506"/>
      <c r="C16506"/>
      <c r="D16506"/>
      <c r="E16506"/>
      <c r="F16506"/>
      <c r="G16506"/>
      <c r="H16506"/>
      <c r="I16506"/>
      <c r="J16506"/>
      <c r="K16506" s="1"/>
      <c r="L16506" s="2"/>
    </row>
    <row r="16507" spans="1:12" x14ac:dyDescent="0.2">
      <c r="A16507"/>
      <c r="B16507"/>
      <c r="C16507"/>
      <c r="D16507"/>
      <c r="E16507"/>
      <c r="F16507"/>
      <c r="G16507"/>
      <c r="H16507"/>
      <c r="I16507"/>
      <c r="J16507"/>
      <c r="K16507" s="1"/>
      <c r="L16507" s="2"/>
    </row>
    <row r="16508" spans="1:12" x14ac:dyDescent="0.2">
      <c r="A16508"/>
      <c r="B16508"/>
      <c r="C16508"/>
      <c r="D16508"/>
      <c r="E16508"/>
      <c r="F16508"/>
      <c r="G16508"/>
      <c r="H16508"/>
      <c r="I16508"/>
      <c r="J16508"/>
      <c r="K16508" s="1"/>
      <c r="L16508" s="2"/>
    </row>
    <row r="16509" spans="1:12" x14ac:dyDescent="0.2">
      <c r="A16509"/>
      <c r="B16509"/>
      <c r="C16509"/>
      <c r="D16509"/>
      <c r="E16509"/>
      <c r="F16509"/>
      <c r="G16509"/>
      <c r="H16509"/>
      <c r="I16509"/>
      <c r="J16509"/>
      <c r="K16509" s="1"/>
      <c r="L16509" s="2"/>
    </row>
    <row r="16510" spans="1:12" x14ac:dyDescent="0.2">
      <c r="A16510"/>
      <c r="B16510"/>
      <c r="C16510"/>
      <c r="D16510"/>
      <c r="E16510"/>
      <c r="F16510"/>
      <c r="G16510"/>
      <c r="H16510"/>
      <c r="I16510"/>
      <c r="J16510"/>
      <c r="K16510" s="1"/>
      <c r="L16510" s="2"/>
    </row>
    <row r="16511" spans="1:12" x14ac:dyDescent="0.2">
      <c r="A16511"/>
      <c r="B16511"/>
      <c r="C16511"/>
      <c r="D16511"/>
      <c r="E16511"/>
      <c r="F16511"/>
      <c r="G16511"/>
      <c r="H16511"/>
      <c r="I16511"/>
      <c r="J16511"/>
      <c r="K16511" s="1"/>
      <c r="L16511" s="2"/>
    </row>
    <row r="16512" spans="1:12" x14ac:dyDescent="0.2">
      <c r="A16512"/>
      <c r="B16512"/>
      <c r="C16512"/>
      <c r="D16512"/>
      <c r="E16512"/>
      <c r="F16512"/>
      <c r="G16512"/>
      <c r="H16512"/>
      <c r="I16512"/>
      <c r="J16512"/>
      <c r="K16512" s="1"/>
      <c r="L16512" s="2"/>
    </row>
    <row r="16513" spans="1:12" x14ac:dyDescent="0.2">
      <c r="A16513"/>
      <c r="B16513"/>
      <c r="C16513"/>
      <c r="D16513"/>
      <c r="E16513"/>
      <c r="F16513"/>
      <c r="G16513"/>
      <c r="H16513"/>
      <c r="I16513"/>
      <c r="J16513"/>
      <c r="K16513" s="1"/>
      <c r="L16513" s="2"/>
    </row>
    <row r="16514" spans="1:12" x14ac:dyDescent="0.2">
      <c r="A16514"/>
      <c r="B16514"/>
      <c r="C16514"/>
      <c r="D16514"/>
      <c r="E16514"/>
      <c r="F16514"/>
      <c r="G16514"/>
      <c r="H16514"/>
      <c r="I16514"/>
      <c r="J16514"/>
      <c r="K16514" s="1"/>
      <c r="L16514" s="2"/>
    </row>
    <row r="16515" spans="1:12" x14ac:dyDescent="0.2">
      <c r="A16515"/>
      <c r="B16515"/>
      <c r="C16515"/>
      <c r="D16515"/>
      <c r="E16515"/>
      <c r="F16515"/>
      <c r="G16515"/>
      <c r="H16515"/>
      <c r="I16515"/>
      <c r="J16515"/>
      <c r="K16515" s="1"/>
      <c r="L16515" s="2"/>
    </row>
    <row r="16516" spans="1:12" x14ac:dyDescent="0.2">
      <c r="A16516"/>
      <c r="B16516"/>
      <c r="C16516"/>
      <c r="D16516"/>
      <c r="E16516"/>
      <c r="F16516"/>
      <c r="G16516"/>
      <c r="H16516"/>
      <c r="I16516"/>
      <c r="J16516"/>
      <c r="K16516" s="1"/>
      <c r="L16516" s="2"/>
    </row>
    <row r="16517" spans="1:12" x14ac:dyDescent="0.2">
      <c r="A16517"/>
      <c r="B16517"/>
      <c r="C16517"/>
      <c r="D16517"/>
      <c r="E16517"/>
      <c r="F16517"/>
      <c r="G16517"/>
      <c r="H16517"/>
      <c r="I16517"/>
      <c r="J16517"/>
      <c r="K16517" s="1"/>
      <c r="L16517" s="2"/>
    </row>
    <row r="16518" spans="1:12" x14ac:dyDescent="0.2">
      <c r="A16518"/>
      <c r="B16518"/>
      <c r="C16518"/>
      <c r="D16518"/>
      <c r="E16518"/>
      <c r="F16518"/>
      <c r="G16518"/>
      <c r="H16518"/>
      <c r="I16518"/>
      <c r="J16518"/>
      <c r="K16518" s="1"/>
      <c r="L16518" s="2"/>
    </row>
    <row r="16519" spans="1:12" x14ac:dyDescent="0.2">
      <c r="A16519"/>
      <c r="B16519"/>
      <c r="C16519"/>
      <c r="D16519"/>
      <c r="E16519"/>
      <c r="F16519"/>
      <c r="G16519"/>
      <c r="H16519"/>
      <c r="I16519"/>
      <c r="J16519"/>
      <c r="K16519" s="1"/>
      <c r="L16519" s="2"/>
    </row>
    <row r="16520" spans="1:12" x14ac:dyDescent="0.2">
      <c r="A16520"/>
      <c r="B16520"/>
      <c r="C16520"/>
      <c r="D16520"/>
      <c r="E16520"/>
      <c r="F16520"/>
      <c r="G16520"/>
      <c r="H16520"/>
      <c r="I16520"/>
      <c r="J16520"/>
      <c r="K16520" s="1"/>
      <c r="L16520" s="2"/>
    </row>
    <row r="16521" spans="1:12" x14ac:dyDescent="0.2">
      <c r="A16521"/>
      <c r="B16521"/>
      <c r="C16521"/>
      <c r="D16521"/>
      <c r="E16521"/>
      <c r="F16521"/>
      <c r="G16521"/>
      <c r="H16521"/>
      <c r="I16521"/>
      <c r="J16521"/>
      <c r="K16521" s="1"/>
      <c r="L16521" s="2"/>
    </row>
    <row r="16522" spans="1:12" x14ac:dyDescent="0.2">
      <c r="A16522"/>
      <c r="B16522"/>
      <c r="C16522"/>
      <c r="D16522"/>
      <c r="E16522"/>
      <c r="F16522"/>
      <c r="G16522"/>
      <c r="H16522"/>
      <c r="I16522"/>
      <c r="J16522"/>
      <c r="K16522" s="1"/>
      <c r="L16522" s="2"/>
    </row>
    <row r="16523" spans="1:12" x14ac:dyDescent="0.2">
      <c r="A16523"/>
      <c r="B16523"/>
      <c r="C16523"/>
      <c r="D16523"/>
      <c r="E16523"/>
      <c r="F16523"/>
      <c r="G16523"/>
      <c r="H16523"/>
      <c r="I16523"/>
      <c r="J16523"/>
      <c r="K16523" s="1"/>
      <c r="L16523" s="2"/>
    </row>
    <row r="16524" spans="1:12" x14ac:dyDescent="0.2">
      <c r="A16524"/>
      <c r="B16524"/>
      <c r="C16524"/>
      <c r="D16524"/>
      <c r="E16524"/>
      <c r="F16524"/>
      <c r="G16524"/>
      <c r="H16524"/>
      <c r="I16524"/>
      <c r="J16524"/>
      <c r="K16524" s="1"/>
      <c r="L16524" s="2"/>
    </row>
    <row r="16525" spans="1:12" x14ac:dyDescent="0.2">
      <c r="A16525"/>
      <c r="B16525"/>
      <c r="C16525"/>
      <c r="D16525"/>
      <c r="E16525"/>
      <c r="F16525"/>
      <c r="G16525"/>
      <c r="H16525"/>
      <c r="I16525"/>
      <c r="J16525"/>
      <c r="K16525" s="1"/>
      <c r="L16525" s="2"/>
    </row>
    <row r="16526" spans="1:12" x14ac:dyDescent="0.2">
      <c r="A16526"/>
      <c r="B16526"/>
      <c r="C16526"/>
      <c r="D16526"/>
      <c r="E16526"/>
      <c r="F16526"/>
      <c r="G16526"/>
      <c r="H16526"/>
      <c r="I16526"/>
      <c r="J16526"/>
      <c r="K16526" s="1"/>
      <c r="L16526" s="2"/>
    </row>
    <row r="16527" spans="1:12" x14ac:dyDescent="0.2">
      <c r="A16527"/>
      <c r="B16527"/>
      <c r="C16527"/>
      <c r="D16527"/>
      <c r="E16527"/>
      <c r="F16527"/>
      <c r="G16527"/>
      <c r="H16527"/>
      <c r="I16527"/>
      <c r="J16527"/>
      <c r="K16527" s="1"/>
      <c r="L16527" s="2"/>
    </row>
    <row r="16528" spans="1:12" x14ac:dyDescent="0.2">
      <c r="A16528"/>
      <c r="B16528"/>
      <c r="C16528"/>
      <c r="D16528"/>
      <c r="E16528"/>
      <c r="F16528"/>
      <c r="G16528"/>
      <c r="H16528"/>
      <c r="I16528"/>
      <c r="J16528"/>
      <c r="K16528" s="1"/>
      <c r="L16528" s="2"/>
    </row>
    <row r="16529" spans="1:12" x14ac:dyDescent="0.2">
      <c r="A16529"/>
      <c r="B16529"/>
      <c r="C16529"/>
      <c r="D16529"/>
      <c r="E16529"/>
      <c r="F16529"/>
      <c r="G16529"/>
      <c r="H16529"/>
      <c r="I16529"/>
      <c r="J16529"/>
      <c r="K16529" s="1"/>
      <c r="L16529" s="2"/>
    </row>
    <row r="16530" spans="1:12" x14ac:dyDescent="0.2">
      <c r="A16530"/>
      <c r="B16530"/>
      <c r="C16530"/>
      <c r="D16530"/>
      <c r="E16530"/>
      <c r="F16530"/>
      <c r="G16530"/>
      <c r="H16530"/>
      <c r="I16530"/>
      <c r="J16530"/>
      <c r="K16530" s="1"/>
      <c r="L16530" s="2"/>
    </row>
    <row r="16531" spans="1:12" x14ac:dyDescent="0.2">
      <c r="A16531"/>
      <c r="B16531"/>
      <c r="C16531"/>
      <c r="D16531"/>
      <c r="E16531"/>
      <c r="F16531"/>
      <c r="G16531"/>
      <c r="H16531"/>
      <c r="I16531"/>
      <c r="J16531"/>
      <c r="K16531" s="1"/>
      <c r="L16531" s="2"/>
    </row>
    <row r="16532" spans="1:12" x14ac:dyDescent="0.2">
      <c r="A16532"/>
      <c r="B16532"/>
      <c r="C16532"/>
      <c r="D16532"/>
      <c r="E16532"/>
      <c r="F16532"/>
      <c r="G16532"/>
      <c r="H16532"/>
      <c r="I16532"/>
      <c r="J16532"/>
      <c r="K16532" s="1"/>
      <c r="L16532" s="2"/>
    </row>
    <row r="16533" spans="1:12" x14ac:dyDescent="0.2">
      <c r="A16533"/>
      <c r="B16533"/>
      <c r="C16533"/>
      <c r="D16533"/>
      <c r="E16533"/>
      <c r="F16533"/>
      <c r="G16533"/>
      <c r="H16533"/>
      <c r="I16533"/>
      <c r="J16533"/>
      <c r="K16533" s="1"/>
      <c r="L16533" s="2"/>
    </row>
    <row r="16534" spans="1:12" x14ac:dyDescent="0.2">
      <c r="A16534"/>
      <c r="B16534"/>
      <c r="C16534"/>
      <c r="D16534"/>
      <c r="E16534"/>
      <c r="F16534"/>
      <c r="G16534"/>
      <c r="H16534"/>
      <c r="I16534"/>
      <c r="J16534"/>
      <c r="K16534" s="1"/>
      <c r="L16534" s="2"/>
    </row>
    <row r="16535" spans="1:12" x14ac:dyDescent="0.2">
      <c r="A16535"/>
      <c r="B16535"/>
      <c r="C16535"/>
      <c r="D16535"/>
      <c r="E16535"/>
      <c r="F16535"/>
      <c r="G16535"/>
      <c r="H16535"/>
      <c r="I16535"/>
      <c r="J16535"/>
      <c r="K16535" s="1"/>
      <c r="L16535" s="2"/>
    </row>
    <row r="16536" spans="1:12" x14ac:dyDescent="0.2">
      <c r="A16536"/>
      <c r="B16536"/>
      <c r="C16536"/>
      <c r="D16536"/>
      <c r="E16536"/>
      <c r="F16536"/>
      <c r="G16536"/>
      <c r="H16536"/>
      <c r="I16536"/>
      <c r="J16536"/>
      <c r="K16536" s="1"/>
      <c r="L16536" s="2"/>
    </row>
    <row r="16537" spans="1:12" x14ac:dyDescent="0.2">
      <c r="A16537"/>
      <c r="B16537"/>
      <c r="C16537"/>
      <c r="D16537"/>
      <c r="E16537"/>
      <c r="F16537"/>
      <c r="G16537"/>
      <c r="H16537"/>
      <c r="I16537"/>
      <c r="J16537"/>
      <c r="K16537" s="1"/>
      <c r="L16537" s="2"/>
    </row>
    <row r="16538" spans="1:12" x14ac:dyDescent="0.2">
      <c r="A16538"/>
      <c r="B16538"/>
      <c r="C16538"/>
      <c r="D16538"/>
      <c r="E16538"/>
      <c r="F16538"/>
      <c r="G16538"/>
      <c r="H16538"/>
      <c r="I16538"/>
      <c r="J16538"/>
      <c r="K16538" s="1"/>
      <c r="L16538" s="2"/>
    </row>
    <row r="16539" spans="1:12" x14ac:dyDescent="0.2">
      <c r="A16539"/>
      <c r="B16539"/>
      <c r="C16539"/>
      <c r="D16539"/>
      <c r="E16539"/>
      <c r="F16539"/>
      <c r="G16539"/>
      <c r="H16539"/>
      <c r="I16539"/>
      <c r="J16539"/>
      <c r="K16539" s="1"/>
      <c r="L16539" s="2"/>
    </row>
    <row r="16540" spans="1:12" x14ac:dyDescent="0.2">
      <c r="A16540"/>
      <c r="B16540"/>
      <c r="C16540"/>
      <c r="D16540"/>
      <c r="E16540"/>
      <c r="F16540"/>
      <c r="G16540"/>
      <c r="H16540"/>
      <c r="I16540"/>
      <c r="J16540"/>
      <c r="K16540" s="1"/>
      <c r="L16540" s="2"/>
    </row>
    <row r="16541" spans="1:12" x14ac:dyDescent="0.2">
      <c r="A16541"/>
      <c r="B16541"/>
      <c r="C16541"/>
      <c r="D16541"/>
      <c r="E16541"/>
      <c r="F16541"/>
      <c r="G16541"/>
      <c r="H16541"/>
      <c r="I16541"/>
      <c r="J16541"/>
      <c r="K16541" s="1"/>
      <c r="L16541" s="2"/>
    </row>
    <row r="16542" spans="1:12" x14ac:dyDescent="0.2">
      <c r="A16542"/>
      <c r="B16542"/>
      <c r="C16542"/>
      <c r="D16542"/>
      <c r="E16542"/>
      <c r="F16542"/>
      <c r="G16542"/>
      <c r="H16542"/>
      <c r="I16542"/>
      <c r="J16542"/>
      <c r="K16542" s="1"/>
      <c r="L16542" s="2"/>
    </row>
    <row r="16543" spans="1:12" x14ac:dyDescent="0.2">
      <c r="A16543"/>
      <c r="B16543"/>
      <c r="C16543"/>
      <c r="D16543"/>
      <c r="E16543"/>
      <c r="F16543"/>
      <c r="G16543"/>
      <c r="H16543"/>
      <c r="I16543"/>
      <c r="J16543"/>
      <c r="K16543" s="1"/>
      <c r="L16543" s="2"/>
    </row>
    <row r="16544" spans="1:12" x14ac:dyDescent="0.2">
      <c r="A16544"/>
      <c r="B16544"/>
      <c r="C16544"/>
      <c r="D16544"/>
      <c r="E16544"/>
      <c r="F16544"/>
      <c r="G16544"/>
      <c r="H16544"/>
      <c r="I16544"/>
      <c r="J16544"/>
      <c r="K16544" s="1"/>
      <c r="L16544" s="2"/>
    </row>
    <row r="16545" spans="1:12" x14ac:dyDescent="0.2">
      <c r="A16545"/>
      <c r="B16545"/>
      <c r="C16545"/>
      <c r="D16545"/>
      <c r="E16545"/>
      <c r="F16545"/>
      <c r="G16545"/>
      <c r="H16545"/>
      <c r="I16545"/>
      <c r="J16545"/>
      <c r="K16545" s="1"/>
      <c r="L16545" s="2"/>
    </row>
    <row r="16546" spans="1:12" x14ac:dyDescent="0.2">
      <c r="A16546"/>
      <c r="B16546"/>
      <c r="C16546"/>
      <c r="D16546"/>
      <c r="E16546"/>
      <c r="F16546"/>
      <c r="G16546"/>
      <c r="H16546"/>
      <c r="I16546"/>
      <c r="J16546"/>
      <c r="K16546" s="1"/>
      <c r="L16546" s="2"/>
    </row>
    <row r="16547" spans="1:12" x14ac:dyDescent="0.2">
      <c r="A16547"/>
      <c r="B16547"/>
      <c r="C16547"/>
      <c r="D16547"/>
      <c r="E16547"/>
      <c r="F16547"/>
      <c r="G16547"/>
      <c r="H16547"/>
      <c r="I16547"/>
      <c r="J16547"/>
      <c r="K16547" s="1"/>
      <c r="L16547" s="2"/>
    </row>
    <row r="16548" spans="1:12" x14ac:dyDescent="0.2">
      <c r="A16548"/>
      <c r="B16548"/>
      <c r="C16548"/>
      <c r="D16548"/>
      <c r="E16548"/>
      <c r="F16548"/>
      <c r="G16548"/>
      <c r="H16548"/>
      <c r="I16548"/>
      <c r="J16548"/>
      <c r="K16548" s="1"/>
      <c r="L16548" s="2"/>
    </row>
    <row r="16549" spans="1:12" x14ac:dyDescent="0.2">
      <c r="A16549"/>
      <c r="B16549"/>
      <c r="C16549"/>
      <c r="D16549"/>
      <c r="E16549"/>
      <c r="F16549"/>
      <c r="G16549"/>
      <c r="H16549"/>
      <c r="I16549"/>
      <c r="J16549"/>
      <c r="K16549" s="1"/>
      <c r="L16549" s="2"/>
    </row>
    <row r="16550" spans="1:12" x14ac:dyDescent="0.2">
      <c r="A16550"/>
      <c r="B16550"/>
      <c r="C16550"/>
      <c r="D16550"/>
      <c r="E16550"/>
      <c r="F16550"/>
      <c r="G16550"/>
      <c r="H16550"/>
      <c r="I16550"/>
      <c r="J16550"/>
      <c r="K16550" s="1"/>
      <c r="L16550" s="2"/>
    </row>
    <row r="16551" spans="1:12" x14ac:dyDescent="0.2">
      <c r="A16551"/>
      <c r="B16551"/>
      <c r="C16551"/>
      <c r="D16551"/>
      <c r="E16551"/>
      <c r="F16551"/>
      <c r="G16551"/>
      <c r="H16551"/>
      <c r="I16551"/>
      <c r="J16551"/>
      <c r="K16551" s="1"/>
      <c r="L16551" s="2"/>
    </row>
    <row r="16552" spans="1:12" x14ac:dyDescent="0.2">
      <c r="A16552"/>
      <c r="B16552"/>
      <c r="C16552"/>
      <c r="D16552"/>
      <c r="E16552"/>
      <c r="F16552"/>
      <c r="G16552"/>
      <c r="H16552"/>
      <c r="I16552"/>
      <c r="J16552"/>
      <c r="K16552" s="1"/>
      <c r="L16552" s="2"/>
    </row>
    <row r="16553" spans="1:12" x14ac:dyDescent="0.2">
      <c r="A16553"/>
      <c r="B16553"/>
      <c r="C16553"/>
      <c r="D16553"/>
      <c r="E16553"/>
      <c r="F16553"/>
      <c r="G16553"/>
      <c r="H16553"/>
      <c r="I16553"/>
      <c r="J16553"/>
      <c r="K16553" s="1"/>
      <c r="L16553" s="2"/>
    </row>
    <row r="16554" spans="1:12" x14ac:dyDescent="0.2">
      <c r="A16554"/>
      <c r="B16554"/>
      <c r="C16554"/>
      <c r="D16554"/>
      <c r="E16554"/>
      <c r="F16554"/>
      <c r="G16554"/>
      <c r="H16554"/>
      <c r="I16554"/>
      <c r="J16554"/>
      <c r="K16554" s="1"/>
      <c r="L16554" s="2"/>
    </row>
    <row r="16555" spans="1:12" x14ac:dyDescent="0.2">
      <c r="A16555"/>
      <c r="B16555"/>
      <c r="C16555"/>
      <c r="D16555"/>
      <c r="E16555"/>
      <c r="F16555"/>
      <c r="G16555"/>
      <c r="H16555"/>
      <c r="I16555"/>
      <c r="J16555"/>
      <c r="K16555" s="1"/>
      <c r="L16555" s="2"/>
    </row>
    <row r="16556" spans="1:12" x14ac:dyDescent="0.2">
      <c r="A16556"/>
      <c r="B16556"/>
      <c r="C16556"/>
      <c r="D16556"/>
      <c r="E16556"/>
      <c r="F16556"/>
      <c r="G16556"/>
      <c r="H16556"/>
      <c r="I16556"/>
      <c r="J16556"/>
      <c r="K16556" s="1"/>
      <c r="L16556" s="2"/>
    </row>
    <row r="16557" spans="1:12" x14ac:dyDescent="0.2">
      <c r="A16557"/>
      <c r="B16557"/>
      <c r="C16557"/>
      <c r="D16557"/>
      <c r="E16557"/>
      <c r="F16557"/>
      <c r="G16557"/>
      <c r="H16557"/>
      <c r="I16557"/>
      <c r="J16557"/>
      <c r="K16557" s="1"/>
      <c r="L16557" s="2"/>
    </row>
    <row r="16558" spans="1:12" x14ac:dyDescent="0.2">
      <c r="A16558"/>
      <c r="B16558"/>
      <c r="C16558"/>
      <c r="D16558"/>
      <c r="E16558"/>
      <c r="F16558"/>
      <c r="G16558"/>
      <c r="H16558"/>
      <c r="I16558"/>
      <c r="J16558"/>
      <c r="K16558" s="1"/>
      <c r="L16558" s="2"/>
    </row>
    <row r="16559" spans="1:12" x14ac:dyDescent="0.2">
      <c r="A16559"/>
      <c r="B16559"/>
      <c r="C16559"/>
      <c r="D16559"/>
      <c r="E16559"/>
      <c r="F16559"/>
      <c r="G16559"/>
      <c r="H16559"/>
      <c r="I16559"/>
      <c r="J16559"/>
      <c r="K16559" s="1"/>
      <c r="L16559" s="2"/>
    </row>
    <row r="16560" spans="1:12" x14ac:dyDescent="0.2">
      <c r="A16560"/>
      <c r="B16560"/>
      <c r="C16560"/>
      <c r="D16560"/>
      <c r="E16560"/>
      <c r="F16560"/>
      <c r="G16560"/>
      <c r="H16560"/>
      <c r="I16560"/>
      <c r="J16560"/>
      <c r="K16560" s="1"/>
      <c r="L16560" s="2"/>
    </row>
    <row r="16561" spans="1:12" x14ac:dyDescent="0.2">
      <c r="A16561"/>
      <c r="B16561"/>
      <c r="C16561"/>
      <c r="D16561"/>
      <c r="E16561"/>
      <c r="F16561"/>
      <c r="G16561"/>
      <c r="H16561"/>
      <c r="I16561"/>
      <c r="J16561"/>
      <c r="K16561" s="1"/>
      <c r="L16561" s="2"/>
    </row>
    <row r="16562" spans="1:12" x14ac:dyDescent="0.2">
      <c r="A16562"/>
      <c r="B16562"/>
      <c r="C16562"/>
      <c r="D16562"/>
      <c r="E16562"/>
      <c r="F16562"/>
      <c r="G16562"/>
      <c r="H16562"/>
      <c r="I16562"/>
      <c r="J16562"/>
      <c r="K16562" s="1"/>
      <c r="L16562" s="2"/>
    </row>
    <row r="16563" spans="1:12" x14ac:dyDescent="0.2">
      <c r="A16563"/>
      <c r="B16563"/>
      <c r="C16563"/>
      <c r="D16563"/>
      <c r="E16563"/>
      <c r="F16563"/>
      <c r="G16563"/>
      <c r="H16563"/>
      <c r="I16563"/>
      <c r="J16563"/>
      <c r="K16563" s="1"/>
      <c r="L16563" s="2"/>
    </row>
    <row r="16564" spans="1:12" x14ac:dyDescent="0.2">
      <c r="A16564"/>
      <c r="B16564"/>
      <c r="C16564"/>
      <c r="D16564"/>
      <c r="E16564"/>
      <c r="F16564"/>
      <c r="G16564"/>
      <c r="H16564"/>
      <c r="I16564"/>
      <c r="J16564"/>
      <c r="K16564" s="1"/>
      <c r="L16564" s="2"/>
    </row>
    <row r="16565" spans="1:12" x14ac:dyDescent="0.2">
      <c r="A16565"/>
      <c r="B16565"/>
      <c r="C16565"/>
      <c r="D16565"/>
      <c r="E16565"/>
      <c r="F16565"/>
      <c r="G16565"/>
      <c r="H16565"/>
      <c r="I16565"/>
      <c r="J16565"/>
      <c r="K16565" s="1"/>
      <c r="L16565" s="2"/>
    </row>
    <row r="16566" spans="1:12" x14ac:dyDescent="0.2">
      <c r="A16566"/>
      <c r="B16566"/>
      <c r="C16566"/>
      <c r="D16566"/>
      <c r="E16566"/>
      <c r="F16566"/>
      <c r="G16566"/>
      <c r="H16566"/>
      <c r="I16566"/>
      <c r="J16566"/>
      <c r="K16566" s="1"/>
      <c r="L16566" s="2"/>
    </row>
    <row r="16567" spans="1:12" x14ac:dyDescent="0.2">
      <c r="A16567"/>
      <c r="B16567"/>
      <c r="C16567"/>
      <c r="D16567"/>
      <c r="E16567"/>
      <c r="F16567"/>
      <c r="G16567"/>
      <c r="H16567"/>
      <c r="I16567"/>
      <c r="J16567"/>
      <c r="K16567" s="1"/>
      <c r="L16567" s="2"/>
    </row>
    <row r="16568" spans="1:12" x14ac:dyDescent="0.2">
      <c r="A16568"/>
      <c r="B16568"/>
      <c r="C16568"/>
      <c r="D16568"/>
      <c r="E16568"/>
      <c r="F16568"/>
      <c r="G16568"/>
      <c r="H16568"/>
      <c r="I16568"/>
      <c r="J16568"/>
      <c r="K16568" s="1"/>
      <c r="L16568" s="2"/>
    </row>
    <row r="16569" spans="1:12" x14ac:dyDescent="0.2">
      <c r="A16569"/>
      <c r="B16569"/>
      <c r="C16569"/>
      <c r="D16569"/>
      <c r="E16569"/>
      <c r="F16569"/>
      <c r="G16569"/>
      <c r="H16569"/>
      <c r="I16569"/>
      <c r="J16569"/>
      <c r="K16569" s="1"/>
      <c r="L16569" s="2"/>
    </row>
    <row r="16570" spans="1:12" x14ac:dyDescent="0.2">
      <c r="A16570"/>
      <c r="B16570"/>
      <c r="C16570"/>
      <c r="D16570"/>
      <c r="E16570"/>
      <c r="F16570"/>
      <c r="G16570"/>
      <c r="H16570"/>
      <c r="I16570"/>
      <c r="J16570"/>
      <c r="K16570" s="1"/>
      <c r="L16570" s="2"/>
    </row>
    <row r="16571" spans="1:12" x14ac:dyDescent="0.2">
      <c r="A16571"/>
      <c r="B16571"/>
      <c r="C16571"/>
      <c r="D16571"/>
      <c r="E16571"/>
      <c r="F16571"/>
      <c r="G16571"/>
      <c r="H16571"/>
      <c r="I16571"/>
      <c r="J16571"/>
      <c r="K16571" s="1"/>
      <c r="L16571" s="2"/>
    </row>
    <row r="16572" spans="1:12" x14ac:dyDescent="0.2">
      <c r="A16572"/>
      <c r="B16572"/>
      <c r="C16572"/>
      <c r="D16572"/>
      <c r="E16572"/>
      <c r="F16572"/>
      <c r="G16572"/>
      <c r="H16572"/>
      <c r="I16572"/>
      <c r="J16572"/>
      <c r="K16572" s="1"/>
      <c r="L16572" s="2"/>
    </row>
    <row r="16573" spans="1:12" x14ac:dyDescent="0.2">
      <c r="A16573"/>
      <c r="B16573"/>
      <c r="C16573"/>
      <c r="D16573"/>
      <c r="E16573"/>
      <c r="F16573"/>
      <c r="G16573"/>
      <c r="H16573"/>
      <c r="I16573"/>
      <c r="J16573"/>
      <c r="K16573" s="1"/>
      <c r="L16573" s="2"/>
    </row>
    <row r="16574" spans="1:12" x14ac:dyDescent="0.2">
      <c r="A16574"/>
      <c r="B16574"/>
      <c r="C16574"/>
      <c r="D16574"/>
      <c r="E16574"/>
      <c r="F16574"/>
      <c r="G16574"/>
      <c r="H16574"/>
      <c r="I16574"/>
      <c r="J16574"/>
      <c r="K16574" s="1"/>
      <c r="L16574" s="2"/>
    </row>
    <row r="16575" spans="1:12" x14ac:dyDescent="0.2">
      <c r="A16575"/>
      <c r="B16575"/>
      <c r="C16575"/>
      <c r="D16575"/>
      <c r="E16575"/>
      <c r="F16575"/>
      <c r="G16575"/>
      <c r="H16575"/>
      <c r="I16575"/>
      <c r="J16575"/>
      <c r="K16575" s="1"/>
      <c r="L16575" s="2"/>
    </row>
    <row r="16576" spans="1:12" x14ac:dyDescent="0.2">
      <c r="A16576"/>
      <c r="B16576"/>
      <c r="C16576"/>
      <c r="D16576"/>
      <c r="E16576"/>
      <c r="F16576"/>
      <c r="G16576"/>
      <c r="H16576"/>
      <c r="I16576"/>
      <c r="J16576"/>
      <c r="K16576" s="1"/>
      <c r="L16576" s="2"/>
    </row>
    <row r="16577" spans="1:12" x14ac:dyDescent="0.2">
      <c r="A16577"/>
      <c r="B16577"/>
      <c r="C16577"/>
      <c r="D16577"/>
      <c r="E16577"/>
      <c r="F16577"/>
      <c r="G16577"/>
      <c r="H16577"/>
      <c r="I16577"/>
      <c r="J16577"/>
      <c r="K16577" s="1"/>
      <c r="L16577" s="2"/>
    </row>
    <row r="16578" spans="1:12" x14ac:dyDescent="0.2">
      <c r="A16578"/>
      <c r="B16578"/>
      <c r="C16578"/>
      <c r="D16578"/>
      <c r="E16578"/>
      <c r="F16578"/>
      <c r="G16578"/>
      <c r="H16578"/>
      <c r="I16578"/>
      <c r="J16578"/>
      <c r="K16578" s="1"/>
      <c r="L16578" s="2"/>
    </row>
    <row r="16579" spans="1:12" x14ac:dyDescent="0.2">
      <c r="A16579"/>
      <c r="B16579"/>
      <c r="C16579"/>
      <c r="D16579"/>
      <c r="E16579"/>
      <c r="F16579"/>
      <c r="G16579"/>
      <c r="H16579"/>
      <c r="I16579"/>
      <c r="J16579"/>
      <c r="K16579" s="1"/>
      <c r="L16579" s="2"/>
    </row>
    <row r="16580" spans="1:12" x14ac:dyDescent="0.2">
      <c r="A16580"/>
      <c r="B16580"/>
      <c r="C16580"/>
      <c r="D16580"/>
      <c r="E16580"/>
      <c r="F16580"/>
      <c r="G16580"/>
      <c r="H16580"/>
      <c r="I16580"/>
      <c r="J16580"/>
      <c r="K16580" s="1"/>
      <c r="L16580" s="2"/>
    </row>
    <row r="16581" spans="1:12" x14ac:dyDescent="0.2">
      <c r="A16581"/>
      <c r="B16581"/>
      <c r="C16581"/>
      <c r="D16581"/>
      <c r="E16581"/>
      <c r="F16581"/>
      <c r="G16581"/>
      <c r="H16581"/>
      <c r="I16581"/>
      <c r="J16581"/>
      <c r="K16581" s="1"/>
      <c r="L16581" s="2"/>
    </row>
    <row r="16582" spans="1:12" x14ac:dyDescent="0.2">
      <c r="A16582"/>
      <c r="B16582"/>
      <c r="C16582"/>
      <c r="D16582"/>
      <c r="E16582"/>
      <c r="F16582"/>
      <c r="G16582"/>
      <c r="H16582"/>
      <c r="I16582"/>
      <c r="J16582"/>
      <c r="K16582" s="1"/>
      <c r="L16582" s="2"/>
    </row>
    <row r="16583" spans="1:12" x14ac:dyDescent="0.2">
      <c r="A16583"/>
      <c r="B16583"/>
      <c r="C16583"/>
      <c r="D16583"/>
      <c r="E16583"/>
      <c r="F16583"/>
      <c r="G16583"/>
      <c r="H16583"/>
      <c r="I16583"/>
      <c r="J16583"/>
      <c r="K16583" s="1"/>
      <c r="L16583" s="2"/>
    </row>
    <row r="16584" spans="1:12" x14ac:dyDescent="0.2">
      <c r="A16584"/>
      <c r="B16584"/>
      <c r="C16584"/>
      <c r="D16584"/>
      <c r="E16584"/>
      <c r="F16584"/>
      <c r="G16584"/>
      <c r="H16584"/>
      <c r="I16584"/>
      <c r="J16584"/>
      <c r="K16584" s="1"/>
      <c r="L16584" s="2"/>
    </row>
    <row r="16585" spans="1:12" x14ac:dyDescent="0.2">
      <c r="A16585"/>
      <c r="B16585"/>
      <c r="C16585"/>
      <c r="D16585"/>
      <c r="E16585"/>
      <c r="F16585"/>
      <c r="G16585"/>
      <c r="H16585"/>
      <c r="I16585"/>
      <c r="J16585"/>
      <c r="K16585" s="1"/>
      <c r="L16585" s="2"/>
    </row>
    <row r="16586" spans="1:12" x14ac:dyDescent="0.2">
      <c r="A16586"/>
      <c r="B16586"/>
      <c r="C16586"/>
      <c r="D16586"/>
      <c r="E16586"/>
      <c r="F16586"/>
      <c r="G16586"/>
      <c r="H16586"/>
      <c r="I16586"/>
      <c r="J16586"/>
      <c r="K16586" s="1"/>
      <c r="L16586" s="2"/>
    </row>
    <row r="16587" spans="1:12" x14ac:dyDescent="0.2">
      <c r="A16587"/>
      <c r="B16587"/>
      <c r="C16587"/>
      <c r="D16587"/>
      <c r="E16587"/>
      <c r="F16587"/>
      <c r="G16587"/>
      <c r="H16587"/>
      <c r="I16587"/>
      <c r="J16587"/>
      <c r="K16587" s="1"/>
      <c r="L16587" s="2"/>
    </row>
    <row r="16588" spans="1:12" x14ac:dyDescent="0.2">
      <c r="A16588"/>
      <c r="B16588"/>
      <c r="C16588"/>
      <c r="D16588"/>
      <c r="E16588"/>
      <c r="F16588"/>
      <c r="G16588"/>
      <c r="H16588"/>
      <c r="I16588"/>
      <c r="J16588"/>
      <c r="K16588" s="1"/>
      <c r="L16588" s="2"/>
    </row>
    <row r="16589" spans="1:12" x14ac:dyDescent="0.2">
      <c r="A16589"/>
      <c r="B16589"/>
      <c r="C16589"/>
      <c r="D16589"/>
      <c r="E16589"/>
      <c r="F16589"/>
      <c r="G16589"/>
      <c r="H16589"/>
      <c r="I16589"/>
      <c r="J16589"/>
      <c r="K16589" s="1"/>
      <c r="L16589" s="2"/>
    </row>
    <row r="16590" spans="1:12" x14ac:dyDescent="0.2">
      <c r="A16590"/>
      <c r="B16590"/>
      <c r="C16590"/>
      <c r="D16590"/>
      <c r="E16590"/>
      <c r="F16590"/>
      <c r="G16590"/>
      <c r="H16590"/>
      <c r="I16590"/>
      <c r="J16590"/>
      <c r="K16590" s="1"/>
      <c r="L16590" s="2"/>
    </row>
    <row r="16591" spans="1:12" x14ac:dyDescent="0.2">
      <c r="A16591"/>
      <c r="B16591"/>
      <c r="C16591"/>
      <c r="D16591"/>
      <c r="E16591"/>
      <c r="F16591"/>
      <c r="G16591"/>
      <c r="H16591"/>
      <c r="I16591"/>
      <c r="J16591"/>
      <c r="K16591" s="1"/>
      <c r="L16591" s="2"/>
    </row>
    <row r="16592" spans="1:12" x14ac:dyDescent="0.2">
      <c r="A16592"/>
      <c r="B16592"/>
      <c r="C16592"/>
      <c r="D16592"/>
      <c r="E16592"/>
      <c r="F16592"/>
      <c r="G16592"/>
      <c r="H16592"/>
      <c r="I16592"/>
      <c r="J16592"/>
      <c r="K16592" s="1"/>
      <c r="L16592" s="2"/>
    </row>
    <row r="16593" spans="1:12" x14ac:dyDescent="0.2">
      <c r="A16593"/>
      <c r="B16593"/>
      <c r="C16593"/>
      <c r="D16593"/>
      <c r="E16593"/>
      <c r="F16593"/>
      <c r="G16593"/>
      <c r="H16593"/>
      <c r="I16593"/>
      <c r="J16593"/>
      <c r="K16593" s="1"/>
      <c r="L16593" s="2"/>
    </row>
    <row r="16594" spans="1:12" x14ac:dyDescent="0.2">
      <c r="A16594"/>
      <c r="B16594"/>
      <c r="C16594"/>
      <c r="D16594"/>
      <c r="E16594"/>
      <c r="F16594"/>
      <c r="G16594"/>
      <c r="H16594"/>
      <c r="I16594"/>
      <c r="J16594"/>
      <c r="K16594" s="1"/>
      <c r="L16594" s="2"/>
    </row>
    <row r="16595" spans="1:12" x14ac:dyDescent="0.2">
      <c r="A16595"/>
      <c r="B16595"/>
      <c r="C16595"/>
      <c r="D16595"/>
      <c r="E16595"/>
      <c r="F16595"/>
      <c r="G16595"/>
      <c r="H16595"/>
      <c r="I16595"/>
      <c r="J16595"/>
      <c r="K16595" s="1"/>
      <c r="L16595" s="2"/>
    </row>
    <row r="16596" spans="1:12" x14ac:dyDescent="0.2">
      <c r="A16596"/>
      <c r="B16596"/>
      <c r="C16596"/>
      <c r="D16596"/>
      <c r="E16596"/>
      <c r="F16596"/>
      <c r="G16596"/>
      <c r="H16596"/>
      <c r="I16596"/>
      <c r="J16596"/>
      <c r="K16596" s="1"/>
      <c r="L16596" s="2"/>
    </row>
    <row r="16597" spans="1:12" x14ac:dyDescent="0.2">
      <c r="A16597"/>
      <c r="B16597"/>
      <c r="C16597"/>
      <c r="D16597"/>
      <c r="E16597"/>
      <c r="F16597"/>
      <c r="G16597"/>
      <c r="H16597"/>
      <c r="I16597"/>
      <c r="J16597"/>
      <c r="K16597" s="1"/>
      <c r="L16597" s="2"/>
    </row>
    <row r="16598" spans="1:12" x14ac:dyDescent="0.2">
      <c r="A16598"/>
      <c r="B16598"/>
      <c r="C16598"/>
      <c r="D16598"/>
      <c r="E16598"/>
      <c r="F16598"/>
      <c r="G16598"/>
      <c r="H16598"/>
      <c r="I16598"/>
      <c r="J16598"/>
      <c r="K16598" s="1"/>
      <c r="L16598" s="2"/>
    </row>
    <row r="16599" spans="1:12" x14ac:dyDescent="0.2">
      <c r="A16599"/>
      <c r="B16599"/>
      <c r="C16599"/>
      <c r="D16599"/>
      <c r="E16599"/>
      <c r="F16599"/>
      <c r="G16599"/>
      <c r="H16599"/>
      <c r="I16599"/>
      <c r="J16599"/>
      <c r="K16599" s="1"/>
      <c r="L16599" s="2"/>
    </row>
    <row r="16600" spans="1:12" x14ac:dyDescent="0.2">
      <c r="A16600"/>
      <c r="B16600"/>
      <c r="C16600"/>
      <c r="D16600"/>
      <c r="E16600"/>
      <c r="F16600"/>
      <c r="G16600"/>
      <c r="H16600"/>
      <c r="I16600"/>
      <c r="J16600"/>
      <c r="K16600" s="1"/>
      <c r="L16600" s="2"/>
    </row>
    <row r="16601" spans="1:12" x14ac:dyDescent="0.2">
      <c r="A16601"/>
      <c r="B16601"/>
      <c r="C16601"/>
      <c r="D16601"/>
      <c r="E16601"/>
      <c r="F16601"/>
      <c r="G16601"/>
      <c r="H16601"/>
      <c r="I16601"/>
      <c r="J16601"/>
      <c r="K16601" s="1"/>
      <c r="L16601" s="2"/>
    </row>
    <row r="16602" spans="1:12" x14ac:dyDescent="0.2">
      <c r="A16602"/>
      <c r="B16602"/>
      <c r="C16602"/>
      <c r="D16602"/>
      <c r="E16602"/>
      <c r="F16602"/>
      <c r="G16602"/>
      <c r="H16602"/>
      <c r="I16602"/>
      <c r="J16602"/>
      <c r="K16602" s="1"/>
      <c r="L16602" s="2"/>
    </row>
    <row r="16603" spans="1:12" x14ac:dyDescent="0.2">
      <c r="A16603"/>
      <c r="B16603"/>
      <c r="C16603"/>
      <c r="D16603"/>
      <c r="E16603"/>
      <c r="F16603"/>
      <c r="G16603"/>
      <c r="H16603"/>
      <c r="I16603"/>
      <c r="J16603"/>
      <c r="K16603" s="1"/>
      <c r="L16603" s="2"/>
    </row>
    <row r="16604" spans="1:12" x14ac:dyDescent="0.2">
      <c r="A16604"/>
      <c r="B16604"/>
      <c r="C16604"/>
      <c r="D16604"/>
      <c r="E16604"/>
      <c r="F16604"/>
      <c r="G16604"/>
      <c r="H16604"/>
      <c r="I16604"/>
      <c r="J16604"/>
      <c r="K16604" s="1"/>
      <c r="L16604" s="2"/>
    </row>
    <row r="16605" spans="1:12" x14ac:dyDescent="0.2">
      <c r="A16605"/>
      <c r="B16605"/>
      <c r="C16605"/>
      <c r="D16605"/>
      <c r="E16605"/>
      <c r="F16605"/>
      <c r="G16605"/>
      <c r="H16605"/>
      <c r="I16605"/>
      <c r="J16605"/>
      <c r="K16605" s="1"/>
      <c r="L16605" s="2"/>
    </row>
    <row r="16606" spans="1:12" x14ac:dyDescent="0.2">
      <c r="A16606"/>
      <c r="B16606"/>
      <c r="C16606"/>
      <c r="D16606"/>
      <c r="E16606"/>
      <c r="F16606"/>
      <c r="G16606"/>
      <c r="H16606"/>
      <c r="I16606"/>
      <c r="J16606"/>
      <c r="K16606" s="1"/>
      <c r="L16606" s="2"/>
    </row>
    <row r="16607" spans="1:12" x14ac:dyDescent="0.2">
      <c r="A16607"/>
      <c r="B16607"/>
      <c r="C16607"/>
      <c r="D16607"/>
      <c r="E16607"/>
      <c r="F16607"/>
      <c r="G16607"/>
      <c r="H16607"/>
      <c r="I16607"/>
      <c r="J16607"/>
      <c r="K16607" s="1"/>
      <c r="L16607" s="2"/>
    </row>
    <row r="16608" spans="1:12" x14ac:dyDescent="0.2">
      <c r="A16608"/>
      <c r="B16608"/>
      <c r="C16608"/>
      <c r="D16608"/>
      <c r="E16608"/>
      <c r="F16608"/>
      <c r="G16608"/>
      <c r="H16608"/>
      <c r="I16608"/>
      <c r="J16608"/>
      <c r="K16608" s="1"/>
      <c r="L16608" s="2"/>
    </row>
    <row r="16609" spans="1:12" x14ac:dyDescent="0.2">
      <c r="A16609"/>
      <c r="B16609"/>
      <c r="C16609"/>
      <c r="D16609"/>
      <c r="E16609"/>
      <c r="F16609"/>
      <c r="G16609"/>
      <c r="H16609"/>
      <c r="I16609"/>
      <c r="J16609"/>
      <c r="K16609" s="1"/>
      <c r="L16609" s="2"/>
    </row>
    <row r="16610" spans="1:12" x14ac:dyDescent="0.2">
      <c r="A16610"/>
      <c r="B16610"/>
      <c r="C16610"/>
      <c r="D16610"/>
      <c r="E16610"/>
      <c r="F16610"/>
      <c r="G16610"/>
      <c r="H16610"/>
      <c r="I16610"/>
      <c r="J16610"/>
      <c r="K16610" s="1"/>
      <c r="L16610" s="2"/>
    </row>
    <row r="16611" spans="1:12" x14ac:dyDescent="0.2">
      <c r="A16611"/>
      <c r="B16611"/>
      <c r="C16611"/>
      <c r="D16611"/>
      <c r="E16611"/>
      <c r="F16611"/>
      <c r="G16611"/>
      <c r="H16611"/>
      <c r="I16611"/>
      <c r="J16611"/>
      <c r="K16611" s="1"/>
      <c r="L16611" s="2"/>
    </row>
    <row r="16612" spans="1:12" x14ac:dyDescent="0.2">
      <c r="A16612"/>
      <c r="B16612"/>
      <c r="C16612"/>
      <c r="D16612"/>
      <c r="E16612"/>
      <c r="F16612"/>
      <c r="G16612"/>
      <c r="H16612"/>
      <c r="I16612"/>
      <c r="J16612"/>
      <c r="K16612" s="1"/>
      <c r="L16612" s="2"/>
    </row>
    <row r="16613" spans="1:12" x14ac:dyDescent="0.2">
      <c r="A16613"/>
      <c r="B16613"/>
      <c r="C16613"/>
      <c r="D16613"/>
      <c r="E16613"/>
      <c r="F16613"/>
      <c r="G16613"/>
      <c r="H16613"/>
      <c r="I16613"/>
      <c r="J16613"/>
      <c r="K16613" s="1"/>
      <c r="L16613" s="2"/>
    </row>
    <row r="16614" spans="1:12" x14ac:dyDescent="0.2">
      <c r="A16614"/>
      <c r="B16614"/>
      <c r="C16614"/>
      <c r="D16614"/>
      <c r="E16614"/>
      <c r="F16614"/>
      <c r="G16614"/>
      <c r="H16614"/>
      <c r="I16614"/>
      <c r="J16614"/>
      <c r="K16614" s="1"/>
      <c r="L16614" s="2"/>
    </row>
    <row r="16615" spans="1:12" x14ac:dyDescent="0.2">
      <c r="A16615"/>
      <c r="B16615"/>
      <c r="C16615"/>
      <c r="D16615"/>
      <c r="E16615"/>
      <c r="F16615"/>
      <c r="G16615"/>
      <c r="H16615"/>
      <c r="I16615"/>
      <c r="J16615"/>
      <c r="K16615" s="1"/>
      <c r="L16615" s="2"/>
    </row>
    <row r="16616" spans="1:12" x14ac:dyDescent="0.2">
      <c r="A16616"/>
      <c r="B16616"/>
      <c r="C16616"/>
      <c r="D16616"/>
      <c r="E16616"/>
      <c r="F16616"/>
      <c r="G16616"/>
      <c r="H16616"/>
      <c r="I16616"/>
      <c r="J16616"/>
      <c r="K16616" s="1"/>
      <c r="L16616" s="2"/>
    </row>
    <row r="16617" spans="1:12" x14ac:dyDescent="0.2">
      <c r="A16617"/>
      <c r="B16617"/>
      <c r="C16617"/>
      <c r="D16617"/>
      <c r="E16617"/>
      <c r="F16617"/>
      <c r="G16617"/>
      <c r="H16617"/>
      <c r="I16617"/>
      <c r="J16617"/>
      <c r="K16617" s="1"/>
      <c r="L16617" s="2"/>
    </row>
    <row r="16618" spans="1:12" x14ac:dyDescent="0.2">
      <c r="A16618"/>
      <c r="B16618"/>
      <c r="C16618"/>
      <c r="D16618"/>
      <c r="E16618"/>
      <c r="F16618"/>
      <c r="G16618"/>
      <c r="H16618"/>
      <c r="I16618"/>
      <c r="J16618"/>
      <c r="K16618" s="1"/>
      <c r="L16618" s="2"/>
    </row>
    <row r="16619" spans="1:12" x14ac:dyDescent="0.2">
      <c r="A16619"/>
      <c r="B16619"/>
      <c r="C16619"/>
      <c r="D16619"/>
      <c r="E16619"/>
      <c r="F16619"/>
      <c r="G16619"/>
      <c r="H16619"/>
      <c r="I16619"/>
      <c r="J16619"/>
      <c r="K16619" s="1"/>
      <c r="L16619" s="2"/>
    </row>
    <row r="16620" spans="1:12" x14ac:dyDescent="0.2">
      <c r="A16620"/>
      <c r="B16620"/>
      <c r="C16620"/>
      <c r="D16620"/>
      <c r="E16620"/>
      <c r="F16620"/>
      <c r="G16620"/>
      <c r="H16620"/>
      <c r="I16620"/>
      <c r="J16620"/>
      <c r="K16620" s="1"/>
      <c r="L16620" s="2"/>
    </row>
    <row r="16621" spans="1:12" x14ac:dyDescent="0.2">
      <c r="A16621"/>
      <c r="B16621"/>
      <c r="C16621"/>
      <c r="D16621"/>
      <c r="E16621"/>
      <c r="F16621"/>
      <c r="G16621"/>
      <c r="H16621"/>
      <c r="I16621"/>
      <c r="J16621"/>
      <c r="K16621" s="1"/>
      <c r="L16621" s="2"/>
    </row>
    <row r="16622" spans="1:12" x14ac:dyDescent="0.2">
      <c r="A16622"/>
      <c r="B16622"/>
      <c r="C16622"/>
      <c r="D16622"/>
      <c r="E16622"/>
      <c r="F16622"/>
      <c r="G16622"/>
      <c r="H16622"/>
      <c r="I16622"/>
      <c r="J16622"/>
      <c r="K16622" s="1"/>
      <c r="L16622" s="2"/>
    </row>
    <row r="16623" spans="1:12" x14ac:dyDescent="0.2">
      <c r="A16623"/>
      <c r="B16623"/>
      <c r="C16623"/>
      <c r="D16623"/>
      <c r="E16623"/>
      <c r="F16623"/>
      <c r="G16623"/>
      <c r="H16623"/>
      <c r="I16623"/>
      <c r="J16623"/>
      <c r="K16623" s="1"/>
      <c r="L16623" s="2"/>
    </row>
    <row r="16624" spans="1:12" x14ac:dyDescent="0.2">
      <c r="A16624"/>
      <c r="B16624"/>
      <c r="C16624"/>
      <c r="D16624"/>
      <c r="E16624"/>
      <c r="F16624"/>
      <c r="G16624"/>
      <c r="H16624"/>
      <c r="I16624"/>
      <c r="J16624"/>
      <c r="K16624" s="1"/>
      <c r="L16624" s="2"/>
    </row>
    <row r="16625" spans="1:12" x14ac:dyDescent="0.2">
      <c r="A16625"/>
      <c r="B16625"/>
      <c r="C16625"/>
      <c r="D16625"/>
      <c r="E16625"/>
      <c r="F16625"/>
      <c r="G16625"/>
      <c r="H16625"/>
      <c r="I16625"/>
      <c r="J16625"/>
      <c r="K16625" s="1"/>
      <c r="L16625" s="2"/>
    </row>
    <row r="16626" spans="1:12" x14ac:dyDescent="0.2">
      <c r="A16626"/>
      <c r="B16626"/>
      <c r="C16626"/>
      <c r="D16626"/>
      <c r="E16626"/>
      <c r="F16626"/>
      <c r="G16626"/>
      <c r="H16626"/>
      <c r="I16626"/>
      <c r="J16626"/>
      <c r="K16626" s="1"/>
      <c r="L16626" s="2"/>
    </row>
    <row r="16627" spans="1:12" x14ac:dyDescent="0.2">
      <c r="A16627"/>
      <c r="B16627"/>
      <c r="C16627"/>
      <c r="D16627"/>
      <c r="E16627"/>
      <c r="F16627"/>
      <c r="G16627"/>
      <c r="H16627"/>
      <c r="I16627"/>
      <c r="J16627"/>
      <c r="K16627" s="1"/>
      <c r="L16627" s="2"/>
    </row>
    <row r="16628" spans="1:12" x14ac:dyDescent="0.2">
      <c r="A16628"/>
      <c r="B16628"/>
      <c r="C16628"/>
      <c r="D16628"/>
      <c r="E16628"/>
      <c r="F16628"/>
      <c r="G16628"/>
      <c r="H16628"/>
      <c r="I16628"/>
      <c r="J16628"/>
      <c r="K16628" s="1"/>
      <c r="L16628" s="2"/>
    </row>
    <row r="16629" spans="1:12" x14ac:dyDescent="0.2">
      <c r="A16629"/>
      <c r="B16629"/>
      <c r="C16629"/>
      <c r="D16629"/>
      <c r="E16629"/>
      <c r="F16629"/>
      <c r="G16629"/>
      <c r="H16629"/>
      <c r="I16629"/>
      <c r="J16629"/>
      <c r="K16629" s="1"/>
      <c r="L16629" s="2"/>
    </row>
    <row r="16630" spans="1:12" x14ac:dyDescent="0.2">
      <c r="A16630"/>
      <c r="B16630"/>
      <c r="C16630"/>
      <c r="D16630"/>
      <c r="E16630"/>
      <c r="F16630"/>
      <c r="G16630"/>
      <c r="H16630"/>
      <c r="I16630"/>
      <c r="J16630"/>
      <c r="K16630" s="1"/>
      <c r="L16630" s="2"/>
    </row>
    <row r="16631" spans="1:12" x14ac:dyDescent="0.2">
      <c r="A16631"/>
      <c r="B16631"/>
      <c r="C16631"/>
      <c r="D16631"/>
      <c r="E16631"/>
      <c r="F16631"/>
      <c r="G16631"/>
      <c r="H16631"/>
      <c r="I16631"/>
      <c r="J16631"/>
      <c r="K16631" s="1"/>
      <c r="L16631" s="2"/>
    </row>
    <row r="16632" spans="1:12" x14ac:dyDescent="0.2">
      <c r="A16632"/>
      <c r="B16632"/>
      <c r="C16632"/>
      <c r="D16632"/>
      <c r="E16632"/>
      <c r="F16632"/>
      <c r="G16632"/>
      <c r="H16632"/>
      <c r="I16632"/>
      <c r="J16632"/>
      <c r="K16632" s="1"/>
      <c r="L16632" s="2"/>
    </row>
    <row r="16633" spans="1:12" x14ac:dyDescent="0.2">
      <c r="A16633"/>
      <c r="B16633"/>
      <c r="C16633"/>
      <c r="D16633"/>
      <c r="E16633"/>
      <c r="F16633"/>
      <c r="G16633"/>
      <c r="H16633"/>
      <c r="I16633"/>
      <c r="J16633"/>
      <c r="K16633" s="1"/>
      <c r="L16633" s="2"/>
    </row>
    <row r="16634" spans="1:12" x14ac:dyDescent="0.2">
      <c r="A16634"/>
      <c r="B16634"/>
      <c r="C16634"/>
      <c r="D16634"/>
      <c r="E16634"/>
      <c r="F16634"/>
      <c r="G16634"/>
      <c r="H16634"/>
      <c r="I16634"/>
      <c r="J16634"/>
      <c r="K16634" s="1"/>
      <c r="L16634" s="2"/>
    </row>
    <row r="16635" spans="1:12" x14ac:dyDescent="0.2">
      <c r="A16635"/>
      <c r="B16635"/>
      <c r="C16635"/>
      <c r="D16635"/>
      <c r="E16635"/>
      <c r="F16635"/>
      <c r="G16635"/>
      <c r="H16635"/>
      <c r="I16635"/>
      <c r="J16635"/>
      <c r="K16635" s="1"/>
      <c r="L16635" s="2"/>
    </row>
    <row r="16636" spans="1:12" x14ac:dyDescent="0.2">
      <c r="A16636"/>
      <c r="B16636"/>
      <c r="C16636"/>
      <c r="D16636"/>
      <c r="E16636"/>
      <c r="F16636"/>
      <c r="G16636"/>
      <c r="H16636"/>
      <c r="I16636"/>
      <c r="J16636"/>
      <c r="K16636" s="1"/>
      <c r="L16636" s="2"/>
    </row>
    <row r="16637" spans="1:12" x14ac:dyDescent="0.2">
      <c r="A16637"/>
      <c r="B16637"/>
      <c r="C16637"/>
      <c r="D16637"/>
      <c r="E16637"/>
      <c r="F16637"/>
      <c r="G16637"/>
      <c r="H16637"/>
      <c r="I16637"/>
      <c r="J16637"/>
      <c r="K16637" s="1"/>
      <c r="L16637" s="2"/>
    </row>
    <row r="16638" spans="1:12" x14ac:dyDescent="0.2">
      <c r="A16638"/>
      <c r="B16638"/>
      <c r="C16638"/>
      <c r="D16638"/>
      <c r="E16638"/>
      <c r="F16638"/>
      <c r="G16638"/>
      <c r="H16638"/>
      <c r="I16638"/>
      <c r="J16638"/>
      <c r="K16638" s="1"/>
      <c r="L16638" s="2"/>
    </row>
    <row r="16639" spans="1:12" x14ac:dyDescent="0.2">
      <c r="A16639"/>
      <c r="B16639"/>
      <c r="C16639"/>
      <c r="D16639"/>
      <c r="E16639"/>
      <c r="F16639"/>
      <c r="G16639"/>
      <c r="H16639"/>
      <c r="I16639"/>
      <c r="J16639"/>
      <c r="K16639" s="1"/>
      <c r="L16639" s="2"/>
    </row>
    <row r="16640" spans="1:12" x14ac:dyDescent="0.2">
      <c r="A16640"/>
      <c r="B16640"/>
      <c r="C16640"/>
      <c r="D16640"/>
      <c r="E16640"/>
      <c r="F16640"/>
      <c r="G16640"/>
      <c r="H16640"/>
      <c r="I16640"/>
      <c r="J16640"/>
      <c r="K16640" s="1"/>
      <c r="L16640" s="2"/>
    </row>
    <row r="16641" spans="1:12" x14ac:dyDescent="0.2">
      <c r="A16641"/>
      <c r="B16641"/>
      <c r="C16641"/>
      <c r="D16641"/>
      <c r="E16641"/>
      <c r="F16641"/>
      <c r="G16641"/>
      <c r="H16641"/>
      <c r="I16641"/>
      <c r="J16641"/>
      <c r="K16641" s="1"/>
      <c r="L16641" s="2"/>
    </row>
    <row r="16642" spans="1:12" x14ac:dyDescent="0.2">
      <c r="A16642"/>
      <c r="B16642"/>
      <c r="C16642"/>
      <c r="D16642"/>
      <c r="E16642"/>
      <c r="F16642"/>
      <c r="G16642"/>
      <c r="H16642"/>
      <c r="I16642"/>
      <c r="J16642"/>
      <c r="K16642" s="1"/>
      <c r="L16642" s="2"/>
    </row>
    <row r="16643" spans="1:12" x14ac:dyDescent="0.2">
      <c r="A16643"/>
      <c r="B16643"/>
      <c r="C16643"/>
      <c r="D16643"/>
      <c r="E16643"/>
      <c r="F16643"/>
      <c r="G16643"/>
      <c r="H16643"/>
      <c r="I16643"/>
      <c r="J16643"/>
      <c r="K16643" s="1"/>
      <c r="L16643" s="2"/>
    </row>
    <row r="16644" spans="1:12" x14ac:dyDescent="0.2">
      <c r="A16644"/>
      <c r="B16644"/>
      <c r="C16644"/>
      <c r="D16644"/>
      <c r="E16644"/>
      <c r="F16644"/>
      <c r="G16644"/>
      <c r="H16644"/>
      <c r="I16644"/>
      <c r="J16644"/>
      <c r="K16644" s="1"/>
      <c r="L16644" s="2"/>
    </row>
    <row r="16645" spans="1:12" x14ac:dyDescent="0.2">
      <c r="A16645"/>
      <c r="B16645"/>
      <c r="C16645"/>
      <c r="D16645"/>
      <c r="E16645"/>
      <c r="F16645"/>
      <c r="G16645"/>
      <c r="H16645"/>
      <c r="I16645"/>
      <c r="J16645"/>
      <c r="K16645" s="1"/>
      <c r="L16645" s="2"/>
    </row>
    <row r="16646" spans="1:12" x14ac:dyDescent="0.2">
      <c r="A16646"/>
      <c r="B16646"/>
      <c r="C16646"/>
      <c r="D16646"/>
      <c r="E16646"/>
      <c r="F16646"/>
      <c r="G16646"/>
      <c r="H16646"/>
      <c r="I16646"/>
      <c r="J16646"/>
      <c r="K16646" s="1"/>
      <c r="L16646" s="2"/>
    </row>
    <row r="16647" spans="1:12" x14ac:dyDescent="0.2">
      <c r="A16647"/>
      <c r="B16647"/>
      <c r="C16647"/>
      <c r="D16647"/>
      <c r="E16647"/>
      <c r="F16647"/>
      <c r="G16647"/>
      <c r="H16647"/>
      <c r="I16647"/>
      <c r="J16647"/>
      <c r="K16647" s="1"/>
      <c r="L16647" s="2"/>
    </row>
    <row r="16648" spans="1:12" x14ac:dyDescent="0.2">
      <c r="A16648"/>
      <c r="B16648"/>
      <c r="C16648"/>
      <c r="D16648"/>
      <c r="E16648"/>
      <c r="F16648"/>
      <c r="G16648"/>
      <c r="H16648"/>
      <c r="I16648"/>
      <c r="J16648"/>
      <c r="K16648" s="1"/>
      <c r="L16648" s="2"/>
    </row>
    <row r="16649" spans="1:12" x14ac:dyDescent="0.2">
      <c r="A16649"/>
      <c r="B16649"/>
      <c r="C16649"/>
      <c r="D16649"/>
      <c r="E16649"/>
      <c r="F16649"/>
      <c r="G16649"/>
      <c r="H16649"/>
      <c r="I16649"/>
      <c r="J16649"/>
      <c r="K16649" s="1"/>
      <c r="L16649" s="2"/>
    </row>
    <row r="16650" spans="1:12" x14ac:dyDescent="0.2">
      <c r="A16650"/>
      <c r="B16650"/>
      <c r="C16650"/>
      <c r="D16650"/>
      <c r="E16650"/>
      <c r="F16650"/>
      <c r="G16650"/>
      <c r="H16650"/>
      <c r="I16650"/>
      <c r="J16650"/>
      <c r="K16650" s="1"/>
      <c r="L16650" s="2"/>
    </row>
    <row r="16651" spans="1:12" x14ac:dyDescent="0.2">
      <c r="A16651"/>
      <c r="B16651"/>
      <c r="C16651"/>
      <c r="D16651"/>
      <c r="E16651"/>
      <c r="F16651"/>
      <c r="G16651"/>
      <c r="H16651"/>
      <c r="I16651"/>
      <c r="J16651"/>
      <c r="K16651" s="1"/>
      <c r="L16651" s="2"/>
    </row>
    <row r="16652" spans="1:12" x14ac:dyDescent="0.2">
      <c r="A16652"/>
      <c r="B16652"/>
      <c r="C16652"/>
      <c r="D16652"/>
      <c r="E16652"/>
      <c r="F16652"/>
      <c r="G16652"/>
      <c r="H16652"/>
      <c r="I16652"/>
      <c r="J16652"/>
      <c r="K16652" s="1"/>
      <c r="L16652" s="2"/>
    </row>
    <row r="16653" spans="1:12" x14ac:dyDescent="0.2">
      <c r="A16653"/>
      <c r="B16653"/>
      <c r="C16653"/>
      <c r="D16653"/>
      <c r="E16653"/>
      <c r="F16653"/>
      <c r="G16653"/>
      <c r="H16653"/>
      <c r="I16653"/>
      <c r="J16653"/>
      <c r="K16653" s="1"/>
      <c r="L16653" s="2"/>
    </row>
    <row r="16654" spans="1:12" x14ac:dyDescent="0.2">
      <c r="A16654"/>
      <c r="B16654"/>
      <c r="C16654"/>
      <c r="D16654"/>
      <c r="E16654"/>
      <c r="F16654"/>
      <c r="G16654"/>
      <c r="H16654"/>
      <c r="I16654"/>
      <c r="J16654"/>
      <c r="K16654" s="1"/>
      <c r="L16654" s="2"/>
    </row>
    <row r="16655" spans="1:12" x14ac:dyDescent="0.2">
      <c r="A16655"/>
      <c r="B16655"/>
      <c r="C16655"/>
      <c r="D16655"/>
      <c r="E16655"/>
      <c r="F16655"/>
      <c r="G16655"/>
      <c r="H16655"/>
      <c r="I16655"/>
      <c r="J16655"/>
      <c r="K16655" s="1"/>
      <c r="L16655" s="2"/>
    </row>
    <row r="16656" spans="1:12" x14ac:dyDescent="0.2">
      <c r="A16656"/>
      <c r="B16656"/>
      <c r="C16656"/>
      <c r="D16656"/>
      <c r="E16656"/>
      <c r="F16656"/>
      <c r="G16656"/>
      <c r="H16656"/>
      <c r="I16656"/>
      <c r="J16656"/>
      <c r="K16656" s="1"/>
      <c r="L16656" s="2"/>
    </row>
    <row r="16657" spans="1:12" x14ac:dyDescent="0.2">
      <c r="A16657"/>
      <c r="B16657"/>
      <c r="C16657"/>
      <c r="D16657"/>
      <c r="E16657"/>
      <c r="F16657"/>
      <c r="G16657"/>
      <c r="H16657"/>
      <c r="I16657"/>
      <c r="J16657"/>
      <c r="K16657" s="1"/>
      <c r="L16657" s="2"/>
    </row>
    <row r="16658" spans="1:12" x14ac:dyDescent="0.2">
      <c r="A16658"/>
      <c r="B16658"/>
      <c r="C16658"/>
      <c r="D16658"/>
      <c r="E16658"/>
      <c r="F16658"/>
      <c r="G16658"/>
      <c r="H16658"/>
      <c r="I16658"/>
      <c r="J16658"/>
      <c r="K16658" s="1"/>
      <c r="L16658" s="2"/>
    </row>
    <row r="16659" spans="1:12" x14ac:dyDescent="0.2">
      <c r="A16659"/>
      <c r="B16659"/>
      <c r="C16659"/>
      <c r="D16659"/>
      <c r="E16659"/>
      <c r="F16659"/>
      <c r="G16659"/>
      <c r="H16659"/>
      <c r="I16659"/>
      <c r="J16659"/>
      <c r="K16659" s="1"/>
      <c r="L16659" s="2"/>
    </row>
    <row r="16660" spans="1:12" x14ac:dyDescent="0.2">
      <c r="A16660"/>
      <c r="B16660"/>
      <c r="C16660"/>
      <c r="D16660"/>
      <c r="E16660"/>
      <c r="F16660"/>
      <c r="G16660"/>
      <c r="H16660"/>
      <c r="I16660"/>
      <c r="J16660"/>
      <c r="K16660" s="1"/>
      <c r="L16660" s="2"/>
    </row>
    <row r="16661" spans="1:12" x14ac:dyDescent="0.2">
      <c r="A16661"/>
      <c r="B16661"/>
      <c r="C16661"/>
      <c r="D16661"/>
      <c r="E16661"/>
      <c r="F16661"/>
      <c r="G16661"/>
      <c r="H16661"/>
      <c r="I16661"/>
      <c r="J16661"/>
      <c r="K16661" s="1"/>
      <c r="L16661" s="2"/>
    </row>
    <row r="16662" spans="1:12" x14ac:dyDescent="0.2">
      <c r="A16662"/>
      <c r="B16662"/>
      <c r="C16662"/>
      <c r="D16662"/>
      <c r="E16662"/>
      <c r="F16662"/>
      <c r="G16662"/>
      <c r="H16662"/>
      <c r="I16662"/>
      <c r="J16662"/>
      <c r="K16662" s="1"/>
      <c r="L16662" s="2"/>
    </row>
    <row r="16663" spans="1:12" x14ac:dyDescent="0.2">
      <c r="A16663"/>
      <c r="B16663"/>
      <c r="C16663"/>
      <c r="D16663"/>
      <c r="E16663"/>
      <c r="F16663"/>
      <c r="G16663"/>
      <c r="H16663"/>
      <c r="I16663"/>
      <c r="J16663"/>
      <c r="K16663" s="1"/>
      <c r="L16663" s="2"/>
    </row>
    <row r="16664" spans="1:12" x14ac:dyDescent="0.2">
      <c r="A16664"/>
      <c r="B16664"/>
      <c r="C16664"/>
      <c r="D16664"/>
      <c r="E16664"/>
      <c r="F16664"/>
      <c r="G16664"/>
      <c r="H16664"/>
      <c r="I16664"/>
      <c r="J16664"/>
      <c r="K16664" s="1"/>
      <c r="L16664" s="2"/>
    </row>
    <row r="16665" spans="1:12" x14ac:dyDescent="0.2">
      <c r="A16665"/>
      <c r="B16665"/>
      <c r="C16665"/>
      <c r="D16665"/>
      <c r="E16665"/>
      <c r="F16665"/>
      <c r="G16665"/>
      <c r="H16665"/>
      <c r="I16665"/>
      <c r="J16665"/>
      <c r="K16665" s="1"/>
      <c r="L16665" s="2"/>
    </row>
    <row r="16666" spans="1:12" x14ac:dyDescent="0.2">
      <c r="A16666"/>
      <c r="B16666"/>
      <c r="C16666"/>
      <c r="D16666"/>
      <c r="E16666"/>
      <c r="F16666"/>
      <c r="G16666"/>
      <c r="H16666"/>
      <c r="I16666"/>
      <c r="J16666"/>
      <c r="K16666" s="1"/>
      <c r="L16666" s="2"/>
    </row>
    <row r="16667" spans="1:12" x14ac:dyDescent="0.2">
      <c r="A16667"/>
      <c r="B16667"/>
      <c r="C16667"/>
      <c r="D16667"/>
      <c r="E16667"/>
      <c r="F16667"/>
      <c r="G16667"/>
      <c r="H16667"/>
      <c r="I16667"/>
      <c r="J16667"/>
      <c r="K16667" s="1"/>
      <c r="L16667" s="2"/>
    </row>
    <row r="16668" spans="1:12" x14ac:dyDescent="0.2">
      <c r="A16668"/>
      <c r="B16668"/>
      <c r="C16668"/>
      <c r="D16668"/>
      <c r="E16668"/>
      <c r="F16668"/>
      <c r="G16668"/>
      <c r="H16668"/>
      <c r="I16668"/>
      <c r="J16668"/>
      <c r="K16668" s="1"/>
      <c r="L16668" s="2"/>
    </row>
    <row r="16669" spans="1:12" x14ac:dyDescent="0.2">
      <c r="A16669"/>
      <c r="B16669"/>
      <c r="C16669"/>
      <c r="D16669"/>
      <c r="E16669"/>
      <c r="F16669"/>
      <c r="G16669"/>
      <c r="H16669"/>
      <c r="I16669"/>
      <c r="J16669"/>
      <c r="K16669" s="1"/>
      <c r="L16669" s="2"/>
    </row>
    <row r="16670" spans="1:12" x14ac:dyDescent="0.2">
      <c r="A16670"/>
      <c r="B16670"/>
      <c r="C16670"/>
      <c r="D16670"/>
      <c r="E16670"/>
      <c r="F16670"/>
      <c r="G16670"/>
      <c r="H16670"/>
      <c r="I16670"/>
      <c r="J16670"/>
      <c r="K16670" s="1"/>
      <c r="L16670" s="2"/>
    </row>
    <row r="16671" spans="1:12" x14ac:dyDescent="0.2">
      <c r="A16671"/>
      <c r="B16671"/>
      <c r="C16671"/>
      <c r="D16671"/>
      <c r="E16671"/>
      <c r="F16671"/>
      <c r="G16671"/>
      <c r="H16671"/>
      <c r="I16671"/>
      <c r="J16671"/>
      <c r="K16671" s="1"/>
      <c r="L16671" s="2"/>
    </row>
    <row r="16672" spans="1:12" x14ac:dyDescent="0.2">
      <c r="A16672"/>
      <c r="B16672"/>
      <c r="C16672"/>
      <c r="D16672"/>
      <c r="E16672"/>
      <c r="F16672"/>
      <c r="G16672"/>
      <c r="H16672"/>
      <c r="I16672"/>
      <c r="J16672"/>
      <c r="K16672" s="1"/>
      <c r="L16672" s="2"/>
    </row>
    <row r="16673" spans="1:12" x14ac:dyDescent="0.2">
      <c r="A16673"/>
      <c r="B16673"/>
      <c r="C16673"/>
      <c r="D16673"/>
      <c r="E16673"/>
      <c r="F16673"/>
      <c r="G16673"/>
      <c r="H16673"/>
      <c r="I16673"/>
      <c r="J16673"/>
      <c r="K16673" s="1"/>
      <c r="L16673" s="2"/>
    </row>
    <row r="16674" spans="1:12" x14ac:dyDescent="0.2">
      <c r="A16674"/>
      <c r="B16674"/>
      <c r="C16674"/>
      <c r="D16674"/>
      <c r="E16674"/>
      <c r="F16674"/>
      <c r="G16674"/>
      <c r="H16674"/>
      <c r="I16674"/>
      <c r="J16674"/>
      <c r="K16674" s="1"/>
      <c r="L16674" s="2"/>
    </row>
    <row r="16675" spans="1:12" x14ac:dyDescent="0.2">
      <c r="A16675"/>
      <c r="B16675"/>
      <c r="C16675"/>
      <c r="D16675"/>
      <c r="E16675"/>
      <c r="F16675"/>
      <c r="G16675"/>
      <c r="H16675"/>
      <c r="I16675"/>
      <c r="J16675"/>
      <c r="K16675" s="1"/>
      <c r="L16675" s="2"/>
    </row>
    <row r="16676" spans="1:12" x14ac:dyDescent="0.2">
      <c r="A16676"/>
      <c r="B16676"/>
      <c r="C16676"/>
      <c r="D16676"/>
      <c r="E16676"/>
      <c r="F16676"/>
      <c r="G16676"/>
      <c r="H16676"/>
      <c r="I16676"/>
      <c r="J16676"/>
      <c r="K16676" s="1"/>
      <c r="L16676" s="2"/>
    </row>
    <row r="16677" spans="1:12" x14ac:dyDescent="0.2">
      <c r="A16677"/>
      <c r="B16677"/>
      <c r="C16677"/>
      <c r="D16677"/>
      <c r="E16677"/>
      <c r="F16677"/>
      <c r="G16677"/>
      <c r="H16677"/>
      <c r="I16677"/>
      <c r="J16677"/>
      <c r="K16677" s="1"/>
      <c r="L16677" s="2"/>
    </row>
    <row r="16678" spans="1:12" x14ac:dyDescent="0.2">
      <c r="A16678"/>
      <c r="B16678"/>
      <c r="C16678"/>
      <c r="D16678"/>
      <c r="E16678"/>
      <c r="F16678"/>
      <c r="G16678"/>
      <c r="H16678"/>
      <c r="I16678"/>
      <c r="J16678"/>
      <c r="K16678" s="1"/>
      <c r="L16678" s="2"/>
    </row>
    <row r="16679" spans="1:12" x14ac:dyDescent="0.2">
      <c r="A16679"/>
      <c r="B16679"/>
      <c r="C16679"/>
      <c r="D16679"/>
      <c r="E16679"/>
      <c r="F16679"/>
      <c r="G16679"/>
      <c r="H16679"/>
      <c r="I16679"/>
      <c r="J16679"/>
      <c r="K16679" s="1"/>
      <c r="L16679" s="2"/>
    </row>
    <row r="16680" spans="1:12" x14ac:dyDescent="0.2">
      <c r="A16680"/>
      <c r="B16680"/>
      <c r="C16680"/>
      <c r="D16680"/>
      <c r="E16680"/>
      <c r="F16680"/>
      <c r="G16680"/>
      <c r="H16680"/>
      <c r="I16680"/>
      <c r="J16680"/>
      <c r="K16680" s="1"/>
      <c r="L16680" s="2"/>
    </row>
    <row r="16681" spans="1:12" x14ac:dyDescent="0.2">
      <c r="A16681"/>
      <c r="B16681"/>
      <c r="C16681"/>
      <c r="D16681"/>
      <c r="E16681"/>
      <c r="F16681"/>
      <c r="G16681"/>
      <c r="H16681"/>
      <c r="I16681"/>
      <c r="J16681"/>
      <c r="K16681" s="1"/>
      <c r="L16681" s="2"/>
    </row>
    <row r="16682" spans="1:12" x14ac:dyDescent="0.2">
      <c r="A16682"/>
      <c r="B16682"/>
      <c r="C16682"/>
      <c r="D16682"/>
      <c r="E16682"/>
      <c r="F16682"/>
      <c r="G16682"/>
      <c r="H16682"/>
      <c r="I16682"/>
      <c r="J16682"/>
      <c r="K16682" s="1"/>
      <c r="L16682" s="2"/>
    </row>
    <row r="16683" spans="1:12" x14ac:dyDescent="0.2">
      <c r="A16683"/>
      <c r="B16683"/>
      <c r="C16683"/>
      <c r="D16683"/>
      <c r="E16683"/>
      <c r="F16683"/>
      <c r="G16683"/>
      <c r="H16683"/>
      <c r="I16683"/>
      <c r="J16683"/>
      <c r="K16683" s="1"/>
      <c r="L16683" s="2"/>
    </row>
    <row r="16684" spans="1:12" x14ac:dyDescent="0.2">
      <c r="A16684"/>
      <c r="B16684"/>
      <c r="C16684"/>
      <c r="D16684"/>
      <c r="E16684"/>
      <c r="F16684"/>
      <c r="G16684"/>
      <c r="H16684"/>
      <c r="I16684"/>
      <c r="J16684"/>
      <c r="K16684" s="1"/>
      <c r="L16684" s="2"/>
    </row>
    <row r="16685" spans="1:12" x14ac:dyDescent="0.2">
      <c r="A16685"/>
      <c r="B16685"/>
      <c r="C16685"/>
      <c r="D16685"/>
      <c r="E16685"/>
      <c r="F16685"/>
      <c r="G16685"/>
      <c r="H16685"/>
      <c r="I16685"/>
      <c r="J16685"/>
      <c r="K16685" s="1"/>
      <c r="L16685" s="2"/>
    </row>
    <row r="16686" spans="1:12" x14ac:dyDescent="0.2">
      <c r="A16686"/>
      <c r="B16686"/>
      <c r="C16686"/>
      <c r="D16686"/>
      <c r="E16686"/>
      <c r="F16686"/>
      <c r="G16686"/>
      <c r="H16686"/>
      <c r="I16686"/>
      <c r="J16686"/>
      <c r="K16686" s="1"/>
      <c r="L16686" s="2"/>
    </row>
    <row r="16687" spans="1:12" x14ac:dyDescent="0.2">
      <c r="A16687"/>
      <c r="B16687"/>
      <c r="C16687"/>
      <c r="D16687"/>
      <c r="E16687"/>
      <c r="F16687"/>
      <c r="G16687"/>
      <c r="H16687"/>
      <c r="I16687"/>
      <c r="J16687"/>
      <c r="K16687" s="1"/>
      <c r="L16687" s="2"/>
    </row>
    <row r="16688" spans="1:12" x14ac:dyDescent="0.2">
      <c r="A16688"/>
      <c r="B16688"/>
      <c r="C16688"/>
      <c r="D16688"/>
      <c r="E16688"/>
      <c r="F16688"/>
      <c r="G16688"/>
      <c r="H16688"/>
      <c r="I16688"/>
      <c r="J16688"/>
      <c r="K16688" s="1"/>
      <c r="L16688" s="2"/>
    </row>
    <row r="16689" spans="1:12" x14ac:dyDescent="0.2">
      <c r="A16689"/>
      <c r="B16689"/>
      <c r="C16689"/>
      <c r="D16689"/>
      <c r="E16689"/>
      <c r="F16689"/>
      <c r="G16689"/>
      <c r="H16689"/>
      <c r="I16689"/>
      <c r="J16689"/>
      <c r="K16689" s="1"/>
      <c r="L16689" s="2"/>
    </row>
    <row r="16690" spans="1:12" x14ac:dyDescent="0.2">
      <c r="A16690"/>
      <c r="B16690"/>
      <c r="C16690"/>
      <c r="D16690"/>
      <c r="E16690"/>
      <c r="F16690"/>
      <c r="G16690"/>
      <c r="H16690"/>
      <c r="I16690"/>
      <c r="J16690"/>
      <c r="K16690" s="1"/>
      <c r="L16690" s="2"/>
    </row>
    <row r="16691" spans="1:12" x14ac:dyDescent="0.2">
      <c r="A16691"/>
      <c r="B16691"/>
      <c r="C16691"/>
      <c r="D16691"/>
      <c r="E16691"/>
      <c r="F16691"/>
      <c r="G16691"/>
      <c r="H16691"/>
      <c r="I16691"/>
      <c r="J16691"/>
      <c r="K16691" s="1"/>
      <c r="L16691" s="2"/>
    </row>
    <row r="16692" spans="1:12" x14ac:dyDescent="0.2">
      <c r="A16692"/>
      <c r="B16692"/>
      <c r="C16692"/>
      <c r="D16692"/>
      <c r="E16692"/>
      <c r="F16692"/>
      <c r="G16692"/>
      <c r="H16692"/>
      <c r="I16692"/>
      <c r="J16692"/>
      <c r="K16692" s="1"/>
      <c r="L16692" s="2"/>
    </row>
    <row r="16693" spans="1:12" x14ac:dyDescent="0.2">
      <c r="A16693"/>
      <c r="B16693"/>
      <c r="C16693"/>
      <c r="D16693"/>
      <c r="E16693"/>
      <c r="F16693"/>
      <c r="G16693"/>
      <c r="H16693"/>
      <c r="I16693"/>
      <c r="J16693"/>
      <c r="K16693" s="1"/>
      <c r="L16693" s="2"/>
    </row>
    <row r="16694" spans="1:12" x14ac:dyDescent="0.2">
      <c r="A16694"/>
      <c r="B16694"/>
      <c r="C16694"/>
      <c r="D16694"/>
      <c r="E16694"/>
      <c r="F16694"/>
      <c r="G16694"/>
      <c r="H16694"/>
      <c r="I16694"/>
      <c r="J16694"/>
      <c r="K16694" s="1"/>
      <c r="L16694" s="2"/>
    </row>
    <row r="16695" spans="1:12" x14ac:dyDescent="0.2">
      <c r="A16695"/>
      <c r="B16695"/>
      <c r="C16695"/>
      <c r="D16695"/>
      <c r="E16695"/>
      <c r="F16695"/>
      <c r="G16695"/>
      <c r="H16695"/>
      <c r="I16695"/>
      <c r="J16695"/>
      <c r="K16695" s="1"/>
      <c r="L16695" s="2"/>
    </row>
    <row r="16696" spans="1:12" x14ac:dyDescent="0.2">
      <c r="A16696"/>
      <c r="B16696"/>
      <c r="C16696"/>
      <c r="D16696"/>
      <c r="E16696"/>
      <c r="F16696"/>
      <c r="G16696"/>
      <c r="H16696"/>
      <c r="I16696"/>
      <c r="J16696"/>
      <c r="K16696" s="1"/>
      <c r="L16696" s="2"/>
    </row>
    <row r="16697" spans="1:12" x14ac:dyDescent="0.2">
      <c r="A16697"/>
      <c r="B16697"/>
      <c r="C16697"/>
      <c r="D16697"/>
      <c r="E16697"/>
      <c r="F16697"/>
      <c r="G16697"/>
      <c r="H16697"/>
      <c r="I16697"/>
      <c r="J16697"/>
      <c r="K16697" s="1"/>
      <c r="L16697" s="2"/>
    </row>
    <row r="16698" spans="1:12" x14ac:dyDescent="0.2">
      <c r="A16698"/>
      <c r="B16698"/>
      <c r="C16698"/>
      <c r="D16698"/>
      <c r="E16698"/>
      <c r="F16698"/>
      <c r="G16698"/>
      <c r="H16698"/>
      <c r="I16698"/>
      <c r="J16698"/>
      <c r="K16698" s="1"/>
      <c r="L16698" s="2"/>
    </row>
    <row r="16699" spans="1:12" x14ac:dyDescent="0.2">
      <c r="A16699"/>
      <c r="B16699"/>
      <c r="C16699"/>
      <c r="D16699"/>
      <c r="E16699"/>
      <c r="F16699"/>
      <c r="G16699"/>
      <c r="H16699"/>
      <c r="I16699"/>
      <c r="J16699"/>
      <c r="K16699" s="1"/>
      <c r="L16699" s="2"/>
    </row>
    <row r="16700" spans="1:12" x14ac:dyDescent="0.2">
      <c r="A16700"/>
      <c r="B16700"/>
      <c r="C16700"/>
      <c r="D16700"/>
      <c r="E16700"/>
      <c r="F16700"/>
      <c r="G16700"/>
      <c r="H16700"/>
      <c r="I16700"/>
      <c r="J16700"/>
      <c r="K16700" s="1"/>
      <c r="L16700" s="2"/>
    </row>
    <row r="16701" spans="1:12" x14ac:dyDescent="0.2">
      <c r="A16701"/>
      <c r="B16701"/>
      <c r="C16701"/>
      <c r="D16701"/>
      <c r="E16701"/>
      <c r="F16701"/>
      <c r="G16701"/>
      <c r="H16701"/>
      <c r="I16701"/>
      <c r="J16701"/>
      <c r="K16701" s="1"/>
      <c r="L16701" s="2"/>
    </row>
    <row r="16702" spans="1:12" x14ac:dyDescent="0.2">
      <c r="A16702"/>
      <c r="B16702"/>
      <c r="C16702"/>
      <c r="D16702"/>
      <c r="E16702"/>
      <c r="F16702"/>
      <c r="G16702"/>
      <c r="H16702"/>
      <c r="I16702"/>
      <c r="J16702"/>
      <c r="K16702" s="1"/>
      <c r="L16702" s="2"/>
    </row>
    <row r="16703" spans="1:12" x14ac:dyDescent="0.2">
      <c r="A16703"/>
      <c r="B16703"/>
      <c r="C16703"/>
      <c r="D16703"/>
      <c r="E16703"/>
      <c r="F16703"/>
      <c r="G16703"/>
      <c r="H16703"/>
      <c r="I16703"/>
      <c r="J16703"/>
      <c r="K16703" s="1"/>
      <c r="L16703" s="2"/>
    </row>
    <row r="16704" spans="1:12" x14ac:dyDescent="0.2">
      <c r="A16704"/>
      <c r="B16704"/>
      <c r="C16704"/>
      <c r="D16704"/>
      <c r="E16704"/>
      <c r="F16704"/>
      <c r="G16704"/>
      <c r="H16704"/>
      <c r="I16704"/>
      <c r="J16704"/>
      <c r="K16704" s="1"/>
      <c r="L16704" s="2"/>
    </row>
    <row r="16705" spans="1:12" x14ac:dyDescent="0.2">
      <c r="A16705"/>
      <c r="B16705"/>
      <c r="C16705"/>
      <c r="D16705"/>
      <c r="E16705"/>
      <c r="F16705"/>
      <c r="G16705"/>
      <c r="H16705"/>
      <c r="I16705"/>
      <c r="J16705"/>
      <c r="K16705" s="1"/>
      <c r="L16705" s="2"/>
    </row>
    <row r="16706" spans="1:12" x14ac:dyDescent="0.2">
      <c r="A16706"/>
      <c r="B16706"/>
      <c r="C16706"/>
      <c r="D16706"/>
      <c r="E16706"/>
      <c r="F16706"/>
      <c r="G16706"/>
      <c r="H16706"/>
      <c r="I16706"/>
      <c r="J16706"/>
      <c r="K16706" s="1"/>
      <c r="L16706" s="2"/>
    </row>
    <row r="16707" spans="1:12" x14ac:dyDescent="0.2">
      <c r="A16707"/>
      <c r="B16707"/>
      <c r="C16707"/>
      <c r="D16707"/>
      <c r="E16707"/>
      <c r="F16707"/>
      <c r="G16707"/>
      <c r="H16707"/>
      <c r="I16707"/>
      <c r="J16707"/>
      <c r="K16707" s="1"/>
      <c r="L16707" s="2"/>
    </row>
    <row r="16708" spans="1:12" x14ac:dyDescent="0.2">
      <c r="A16708"/>
      <c r="B16708"/>
      <c r="C16708"/>
      <c r="D16708"/>
      <c r="E16708"/>
      <c r="F16708"/>
      <c r="G16708"/>
      <c r="H16708"/>
      <c r="I16708"/>
      <c r="J16708"/>
      <c r="K16708" s="1"/>
      <c r="L16708" s="2"/>
    </row>
    <row r="16709" spans="1:12" x14ac:dyDescent="0.2">
      <c r="A16709"/>
      <c r="B16709"/>
      <c r="C16709"/>
      <c r="D16709"/>
      <c r="E16709"/>
      <c r="F16709"/>
      <c r="G16709"/>
      <c r="H16709"/>
      <c r="I16709"/>
      <c r="J16709"/>
      <c r="K16709" s="1"/>
      <c r="L16709" s="2"/>
    </row>
    <row r="16710" spans="1:12" x14ac:dyDescent="0.2">
      <c r="A16710"/>
      <c r="B16710"/>
      <c r="C16710"/>
      <c r="D16710"/>
      <c r="E16710"/>
      <c r="F16710"/>
      <c r="G16710"/>
      <c r="H16710"/>
      <c r="I16710"/>
      <c r="J16710"/>
      <c r="K16710" s="1"/>
      <c r="L16710" s="2"/>
    </row>
    <row r="16711" spans="1:12" x14ac:dyDescent="0.2">
      <c r="A16711"/>
      <c r="B16711"/>
      <c r="C16711"/>
      <c r="D16711"/>
      <c r="E16711"/>
      <c r="F16711"/>
      <c r="G16711"/>
      <c r="H16711"/>
      <c r="I16711"/>
      <c r="J16711"/>
      <c r="K16711" s="1"/>
      <c r="L16711" s="2"/>
    </row>
    <row r="16712" spans="1:12" x14ac:dyDescent="0.2">
      <c r="A16712"/>
      <c r="B16712"/>
      <c r="C16712"/>
      <c r="D16712"/>
      <c r="E16712"/>
      <c r="F16712"/>
      <c r="G16712"/>
      <c r="H16712"/>
      <c r="I16712"/>
      <c r="J16712"/>
      <c r="K16712" s="1"/>
      <c r="L16712" s="2"/>
    </row>
    <row r="16713" spans="1:12" x14ac:dyDescent="0.2">
      <c r="A16713"/>
      <c r="B16713"/>
      <c r="C16713"/>
      <c r="D16713"/>
      <c r="E16713"/>
      <c r="F16713"/>
      <c r="G16713"/>
      <c r="H16713"/>
      <c r="I16713"/>
      <c r="J16713"/>
      <c r="K16713" s="1"/>
      <c r="L16713" s="2"/>
    </row>
    <row r="16714" spans="1:12" x14ac:dyDescent="0.2">
      <c r="A16714"/>
      <c r="B16714"/>
      <c r="C16714"/>
      <c r="D16714"/>
      <c r="E16714"/>
      <c r="F16714"/>
      <c r="G16714"/>
      <c r="H16714"/>
      <c r="I16714"/>
      <c r="J16714"/>
      <c r="K16714" s="1"/>
      <c r="L16714" s="2"/>
    </row>
    <row r="16715" spans="1:12" x14ac:dyDescent="0.2">
      <c r="A16715"/>
      <c r="B16715"/>
      <c r="C16715"/>
      <c r="D16715"/>
      <c r="E16715"/>
      <c r="F16715"/>
      <c r="G16715"/>
      <c r="H16715"/>
      <c r="I16715"/>
      <c r="J16715"/>
      <c r="K16715" s="1"/>
      <c r="L16715" s="2"/>
    </row>
    <row r="16716" spans="1:12" x14ac:dyDescent="0.2">
      <c r="A16716"/>
      <c r="B16716"/>
      <c r="C16716"/>
      <c r="D16716"/>
      <c r="E16716"/>
      <c r="F16716"/>
      <c r="G16716"/>
      <c r="H16716"/>
      <c r="I16716"/>
      <c r="J16716"/>
      <c r="K16716" s="1"/>
      <c r="L16716" s="2"/>
    </row>
    <row r="16717" spans="1:12" x14ac:dyDescent="0.2">
      <c r="A16717"/>
      <c r="B16717"/>
      <c r="C16717"/>
      <c r="D16717"/>
      <c r="E16717"/>
      <c r="F16717"/>
      <c r="G16717"/>
      <c r="H16717"/>
      <c r="I16717"/>
      <c r="J16717"/>
      <c r="K16717" s="1"/>
      <c r="L16717" s="2"/>
    </row>
    <row r="16718" spans="1:12" x14ac:dyDescent="0.2">
      <c r="A16718"/>
      <c r="B16718"/>
      <c r="C16718"/>
      <c r="D16718"/>
      <c r="E16718"/>
      <c r="F16718"/>
      <c r="G16718"/>
      <c r="H16718"/>
      <c r="I16718"/>
      <c r="J16718"/>
      <c r="K16718" s="1"/>
      <c r="L16718" s="2"/>
    </row>
    <row r="16719" spans="1:12" x14ac:dyDescent="0.2">
      <c r="A16719"/>
      <c r="B16719"/>
      <c r="C16719"/>
      <c r="D16719"/>
      <c r="E16719"/>
      <c r="F16719"/>
      <c r="G16719"/>
      <c r="H16719"/>
      <c r="I16719"/>
      <c r="J16719"/>
      <c r="K16719" s="1"/>
      <c r="L16719" s="2"/>
    </row>
    <row r="16720" spans="1:12" x14ac:dyDescent="0.2">
      <c r="A16720"/>
      <c r="B16720"/>
      <c r="C16720"/>
      <c r="D16720"/>
      <c r="E16720"/>
      <c r="F16720"/>
      <c r="G16720"/>
      <c r="H16720"/>
      <c r="I16720"/>
      <c r="J16720"/>
      <c r="K16720" s="1"/>
      <c r="L16720" s="2"/>
    </row>
    <row r="16721" spans="1:12" x14ac:dyDescent="0.2">
      <c r="A16721"/>
      <c r="B16721"/>
      <c r="C16721"/>
      <c r="D16721"/>
      <c r="E16721"/>
      <c r="F16721"/>
      <c r="G16721"/>
      <c r="H16721"/>
      <c r="I16721"/>
      <c r="J16721"/>
      <c r="K16721" s="1"/>
      <c r="L16721" s="2"/>
    </row>
    <row r="16722" spans="1:12" x14ac:dyDescent="0.2">
      <c r="A16722"/>
      <c r="B16722"/>
      <c r="C16722"/>
      <c r="D16722"/>
      <c r="E16722"/>
      <c r="F16722"/>
      <c r="G16722"/>
      <c r="H16722"/>
      <c r="I16722"/>
      <c r="J16722"/>
      <c r="K16722" s="1"/>
      <c r="L16722" s="2"/>
    </row>
    <row r="16723" spans="1:12" x14ac:dyDescent="0.2">
      <c r="A16723"/>
      <c r="B16723"/>
      <c r="C16723"/>
      <c r="D16723"/>
      <c r="E16723"/>
      <c r="F16723"/>
      <c r="G16723"/>
      <c r="H16723"/>
      <c r="I16723"/>
      <c r="J16723"/>
      <c r="K16723" s="1"/>
      <c r="L16723" s="2"/>
    </row>
    <row r="16724" spans="1:12" x14ac:dyDescent="0.2">
      <c r="A16724"/>
      <c r="B16724"/>
      <c r="C16724"/>
      <c r="D16724"/>
      <c r="E16724"/>
      <c r="F16724"/>
      <c r="G16724"/>
      <c r="H16724"/>
      <c r="I16724"/>
      <c r="J16724"/>
      <c r="K16724" s="1"/>
      <c r="L16724" s="2"/>
    </row>
    <row r="16725" spans="1:12" x14ac:dyDescent="0.2">
      <c r="A16725"/>
      <c r="B16725"/>
      <c r="C16725"/>
      <c r="D16725"/>
      <c r="E16725"/>
      <c r="F16725"/>
      <c r="G16725"/>
      <c r="H16725"/>
      <c r="I16725"/>
      <c r="J16725"/>
      <c r="K16725" s="1"/>
      <c r="L16725" s="2"/>
    </row>
    <row r="16726" spans="1:12" x14ac:dyDescent="0.2">
      <c r="A16726"/>
      <c r="B16726"/>
      <c r="C16726"/>
      <c r="D16726"/>
      <c r="E16726"/>
      <c r="F16726"/>
      <c r="G16726"/>
      <c r="H16726"/>
      <c r="I16726"/>
      <c r="J16726"/>
      <c r="K16726" s="1"/>
      <c r="L16726" s="2"/>
    </row>
    <row r="16727" spans="1:12" x14ac:dyDescent="0.2">
      <c r="A16727"/>
      <c r="B16727"/>
      <c r="C16727"/>
      <c r="D16727"/>
      <c r="E16727"/>
      <c r="F16727"/>
      <c r="G16727"/>
      <c r="H16727"/>
      <c r="I16727"/>
      <c r="J16727"/>
      <c r="K16727" s="1"/>
      <c r="L16727" s="2"/>
    </row>
    <row r="16728" spans="1:12" x14ac:dyDescent="0.2">
      <c r="A16728"/>
      <c r="B16728"/>
      <c r="C16728"/>
      <c r="D16728"/>
      <c r="E16728"/>
      <c r="F16728"/>
      <c r="G16728"/>
      <c r="H16728"/>
      <c r="I16728"/>
      <c r="J16728"/>
      <c r="K16728" s="1"/>
      <c r="L16728" s="2"/>
    </row>
    <row r="16729" spans="1:12" x14ac:dyDescent="0.2">
      <c r="A16729"/>
      <c r="B16729"/>
      <c r="C16729"/>
      <c r="D16729"/>
      <c r="E16729"/>
      <c r="F16729"/>
      <c r="G16729"/>
      <c r="H16729"/>
      <c r="I16729"/>
      <c r="J16729"/>
      <c r="K16729" s="1"/>
      <c r="L16729" s="2"/>
    </row>
    <row r="16730" spans="1:12" x14ac:dyDescent="0.2">
      <c r="A16730"/>
      <c r="B16730"/>
      <c r="C16730"/>
      <c r="D16730"/>
      <c r="E16730"/>
      <c r="F16730"/>
      <c r="G16730"/>
      <c r="H16730"/>
      <c r="I16730"/>
      <c r="J16730"/>
      <c r="K16730" s="1"/>
      <c r="L16730" s="2"/>
    </row>
    <row r="16731" spans="1:12" x14ac:dyDescent="0.2">
      <c r="A16731"/>
      <c r="B16731"/>
      <c r="C16731"/>
      <c r="D16731"/>
      <c r="E16731"/>
      <c r="F16731"/>
      <c r="G16731"/>
      <c r="H16731"/>
      <c r="I16731"/>
      <c r="J16731"/>
      <c r="K16731" s="1"/>
      <c r="L16731" s="2"/>
    </row>
    <row r="16732" spans="1:12" x14ac:dyDescent="0.2">
      <c r="A16732"/>
      <c r="B16732"/>
      <c r="C16732"/>
      <c r="D16732"/>
      <c r="E16732"/>
      <c r="F16732"/>
      <c r="G16732"/>
      <c r="H16732"/>
      <c r="I16732"/>
      <c r="J16732"/>
      <c r="K16732" s="1"/>
      <c r="L16732" s="2"/>
    </row>
    <row r="16733" spans="1:12" x14ac:dyDescent="0.2">
      <c r="A16733"/>
      <c r="B16733"/>
      <c r="C16733"/>
      <c r="D16733"/>
      <c r="E16733"/>
      <c r="F16733"/>
      <c r="G16733"/>
      <c r="H16733"/>
      <c r="I16733"/>
      <c r="J16733"/>
      <c r="K16733" s="1"/>
      <c r="L16733" s="2"/>
    </row>
    <row r="16734" spans="1:12" x14ac:dyDescent="0.2">
      <c r="A16734"/>
      <c r="B16734"/>
      <c r="C16734"/>
      <c r="D16734"/>
      <c r="E16734"/>
      <c r="F16734"/>
      <c r="G16734"/>
      <c r="H16734"/>
      <c r="I16734"/>
      <c r="J16734"/>
      <c r="K16734" s="1"/>
      <c r="L16734" s="2"/>
    </row>
    <row r="16735" spans="1:12" x14ac:dyDescent="0.2">
      <c r="A16735"/>
      <c r="B16735"/>
      <c r="C16735"/>
      <c r="D16735"/>
      <c r="E16735"/>
      <c r="F16735"/>
      <c r="G16735"/>
      <c r="H16735"/>
      <c r="I16735"/>
      <c r="J16735"/>
      <c r="K16735" s="1"/>
      <c r="L16735" s="2"/>
    </row>
    <row r="16736" spans="1:12" x14ac:dyDescent="0.2">
      <c r="A16736"/>
      <c r="B16736"/>
      <c r="C16736"/>
      <c r="D16736"/>
      <c r="E16736"/>
      <c r="F16736"/>
      <c r="G16736"/>
      <c r="H16736"/>
      <c r="I16736"/>
      <c r="J16736"/>
      <c r="K16736" s="1"/>
      <c r="L16736" s="2"/>
    </row>
    <row r="16737" spans="1:12" x14ac:dyDescent="0.2">
      <c r="A16737"/>
      <c r="B16737"/>
      <c r="C16737"/>
      <c r="D16737"/>
      <c r="E16737"/>
      <c r="F16737"/>
      <c r="G16737"/>
      <c r="H16737"/>
      <c r="I16737"/>
      <c r="J16737"/>
      <c r="K16737" s="1"/>
      <c r="L16737" s="2"/>
    </row>
    <row r="16738" spans="1:12" x14ac:dyDescent="0.2">
      <c r="A16738"/>
      <c r="B16738"/>
      <c r="C16738"/>
      <c r="D16738"/>
      <c r="E16738"/>
      <c r="F16738"/>
      <c r="G16738"/>
      <c r="H16738"/>
      <c r="I16738"/>
      <c r="J16738"/>
      <c r="K16738" s="1"/>
      <c r="L16738" s="2"/>
    </row>
    <row r="16739" spans="1:12" x14ac:dyDescent="0.2">
      <c r="A16739"/>
      <c r="B16739"/>
      <c r="C16739"/>
      <c r="D16739"/>
      <c r="E16739"/>
      <c r="F16739"/>
      <c r="G16739"/>
      <c r="H16739"/>
      <c r="I16739"/>
      <c r="J16739"/>
      <c r="K16739" s="1"/>
      <c r="L16739" s="2"/>
    </row>
    <row r="16740" spans="1:12" x14ac:dyDescent="0.2">
      <c r="A16740"/>
      <c r="B16740"/>
      <c r="C16740"/>
      <c r="D16740"/>
      <c r="E16740"/>
      <c r="F16740"/>
      <c r="G16740"/>
      <c r="H16740"/>
      <c r="I16740"/>
      <c r="J16740"/>
      <c r="K16740" s="1"/>
      <c r="L16740" s="2"/>
    </row>
    <row r="16741" spans="1:12" x14ac:dyDescent="0.2">
      <c r="A16741"/>
      <c r="B16741"/>
      <c r="C16741"/>
      <c r="D16741"/>
      <c r="E16741"/>
      <c r="F16741"/>
      <c r="G16741"/>
      <c r="H16741"/>
      <c r="I16741"/>
      <c r="J16741"/>
      <c r="K16741" s="1"/>
      <c r="L16741" s="2"/>
    </row>
    <row r="16742" spans="1:12" x14ac:dyDescent="0.2">
      <c r="A16742"/>
      <c r="B16742"/>
      <c r="C16742"/>
      <c r="D16742"/>
      <c r="E16742"/>
      <c r="F16742"/>
      <c r="G16742"/>
      <c r="H16742"/>
      <c r="I16742"/>
      <c r="J16742"/>
      <c r="K16742" s="1"/>
      <c r="L16742" s="2"/>
    </row>
    <row r="16743" spans="1:12" x14ac:dyDescent="0.2">
      <c r="A16743"/>
      <c r="B16743"/>
      <c r="C16743"/>
      <c r="D16743"/>
      <c r="E16743"/>
      <c r="F16743"/>
      <c r="G16743"/>
      <c r="H16743"/>
      <c r="I16743"/>
      <c r="J16743"/>
      <c r="K16743" s="1"/>
      <c r="L16743" s="2"/>
    </row>
    <row r="16744" spans="1:12" x14ac:dyDescent="0.2">
      <c r="A16744"/>
      <c r="B16744"/>
      <c r="C16744"/>
      <c r="D16744"/>
      <c r="E16744"/>
      <c r="F16744"/>
      <c r="G16744"/>
      <c r="H16744"/>
      <c r="I16744"/>
      <c r="J16744"/>
      <c r="K16744" s="1"/>
      <c r="L16744" s="2"/>
    </row>
    <row r="16745" spans="1:12" x14ac:dyDescent="0.2">
      <c r="A16745"/>
      <c r="B16745"/>
      <c r="C16745"/>
      <c r="D16745"/>
      <c r="E16745"/>
      <c r="F16745"/>
      <c r="G16745"/>
      <c r="H16745"/>
      <c r="I16745"/>
      <c r="J16745"/>
      <c r="K16745" s="1"/>
      <c r="L16745" s="2"/>
    </row>
    <row r="16746" spans="1:12" x14ac:dyDescent="0.2">
      <c r="A16746"/>
      <c r="B16746"/>
      <c r="C16746"/>
      <c r="D16746"/>
      <c r="E16746"/>
      <c r="F16746"/>
      <c r="G16746"/>
      <c r="H16746"/>
      <c r="I16746"/>
      <c r="J16746"/>
      <c r="K16746" s="1"/>
      <c r="L16746" s="2"/>
    </row>
    <row r="16747" spans="1:12" x14ac:dyDescent="0.2">
      <c r="A16747"/>
      <c r="B16747"/>
      <c r="C16747"/>
      <c r="D16747"/>
      <c r="E16747"/>
      <c r="F16747"/>
      <c r="G16747"/>
      <c r="H16747"/>
      <c r="I16747"/>
      <c r="J16747"/>
      <c r="K16747" s="1"/>
      <c r="L16747" s="2"/>
    </row>
    <row r="16748" spans="1:12" x14ac:dyDescent="0.2">
      <c r="A16748"/>
      <c r="B16748"/>
      <c r="C16748"/>
      <c r="D16748"/>
      <c r="E16748"/>
      <c r="F16748"/>
      <c r="G16748"/>
      <c r="H16748"/>
      <c r="I16748"/>
      <c r="J16748"/>
      <c r="K16748" s="1"/>
      <c r="L16748" s="2"/>
    </row>
    <row r="16749" spans="1:12" x14ac:dyDescent="0.2">
      <c r="A16749"/>
      <c r="B16749"/>
      <c r="C16749"/>
      <c r="D16749"/>
      <c r="E16749"/>
      <c r="F16749"/>
      <c r="G16749"/>
      <c r="H16749"/>
      <c r="I16749"/>
      <c r="J16749"/>
      <c r="K16749" s="1"/>
      <c r="L16749" s="2"/>
    </row>
    <row r="16750" spans="1:12" x14ac:dyDescent="0.2">
      <c r="A16750"/>
      <c r="B16750"/>
      <c r="C16750"/>
      <c r="D16750"/>
      <c r="E16750"/>
      <c r="F16750"/>
      <c r="G16750"/>
      <c r="H16750"/>
      <c r="I16750"/>
      <c r="J16750"/>
      <c r="K16750" s="1"/>
      <c r="L16750" s="2"/>
    </row>
    <row r="16751" spans="1:12" x14ac:dyDescent="0.2">
      <c r="A16751"/>
      <c r="B16751"/>
      <c r="C16751"/>
      <c r="D16751"/>
      <c r="E16751"/>
      <c r="F16751"/>
      <c r="G16751"/>
      <c r="H16751"/>
      <c r="I16751"/>
      <c r="J16751"/>
      <c r="K16751" s="1"/>
      <c r="L16751" s="2"/>
    </row>
    <row r="16752" spans="1:12" x14ac:dyDescent="0.2">
      <c r="A16752"/>
      <c r="B16752"/>
      <c r="C16752"/>
      <c r="D16752"/>
      <c r="E16752"/>
      <c r="F16752"/>
      <c r="G16752"/>
      <c r="H16752"/>
      <c r="I16752"/>
      <c r="J16752"/>
      <c r="K16752" s="1"/>
      <c r="L16752" s="2"/>
    </row>
    <row r="16753" spans="1:12" x14ac:dyDescent="0.2">
      <c r="A16753"/>
      <c r="B16753"/>
      <c r="C16753"/>
      <c r="D16753"/>
      <c r="E16753"/>
      <c r="F16753"/>
      <c r="G16753"/>
      <c r="H16753"/>
      <c r="I16753"/>
      <c r="J16753"/>
      <c r="K16753" s="1"/>
      <c r="L16753" s="2"/>
    </row>
    <row r="16754" spans="1:12" x14ac:dyDescent="0.2">
      <c r="A16754"/>
      <c r="B16754"/>
      <c r="C16754"/>
      <c r="D16754"/>
      <c r="E16754"/>
      <c r="F16754"/>
      <c r="G16754"/>
      <c r="H16754"/>
      <c r="I16754"/>
      <c r="J16754"/>
      <c r="K16754" s="1"/>
      <c r="L16754" s="2"/>
    </row>
    <row r="16755" spans="1:12" x14ac:dyDescent="0.2">
      <c r="A16755"/>
      <c r="B16755"/>
      <c r="C16755"/>
      <c r="D16755"/>
      <c r="E16755"/>
      <c r="F16755"/>
      <c r="G16755"/>
      <c r="H16755"/>
      <c r="I16755"/>
      <c r="J16755"/>
      <c r="K16755" s="1"/>
      <c r="L16755" s="2"/>
    </row>
    <row r="16756" spans="1:12" x14ac:dyDescent="0.2">
      <c r="A16756"/>
      <c r="B16756"/>
      <c r="C16756"/>
      <c r="D16756"/>
      <c r="E16756"/>
      <c r="F16756"/>
      <c r="G16756"/>
      <c r="H16756"/>
      <c r="I16756"/>
      <c r="J16756"/>
      <c r="K16756" s="1"/>
      <c r="L16756" s="2"/>
    </row>
    <row r="16757" spans="1:12" x14ac:dyDescent="0.2">
      <c r="A16757"/>
      <c r="B16757"/>
      <c r="C16757"/>
      <c r="D16757"/>
      <c r="E16757"/>
      <c r="F16757"/>
      <c r="G16757"/>
      <c r="H16757"/>
      <c r="I16757"/>
      <c r="J16757"/>
      <c r="K16757" s="1"/>
      <c r="L16757" s="2"/>
    </row>
    <row r="16758" spans="1:12" x14ac:dyDescent="0.2">
      <c r="A16758"/>
      <c r="B16758"/>
      <c r="C16758"/>
      <c r="D16758"/>
      <c r="E16758"/>
      <c r="F16758"/>
      <c r="G16758"/>
      <c r="H16758"/>
      <c r="I16758"/>
      <c r="J16758"/>
      <c r="K16758" s="1"/>
      <c r="L16758" s="2"/>
    </row>
    <row r="16759" spans="1:12" x14ac:dyDescent="0.2">
      <c r="A16759"/>
      <c r="B16759"/>
      <c r="C16759"/>
      <c r="D16759"/>
      <c r="E16759"/>
      <c r="F16759"/>
      <c r="G16759"/>
      <c r="H16759"/>
      <c r="I16759"/>
      <c r="J16759"/>
      <c r="K16759" s="1"/>
      <c r="L16759" s="2"/>
    </row>
    <row r="16760" spans="1:12" x14ac:dyDescent="0.2">
      <c r="A16760"/>
      <c r="B16760"/>
      <c r="C16760"/>
      <c r="D16760"/>
      <c r="E16760"/>
      <c r="F16760"/>
      <c r="G16760"/>
      <c r="H16760"/>
      <c r="I16760"/>
      <c r="J16760"/>
      <c r="K16760" s="1"/>
      <c r="L16760" s="2"/>
    </row>
    <row r="16761" spans="1:12" x14ac:dyDescent="0.2">
      <c r="A16761"/>
      <c r="B16761"/>
      <c r="C16761"/>
      <c r="D16761"/>
      <c r="E16761"/>
      <c r="F16761"/>
      <c r="G16761"/>
      <c r="H16761"/>
      <c r="I16761"/>
      <c r="J16761"/>
      <c r="K16761" s="1"/>
      <c r="L16761" s="2"/>
    </row>
    <row r="16762" spans="1:12" x14ac:dyDescent="0.2">
      <c r="A16762"/>
      <c r="B16762"/>
      <c r="C16762"/>
      <c r="D16762"/>
      <c r="E16762"/>
      <c r="F16762"/>
      <c r="G16762"/>
      <c r="H16762"/>
      <c r="I16762"/>
      <c r="J16762"/>
      <c r="K16762" s="1"/>
      <c r="L16762" s="2"/>
    </row>
    <row r="16763" spans="1:12" x14ac:dyDescent="0.2">
      <c r="A16763"/>
      <c r="B16763"/>
      <c r="C16763"/>
      <c r="D16763"/>
      <c r="E16763"/>
      <c r="F16763"/>
      <c r="G16763"/>
      <c r="H16763"/>
      <c r="I16763"/>
      <c r="J16763"/>
      <c r="K16763" s="1"/>
      <c r="L16763" s="2"/>
    </row>
    <row r="16764" spans="1:12" x14ac:dyDescent="0.2">
      <c r="A16764"/>
      <c r="B16764"/>
      <c r="C16764"/>
      <c r="D16764"/>
      <c r="E16764"/>
      <c r="F16764"/>
      <c r="G16764"/>
      <c r="H16764"/>
      <c r="I16764"/>
      <c r="J16764"/>
      <c r="K16764" s="1"/>
      <c r="L16764" s="2"/>
    </row>
    <row r="16765" spans="1:12" x14ac:dyDescent="0.2">
      <c r="A16765"/>
      <c r="B16765"/>
      <c r="C16765"/>
      <c r="D16765"/>
      <c r="E16765"/>
      <c r="F16765"/>
      <c r="G16765"/>
      <c r="H16765"/>
      <c r="I16765"/>
      <c r="J16765"/>
      <c r="K16765" s="1"/>
      <c r="L16765" s="2"/>
    </row>
    <row r="16766" spans="1:12" x14ac:dyDescent="0.2">
      <c r="A16766"/>
      <c r="B16766"/>
      <c r="C16766"/>
      <c r="D16766"/>
      <c r="E16766"/>
      <c r="F16766"/>
      <c r="G16766"/>
      <c r="H16766"/>
      <c r="I16766"/>
      <c r="J16766"/>
      <c r="K16766" s="1"/>
      <c r="L16766" s="2"/>
    </row>
    <row r="16767" spans="1:12" x14ac:dyDescent="0.2">
      <c r="A16767"/>
      <c r="B16767"/>
      <c r="C16767"/>
      <c r="D16767"/>
      <c r="E16767"/>
      <c r="F16767"/>
      <c r="G16767"/>
      <c r="H16767"/>
      <c r="I16767"/>
      <c r="J16767"/>
      <c r="K16767" s="1"/>
      <c r="L16767" s="2"/>
    </row>
    <row r="16768" spans="1:12" x14ac:dyDescent="0.2">
      <c r="A16768"/>
      <c r="B16768"/>
      <c r="C16768"/>
      <c r="D16768"/>
      <c r="E16768"/>
      <c r="F16768"/>
      <c r="G16768"/>
      <c r="H16768"/>
      <c r="I16768"/>
      <c r="J16768"/>
      <c r="K16768" s="1"/>
      <c r="L16768" s="2"/>
    </row>
    <row r="16769" spans="1:12" x14ac:dyDescent="0.2">
      <c r="A16769"/>
      <c r="B16769"/>
      <c r="C16769"/>
      <c r="D16769"/>
      <c r="E16769"/>
      <c r="F16769"/>
      <c r="G16769"/>
      <c r="H16769"/>
      <c r="I16769"/>
      <c r="J16769"/>
      <c r="K16769" s="1"/>
      <c r="L16769" s="2"/>
    </row>
    <row r="16770" spans="1:12" x14ac:dyDescent="0.2">
      <c r="A16770"/>
      <c r="B16770"/>
      <c r="C16770"/>
      <c r="D16770"/>
      <c r="E16770"/>
      <c r="F16770"/>
      <c r="G16770"/>
      <c r="H16770"/>
      <c r="I16770"/>
      <c r="J16770"/>
      <c r="K16770" s="1"/>
      <c r="L16770" s="2"/>
    </row>
    <row r="16771" spans="1:12" x14ac:dyDescent="0.2">
      <c r="A16771"/>
      <c r="B16771"/>
      <c r="C16771"/>
      <c r="D16771"/>
      <c r="E16771"/>
      <c r="F16771"/>
      <c r="G16771"/>
      <c r="H16771"/>
      <c r="I16771"/>
      <c r="J16771"/>
      <c r="K16771" s="1"/>
      <c r="L16771" s="2"/>
    </row>
    <row r="16772" spans="1:12" x14ac:dyDescent="0.2">
      <c r="A16772"/>
      <c r="B16772"/>
      <c r="C16772"/>
      <c r="D16772"/>
      <c r="E16772"/>
      <c r="F16772"/>
      <c r="G16772"/>
      <c r="H16772"/>
      <c r="I16772"/>
      <c r="J16772"/>
      <c r="K16772" s="1"/>
      <c r="L16772" s="2"/>
    </row>
    <row r="16773" spans="1:12" x14ac:dyDescent="0.2">
      <c r="A16773"/>
      <c r="B16773"/>
      <c r="C16773"/>
      <c r="D16773"/>
      <c r="E16773"/>
      <c r="F16773"/>
      <c r="G16773"/>
      <c r="H16773"/>
      <c r="I16773"/>
      <c r="J16773"/>
      <c r="K16773" s="1"/>
      <c r="L16773" s="2"/>
    </row>
    <row r="16774" spans="1:12" x14ac:dyDescent="0.2">
      <c r="A16774"/>
      <c r="B16774"/>
      <c r="C16774"/>
      <c r="D16774"/>
      <c r="E16774"/>
      <c r="F16774"/>
      <c r="G16774"/>
      <c r="H16774"/>
      <c r="I16774"/>
      <c r="J16774"/>
      <c r="K16774" s="1"/>
      <c r="L16774" s="2"/>
    </row>
    <row r="16775" spans="1:12" x14ac:dyDescent="0.2">
      <c r="A16775"/>
      <c r="B16775"/>
      <c r="C16775"/>
      <c r="D16775"/>
      <c r="E16775"/>
      <c r="F16775"/>
      <c r="G16775"/>
      <c r="H16775"/>
      <c r="I16775"/>
      <c r="J16775"/>
      <c r="K16775" s="1"/>
      <c r="L16775" s="2"/>
    </row>
    <row r="16776" spans="1:12" x14ac:dyDescent="0.2">
      <c r="A16776"/>
      <c r="B16776"/>
      <c r="C16776"/>
      <c r="D16776"/>
      <c r="E16776"/>
      <c r="F16776"/>
      <c r="G16776"/>
      <c r="H16776"/>
      <c r="I16776"/>
      <c r="J16776"/>
      <c r="K16776" s="1"/>
      <c r="L16776" s="2"/>
    </row>
    <row r="16777" spans="1:12" x14ac:dyDescent="0.2">
      <c r="A16777"/>
      <c r="B16777"/>
      <c r="C16777"/>
      <c r="D16777"/>
      <c r="E16777"/>
      <c r="F16777"/>
      <c r="G16777"/>
      <c r="H16777"/>
      <c r="I16777"/>
      <c r="J16777"/>
      <c r="K16777" s="1"/>
      <c r="L16777" s="2"/>
    </row>
    <row r="16778" spans="1:12" x14ac:dyDescent="0.2">
      <c r="A16778"/>
      <c r="B16778"/>
      <c r="C16778"/>
      <c r="D16778"/>
      <c r="E16778"/>
      <c r="F16778"/>
      <c r="G16778"/>
      <c r="H16778"/>
      <c r="I16778"/>
      <c r="J16778"/>
      <c r="K16778" s="1"/>
      <c r="L16778" s="2"/>
    </row>
    <row r="16779" spans="1:12" x14ac:dyDescent="0.2">
      <c r="A16779"/>
      <c r="B16779"/>
      <c r="C16779"/>
      <c r="D16779"/>
      <c r="E16779"/>
      <c r="F16779"/>
      <c r="G16779"/>
      <c r="H16779"/>
      <c r="I16779"/>
      <c r="J16779"/>
      <c r="K16779" s="1"/>
      <c r="L16779" s="2"/>
    </row>
    <row r="16780" spans="1:12" x14ac:dyDescent="0.2">
      <c r="A16780"/>
      <c r="B16780"/>
      <c r="C16780"/>
      <c r="D16780"/>
      <c r="E16780"/>
      <c r="F16780"/>
      <c r="G16780"/>
      <c r="H16780"/>
      <c r="I16780"/>
      <c r="J16780"/>
      <c r="K16780" s="1"/>
      <c r="L16780" s="2"/>
    </row>
    <row r="16781" spans="1:12" x14ac:dyDescent="0.2">
      <c r="A16781"/>
      <c r="B16781"/>
      <c r="C16781"/>
      <c r="D16781"/>
      <c r="E16781"/>
      <c r="F16781"/>
      <c r="G16781"/>
      <c r="H16781"/>
      <c r="I16781"/>
      <c r="J16781"/>
      <c r="K16781" s="1"/>
      <c r="L16781" s="2"/>
    </row>
    <row r="16782" spans="1:12" x14ac:dyDescent="0.2">
      <c r="A16782"/>
      <c r="B16782"/>
      <c r="C16782"/>
      <c r="D16782"/>
      <c r="E16782"/>
      <c r="F16782"/>
      <c r="G16782"/>
      <c r="H16782"/>
      <c r="I16782"/>
      <c r="J16782"/>
      <c r="K16782" s="1"/>
      <c r="L16782" s="2"/>
    </row>
    <row r="16783" spans="1:12" x14ac:dyDescent="0.2">
      <c r="A16783"/>
      <c r="B16783"/>
      <c r="C16783"/>
      <c r="D16783"/>
      <c r="E16783"/>
      <c r="F16783"/>
      <c r="G16783"/>
      <c r="H16783"/>
      <c r="I16783"/>
      <c r="J16783"/>
      <c r="K16783" s="1"/>
      <c r="L16783" s="2"/>
    </row>
    <row r="16784" spans="1:12" x14ac:dyDescent="0.2">
      <c r="A16784"/>
      <c r="B16784"/>
      <c r="C16784"/>
      <c r="D16784"/>
      <c r="E16784"/>
      <c r="F16784"/>
      <c r="G16784"/>
      <c r="H16784"/>
      <c r="I16784"/>
      <c r="J16784"/>
      <c r="K16784" s="1"/>
      <c r="L16784" s="2"/>
    </row>
    <row r="16785" spans="1:12" x14ac:dyDescent="0.2">
      <c r="A16785"/>
      <c r="B16785"/>
      <c r="C16785"/>
      <c r="D16785"/>
      <c r="E16785"/>
      <c r="F16785"/>
      <c r="G16785"/>
      <c r="H16785"/>
      <c r="I16785"/>
      <c r="J16785"/>
      <c r="K16785" s="1"/>
      <c r="L16785" s="2"/>
    </row>
    <row r="16786" spans="1:12" x14ac:dyDescent="0.2">
      <c r="A16786"/>
      <c r="B16786"/>
      <c r="C16786"/>
      <c r="D16786"/>
      <c r="E16786"/>
      <c r="F16786"/>
      <c r="G16786"/>
      <c r="H16786"/>
      <c r="I16786"/>
      <c r="J16786"/>
      <c r="K16786" s="1"/>
      <c r="L16786" s="2"/>
    </row>
    <row r="16787" spans="1:12" x14ac:dyDescent="0.2">
      <c r="A16787"/>
      <c r="B16787"/>
      <c r="C16787"/>
      <c r="D16787"/>
      <c r="E16787"/>
      <c r="F16787"/>
      <c r="G16787"/>
      <c r="H16787"/>
      <c r="I16787"/>
      <c r="J16787"/>
      <c r="K16787" s="1"/>
      <c r="L16787" s="2"/>
    </row>
    <row r="16788" spans="1:12" x14ac:dyDescent="0.2">
      <c r="A16788"/>
      <c r="B16788"/>
      <c r="C16788"/>
      <c r="D16788"/>
      <c r="E16788"/>
      <c r="F16788"/>
      <c r="G16788"/>
      <c r="H16788"/>
      <c r="I16788"/>
      <c r="J16788"/>
      <c r="K16788" s="1"/>
      <c r="L16788" s="2"/>
    </row>
    <row r="16789" spans="1:12" x14ac:dyDescent="0.2">
      <c r="A16789"/>
      <c r="B16789"/>
      <c r="C16789"/>
      <c r="D16789"/>
      <c r="E16789"/>
      <c r="F16789"/>
      <c r="G16789"/>
      <c r="H16789"/>
      <c r="I16789"/>
      <c r="J16789"/>
      <c r="K16789" s="1"/>
      <c r="L16789" s="2"/>
    </row>
    <row r="16790" spans="1:12" x14ac:dyDescent="0.2">
      <c r="A16790"/>
      <c r="B16790"/>
      <c r="C16790"/>
      <c r="D16790"/>
      <c r="E16790"/>
      <c r="F16790"/>
      <c r="G16790"/>
      <c r="H16790"/>
      <c r="I16790"/>
      <c r="J16790"/>
      <c r="K16790" s="1"/>
      <c r="L16790" s="2"/>
    </row>
    <row r="16791" spans="1:12" x14ac:dyDescent="0.2">
      <c r="A16791"/>
      <c r="B16791"/>
      <c r="C16791"/>
      <c r="D16791"/>
      <c r="E16791"/>
      <c r="F16791"/>
      <c r="G16791"/>
      <c r="H16791"/>
      <c r="I16791"/>
      <c r="J16791"/>
      <c r="K16791" s="1"/>
      <c r="L16791" s="2"/>
    </row>
    <row r="16792" spans="1:12" x14ac:dyDescent="0.2">
      <c r="A16792"/>
      <c r="B16792"/>
      <c r="C16792"/>
      <c r="D16792"/>
      <c r="E16792"/>
      <c r="F16792"/>
      <c r="G16792"/>
      <c r="H16792"/>
      <c r="I16792"/>
      <c r="J16792"/>
      <c r="K16792" s="1"/>
      <c r="L16792" s="2"/>
    </row>
    <row r="16793" spans="1:12" x14ac:dyDescent="0.2">
      <c r="A16793"/>
      <c r="B16793"/>
      <c r="C16793"/>
      <c r="D16793"/>
      <c r="E16793"/>
      <c r="F16793"/>
      <c r="G16793"/>
      <c r="H16793"/>
      <c r="I16793"/>
      <c r="J16793"/>
      <c r="K16793" s="1"/>
      <c r="L16793" s="2"/>
    </row>
    <row r="16794" spans="1:12" x14ac:dyDescent="0.2">
      <c r="A16794"/>
      <c r="B16794"/>
      <c r="C16794"/>
      <c r="D16794"/>
      <c r="E16794"/>
      <c r="F16794"/>
      <c r="G16794"/>
      <c r="H16794"/>
      <c r="I16794"/>
      <c r="J16794"/>
      <c r="K16794" s="1"/>
      <c r="L16794" s="2"/>
    </row>
    <row r="16795" spans="1:12" x14ac:dyDescent="0.2">
      <c r="A16795"/>
      <c r="B16795"/>
      <c r="C16795"/>
      <c r="D16795"/>
      <c r="E16795"/>
      <c r="F16795"/>
      <c r="G16795"/>
      <c r="H16795"/>
      <c r="I16795"/>
      <c r="J16795"/>
      <c r="K16795" s="1"/>
      <c r="L16795" s="2"/>
    </row>
    <row r="16796" spans="1:12" x14ac:dyDescent="0.2">
      <c r="A16796"/>
      <c r="B16796"/>
      <c r="C16796"/>
      <c r="D16796"/>
      <c r="E16796"/>
      <c r="F16796"/>
      <c r="G16796"/>
      <c r="H16796"/>
      <c r="I16796"/>
      <c r="J16796"/>
      <c r="K16796" s="1"/>
      <c r="L16796" s="2"/>
    </row>
    <row r="16797" spans="1:12" x14ac:dyDescent="0.2">
      <c r="A16797"/>
      <c r="B16797"/>
      <c r="C16797"/>
      <c r="D16797"/>
      <c r="E16797"/>
      <c r="F16797"/>
      <c r="G16797"/>
      <c r="H16797"/>
      <c r="I16797"/>
      <c r="J16797"/>
      <c r="K16797" s="1"/>
      <c r="L16797" s="2"/>
    </row>
    <row r="16798" spans="1:12" x14ac:dyDescent="0.2">
      <c r="A16798"/>
      <c r="B16798"/>
      <c r="C16798"/>
      <c r="D16798"/>
      <c r="E16798"/>
      <c r="F16798"/>
      <c r="G16798"/>
      <c r="H16798"/>
      <c r="I16798"/>
      <c r="J16798"/>
      <c r="K16798" s="1"/>
      <c r="L16798" s="2"/>
    </row>
    <row r="16799" spans="1:12" x14ac:dyDescent="0.2">
      <c r="A16799"/>
      <c r="B16799"/>
      <c r="C16799"/>
      <c r="D16799"/>
      <c r="E16799"/>
      <c r="F16799"/>
      <c r="G16799"/>
      <c r="H16799"/>
      <c r="I16799"/>
      <c r="J16799"/>
      <c r="K16799" s="1"/>
      <c r="L16799" s="2"/>
    </row>
    <row r="16800" spans="1:12" x14ac:dyDescent="0.2">
      <c r="A16800"/>
      <c r="B16800"/>
      <c r="C16800"/>
      <c r="D16800"/>
      <c r="E16800"/>
      <c r="F16800"/>
      <c r="G16800"/>
      <c r="H16800"/>
      <c r="I16800"/>
      <c r="J16800"/>
      <c r="K16800" s="1"/>
      <c r="L16800" s="2"/>
    </row>
    <row r="16801" spans="1:12" x14ac:dyDescent="0.2">
      <c r="A16801"/>
      <c r="B16801"/>
      <c r="C16801"/>
      <c r="D16801"/>
      <c r="E16801"/>
      <c r="F16801"/>
      <c r="G16801"/>
      <c r="H16801"/>
      <c r="I16801"/>
      <c r="J16801"/>
      <c r="K16801" s="1"/>
      <c r="L16801" s="2"/>
    </row>
    <row r="16802" spans="1:12" x14ac:dyDescent="0.2">
      <c r="A16802"/>
      <c r="B16802"/>
      <c r="C16802"/>
      <c r="D16802"/>
      <c r="E16802"/>
      <c r="F16802"/>
      <c r="G16802"/>
      <c r="H16802"/>
      <c r="I16802"/>
      <c r="J16802"/>
      <c r="K16802" s="1"/>
      <c r="L16802" s="2"/>
    </row>
    <row r="16803" spans="1:12" x14ac:dyDescent="0.2">
      <c r="A16803"/>
      <c r="B16803"/>
      <c r="C16803"/>
      <c r="D16803"/>
      <c r="E16803"/>
      <c r="F16803"/>
      <c r="G16803"/>
      <c r="H16803"/>
      <c r="I16803"/>
      <c r="J16803"/>
      <c r="K16803" s="1"/>
      <c r="L16803" s="2"/>
    </row>
    <row r="16804" spans="1:12" x14ac:dyDescent="0.2">
      <c r="A16804"/>
      <c r="B16804"/>
      <c r="C16804"/>
      <c r="D16804"/>
      <c r="E16804"/>
      <c r="F16804"/>
      <c r="G16804"/>
      <c r="H16804"/>
      <c r="I16804"/>
      <c r="J16804"/>
      <c r="K16804" s="1"/>
      <c r="L16804" s="2"/>
    </row>
    <row r="16805" spans="1:12" x14ac:dyDescent="0.2">
      <c r="A16805"/>
      <c r="B16805"/>
      <c r="C16805"/>
      <c r="D16805"/>
      <c r="E16805"/>
      <c r="F16805"/>
      <c r="G16805"/>
      <c r="H16805"/>
      <c r="I16805"/>
      <c r="J16805"/>
      <c r="K16805" s="1"/>
      <c r="L16805" s="2"/>
    </row>
    <row r="16806" spans="1:12" x14ac:dyDescent="0.2">
      <c r="A16806"/>
      <c r="B16806"/>
      <c r="C16806"/>
      <c r="D16806"/>
      <c r="E16806"/>
      <c r="F16806"/>
      <c r="G16806"/>
      <c r="H16806"/>
      <c r="I16806"/>
      <c r="J16806"/>
      <c r="K16806" s="1"/>
      <c r="L16806" s="2"/>
    </row>
    <row r="16807" spans="1:12" x14ac:dyDescent="0.2">
      <c r="A16807"/>
      <c r="B16807"/>
      <c r="C16807"/>
      <c r="D16807"/>
      <c r="E16807"/>
      <c r="F16807"/>
      <c r="G16807"/>
      <c r="H16807"/>
      <c r="I16807"/>
      <c r="J16807"/>
      <c r="K16807" s="1"/>
      <c r="L16807" s="2"/>
    </row>
    <row r="16808" spans="1:12" x14ac:dyDescent="0.2">
      <c r="A16808"/>
      <c r="B16808"/>
      <c r="C16808"/>
      <c r="D16808"/>
      <c r="E16808"/>
      <c r="F16808"/>
      <c r="G16808"/>
      <c r="H16808"/>
      <c r="I16808"/>
      <c r="J16808"/>
      <c r="K16808" s="1"/>
      <c r="L16808" s="2"/>
    </row>
    <row r="16809" spans="1:12" x14ac:dyDescent="0.2">
      <c r="A16809"/>
      <c r="B16809"/>
      <c r="C16809"/>
      <c r="D16809"/>
      <c r="E16809"/>
      <c r="F16809"/>
      <c r="G16809"/>
      <c r="H16809"/>
      <c r="I16809"/>
      <c r="J16809"/>
      <c r="K16809" s="1"/>
      <c r="L16809" s="2"/>
    </row>
    <row r="16810" spans="1:12" x14ac:dyDescent="0.2">
      <c r="A16810"/>
      <c r="B16810"/>
      <c r="C16810"/>
      <c r="D16810"/>
      <c r="E16810"/>
      <c r="F16810"/>
      <c r="G16810"/>
      <c r="H16810"/>
      <c r="I16810"/>
      <c r="J16810"/>
      <c r="K16810" s="1"/>
      <c r="L16810" s="2"/>
    </row>
    <row r="16811" spans="1:12" x14ac:dyDescent="0.2">
      <c r="A16811"/>
      <c r="B16811"/>
      <c r="C16811"/>
      <c r="D16811"/>
      <c r="E16811"/>
      <c r="F16811"/>
      <c r="G16811"/>
      <c r="H16811"/>
      <c r="I16811"/>
      <c r="J16811"/>
      <c r="K16811" s="1"/>
      <c r="L16811" s="2"/>
    </row>
    <row r="16812" spans="1:12" x14ac:dyDescent="0.2">
      <c r="A16812"/>
      <c r="B16812"/>
      <c r="C16812"/>
      <c r="D16812"/>
      <c r="E16812"/>
      <c r="F16812"/>
      <c r="G16812"/>
      <c r="H16812"/>
      <c r="I16812"/>
      <c r="J16812"/>
      <c r="K16812" s="1"/>
      <c r="L16812" s="2"/>
    </row>
    <row r="16813" spans="1:12" x14ac:dyDescent="0.2">
      <c r="A16813"/>
      <c r="B16813"/>
      <c r="C16813"/>
      <c r="D16813"/>
      <c r="E16813"/>
      <c r="F16813"/>
      <c r="G16813"/>
      <c r="H16813"/>
      <c r="I16813"/>
      <c r="J16813"/>
      <c r="K16813" s="1"/>
      <c r="L16813" s="2"/>
    </row>
    <row r="16814" spans="1:12" x14ac:dyDescent="0.2">
      <c r="A16814"/>
      <c r="B16814"/>
      <c r="C16814"/>
      <c r="D16814"/>
      <c r="E16814"/>
      <c r="F16814"/>
      <c r="G16814"/>
      <c r="H16814"/>
      <c r="I16814"/>
      <c r="J16814"/>
      <c r="K16814" s="1"/>
      <c r="L16814" s="2"/>
    </row>
    <row r="16815" spans="1:12" x14ac:dyDescent="0.2">
      <c r="A16815"/>
      <c r="B16815"/>
      <c r="C16815"/>
      <c r="D16815"/>
      <c r="E16815"/>
      <c r="F16815"/>
      <c r="G16815"/>
      <c r="H16815"/>
      <c r="I16815"/>
      <c r="J16815"/>
      <c r="K16815" s="1"/>
      <c r="L16815" s="2"/>
    </row>
    <row r="16816" spans="1:12" x14ac:dyDescent="0.2">
      <c r="A16816"/>
      <c r="B16816"/>
      <c r="C16816"/>
      <c r="D16816"/>
      <c r="E16816"/>
      <c r="F16816"/>
      <c r="G16816"/>
      <c r="H16816"/>
      <c r="I16816"/>
      <c r="J16816"/>
      <c r="K16816" s="1"/>
      <c r="L16816" s="2"/>
    </row>
    <row r="16817" spans="1:12" x14ac:dyDescent="0.2">
      <c r="A16817"/>
      <c r="B16817"/>
      <c r="C16817"/>
      <c r="D16817"/>
      <c r="E16817"/>
      <c r="F16817"/>
      <c r="G16817"/>
      <c r="H16817"/>
      <c r="I16817"/>
      <c r="J16817"/>
      <c r="K16817" s="1"/>
      <c r="L16817" s="2"/>
    </row>
    <row r="16818" spans="1:12" x14ac:dyDescent="0.2">
      <c r="A16818"/>
      <c r="B16818"/>
      <c r="C16818"/>
      <c r="D16818"/>
      <c r="E16818"/>
      <c r="F16818"/>
      <c r="G16818"/>
      <c r="H16818"/>
      <c r="I16818"/>
      <c r="J16818"/>
      <c r="K16818" s="1"/>
      <c r="L16818" s="2"/>
    </row>
    <row r="16819" spans="1:12" x14ac:dyDescent="0.2">
      <c r="A16819"/>
      <c r="B16819"/>
      <c r="C16819"/>
      <c r="D16819"/>
      <c r="E16819"/>
      <c r="F16819"/>
      <c r="G16819"/>
      <c r="H16819"/>
      <c r="I16819"/>
      <c r="J16819"/>
      <c r="K16819" s="1"/>
      <c r="L16819" s="2"/>
    </row>
    <row r="16820" spans="1:12" x14ac:dyDescent="0.2">
      <c r="A16820"/>
      <c r="B16820"/>
      <c r="C16820"/>
      <c r="D16820"/>
      <c r="E16820"/>
      <c r="F16820"/>
      <c r="G16820"/>
      <c r="H16820"/>
      <c r="I16820"/>
      <c r="J16820"/>
      <c r="K16820" s="1"/>
      <c r="L16820" s="2"/>
    </row>
    <row r="16821" spans="1:12" x14ac:dyDescent="0.2">
      <c r="A16821"/>
      <c r="B16821"/>
      <c r="C16821"/>
      <c r="D16821"/>
      <c r="E16821"/>
      <c r="F16821"/>
      <c r="G16821"/>
      <c r="H16821"/>
      <c r="I16821"/>
      <c r="J16821"/>
      <c r="K16821" s="1"/>
      <c r="L16821" s="2"/>
    </row>
    <row r="16822" spans="1:12" x14ac:dyDescent="0.2">
      <c r="A16822"/>
      <c r="B16822"/>
      <c r="C16822"/>
      <c r="D16822"/>
      <c r="E16822"/>
      <c r="F16822"/>
      <c r="G16822"/>
      <c r="H16822"/>
      <c r="I16822"/>
      <c r="J16822"/>
      <c r="K16822" s="1"/>
      <c r="L16822" s="2"/>
    </row>
    <row r="16823" spans="1:12" x14ac:dyDescent="0.2">
      <c r="A16823"/>
      <c r="B16823"/>
      <c r="C16823"/>
      <c r="D16823"/>
      <c r="E16823"/>
      <c r="F16823"/>
      <c r="G16823"/>
      <c r="H16823"/>
      <c r="I16823"/>
      <c r="J16823"/>
      <c r="K16823" s="1"/>
      <c r="L16823" s="2"/>
    </row>
    <row r="16824" spans="1:12" x14ac:dyDescent="0.2">
      <c r="A16824"/>
      <c r="B16824"/>
      <c r="C16824"/>
      <c r="D16824"/>
      <c r="E16824"/>
      <c r="F16824"/>
      <c r="G16824"/>
      <c r="H16824"/>
      <c r="I16824"/>
      <c r="J16824"/>
      <c r="K16824" s="1"/>
      <c r="L16824" s="2"/>
    </row>
    <row r="16825" spans="1:12" x14ac:dyDescent="0.2">
      <c r="A16825"/>
      <c r="B16825"/>
      <c r="C16825"/>
      <c r="D16825"/>
      <c r="E16825"/>
      <c r="F16825"/>
      <c r="G16825"/>
      <c r="H16825"/>
      <c r="I16825"/>
      <c r="J16825"/>
      <c r="K16825" s="1"/>
      <c r="L16825" s="2"/>
    </row>
    <row r="16826" spans="1:12" x14ac:dyDescent="0.2">
      <c r="A16826"/>
      <c r="B16826"/>
      <c r="C16826"/>
      <c r="D16826"/>
      <c r="E16826"/>
      <c r="F16826"/>
      <c r="G16826"/>
      <c r="H16826"/>
      <c r="I16826"/>
      <c r="J16826"/>
      <c r="K16826" s="1"/>
      <c r="L16826" s="2"/>
    </row>
    <row r="16827" spans="1:12" x14ac:dyDescent="0.2">
      <c r="A16827"/>
      <c r="B16827"/>
      <c r="C16827"/>
      <c r="D16827"/>
      <c r="E16827"/>
      <c r="F16827"/>
      <c r="G16827"/>
      <c r="H16827"/>
      <c r="I16827"/>
      <c r="J16827"/>
      <c r="K16827" s="1"/>
      <c r="L16827" s="2"/>
    </row>
    <row r="16828" spans="1:12" x14ac:dyDescent="0.2">
      <c r="A16828"/>
      <c r="B16828"/>
      <c r="C16828"/>
      <c r="D16828"/>
      <c r="E16828"/>
      <c r="F16828"/>
      <c r="G16828"/>
      <c r="H16828"/>
      <c r="I16828"/>
      <c r="J16828"/>
      <c r="K16828" s="1"/>
      <c r="L16828" s="2"/>
    </row>
    <row r="16829" spans="1:12" x14ac:dyDescent="0.2">
      <c r="A16829"/>
      <c r="B16829"/>
      <c r="C16829"/>
      <c r="D16829"/>
      <c r="E16829"/>
      <c r="F16829"/>
      <c r="G16829"/>
      <c r="H16829"/>
      <c r="I16829"/>
      <c r="J16829"/>
      <c r="K16829" s="1"/>
      <c r="L16829" s="2"/>
    </row>
    <row r="16830" spans="1:12" x14ac:dyDescent="0.2">
      <c r="A16830"/>
      <c r="B16830"/>
      <c r="C16830"/>
      <c r="D16830"/>
      <c r="E16830"/>
      <c r="F16830"/>
      <c r="G16830"/>
      <c r="H16830"/>
      <c r="I16830"/>
      <c r="J16830"/>
      <c r="K16830" s="1"/>
      <c r="L16830" s="2"/>
    </row>
    <row r="16831" spans="1:12" x14ac:dyDescent="0.2">
      <c r="A16831"/>
      <c r="B16831"/>
      <c r="C16831"/>
      <c r="D16831"/>
      <c r="E16831"/>
      <c r="F16831"/>
      <c r="G16831"/>
      <c r="H16831"/>
      <c r="I16831"/>
      <c r="J16831"/>
      <c r="K16831" s="1"/>
      <c r="L16831" s="2"/>
    </row>
    <row r="16832" spans="1:12" x14ac:dyDescent="0.2">
      <c r="A16832"/>
      <c r="B16832"/>
      <c r="C16832"/>
      <c r="D16832"/>
      <c r="E16832"/>
      <c r="F16832"/>
      <c r="G16832"/>
      <c r="H16832"/>
      <c r="I16832"/>
      <c r="J16832"/>
      <c r="K16832" s="1"/>
      <c r="L16832" s="2"/>
    </row>
    <row r="16833" spans="1:12" x14ac:dyDescent="0.2">
      <c r="A16833"/>
      <c r="B16833"/>
      <c r="C16833"/>
      <c r="D16833"/>
      <c r="E16833"/>
      <c r="F16833"/>
      <c r="G16833"/>
      <c r="H16833"/>
      <c r="I16833"/>
      <c r="J16833"/>
      <c r="K16833" s="1"/>
      <c r="L16833" s="2"/>
    </row>
    <row r="16834" spans="1:12" x14ac:dyDescent="0.2">
      <c r="A16834"/>
      <c r="B16834"/>
      <c r="C16834"/>
      <c r="D16834"/>
      <c r="E16834"/>
      <c r="F16834"/>
      <c r="G16834"/>
      <c r="H16834"/>
      <c r="I16834"/>
      <c r="J16834"/>
      <c r="K16834" s="1"/>
      <c r="L16834" s="2"/>
    </row>
    <row r="16835" spans="1:12" x14ac:dyDescent="0.2">
      <c r="A16835"/>
      <c r="B16835"/>
      <c r="C16835"/>
      <c r="D16835"/>
      <c r="E16835"/>
      <c r="F16835"/>
      <c r="G16835"/>
      <c r="H16835"/>
      <c r="I16835"/>
      <c r="J16835"/>
      <c r="K16835" s="1"/>
      <c r="L16835" s="2"/>
    </row>
    <row r="16836" spans="1:12" x14ac:dyDescent="0.2">
      <c r="A16836"/>
      <c r="B16836"/>
      <c r="C16836"/>
      <c r="D16836"/>
      <c r="E16836"/>
      <c r="F16836"/>
      <c r="G16836"/>
      <c r="H16836"/>
      <c r="I16836"/>
      <c r="J16836"/>
      <c r="K16836" s="1"/>
      <c r="L16836" s="2"/>
    </row>
    <row r="16837" spans="1:12" x14ac:dyDescent="0.2">
      <c r="A16837"/>
      <c r="B16837"/>
      <c r="C16837"/>
      <c r="D16837"/>
      <c r="E16837"/>
      <c r="F16837"/>
      <c r="G16837"/>
      <c r="H16837"/>
      <c r="I16837"/>
      <c r="J16837"/>
      <c r="K16837" s="1"/>
      <c r="L16837" s="2"/>
    </row>
    <row r="16838" spans="1:12" x14ac:dyDescent="0.2">
      <c r="A16838"/>
      <c r="B16838"/>
      <c r="C16838"/>
      <c r="D16838"/>
      <c r="E16838"/>
      <c r="F16838"/>
      <c r="G16838"/>
      <c r="H16838"/>
      <c r="I16838"/>
      <c r="J16838"/>
      <c r="K16838" s="1"/>
      <c r="L16838" s="2"/>
    </row>
    <row r="16839" spans="1:12" x14ac:dyDescent="0.2">
      <c r="A16839"/>
      <c r="B16839"/>
      <c r="C16839"/>
      <c r="D16839"/>
      <c r="E16839"/>
      <c r="F16839"/>
      <c r="G16839"/>
      <c r="H16839"/>
      <c r="I16839"/>
      <c r="J16839"/>
      <c r="K16839" s="1"/>
      <c r="L16839" s="2"/>
    </row>
    <row r="16840" spans="1:12" x14ac:dyDescent="0.2">
      <c r="A16840"/>
      <c r="B16840"/>
      <c r="C16840"/>
      <c r="D16840"/>
      <c r="E16840"/>
      <c r="F16840"/>
      <c r="G16840"/>
      <c r="H16840"/>
      <c r="I16840"/>
      <c r="J16840"/>
      <c r="K16840" s="1"/>
      <c r="L16840" s="2"/>
    </row>
    <row r="16841" spans="1:12" x14ac:dyDescent="0.2">
      <c r="A16841"/>
      <c r="B16841"/>
      <c r="C16841"/>
      <c r="D16841"/>
      <c r="E16841"/>
      <c r="F16841"/>
      <c r="G16841"/>
      <c r="H16841"/>
      <c r="I16841"/>
      <c r="J16841"/>
      <c r="K16841" s="1"/>
      <c r="L16841" s="2"/>
    </row>
    <row r="16842" spans="1:12" x14ac:dyDescent="0.2">
      <c r="A16842"/>
      <c r="B16842"/>
      <c r="C16842"/>
      <c r="D16842"/>
      <c r="E16842"/>
      <c r="F16842"/>
      <c r="G16842"/>
      <c r="H16842"/>
      <c r="I16842"/>
      <c r="J16842"/>
      <c r="K16842" s="1"/>
      <c r="L16842" s="2"/>
    </row>
    <row r="16843" spans="1:12" x14ac:dyDescent="0.2">
      <c r="A16843"/>
      <c r="B16843"/>
      <c r="C16843"/>
      <c r="D16843"/>
      <c r="E16843"/>
      <c r="F16843"/>
      <c r="G16843"/>
      <c r="H16843"/>
      <c r="I16843"/>
      <c r="J16843"/>
      <c r="K16843" s="1"/>
      <c r="L16843" s="2"/>
    </row>
    <row r="16844" spans="1:12" x14ac:dyDescent="0.2">
      <c r="A16844"/>
      <c r="B16844"/>
      <c r="C16844"/>
      <c r="D16844"/>
      <c r="E16844"/>
      <c r="F16844"/>
      <c r="G16844"/>
      <c r="H16844"/>
      <c r="I16844"/>
      <c r="J16844"/>
      <c r="K16844" s="1"/>
      <c r="L16844" s="2"/>
    </row>
    <row r="16845" spans="1:12" x14ac:dyDescent="0.2">
      <c r="A16845"/>
      <c r="B16845"/>
      <c r="C16845"/>
      <c r="D16845"/>
      <c r="E16845"/>
      <c r="F16845"/>
      <c r="G16845"/>
      <c r="H16845"/>
      <c r="I16845"/>
      <c r="J16845"/>
      <c r="K16845" s="1"/>
      <c r="L16845" s="2"/>
    </row>
    <row r="16846" spans="1:12" x14ac:dyDescent="0.2">
      <c r="A16846"/>
      <c r="B16846"/>
      <c r="C16846"/>
      <c r="D16846"/>
      <c r="E16846"/>
      <c r="F16846"/>
      <c r="G16846"/>
      <c r="H16846"/>
      <c r="I16846"/>
      <c r="J16846"/>
      <c r="K16846" s="1"/>
      <c r="L16846" s="2"/>
    </row>
    <row r="16847" spans="1:12" x14ac:dyDescent="0.2">
      <c r="A16847"/>
      <c r="B16847"/>
      <c r="C16847"/>
      <c r="D16847"/>
      <c r="E16847"/>
      <c r="F16847"/>
      <c r="G16847"/>
      <c r="H16847"/>
      <c r="I16847"/>
      <c r="J16847"/>
      <c r="K16847" s="1"/>
      <c r="L16847" s="2"/>
    </row>
    <row r="16848" spans="1:12" x14ac:dyDescent="0.2">
      <c r="A16848"/>
      <c r="B16848"/>
      <c r="C16848"/>
      <c r="D16848"/>
      <c r="E16848"/>
      <c r="F16848"/>
      <c r="G16848"/>
      <c r="H16848"/>
      <c r="I16848"/>
      <c r="J16848"/>
      <c r="K16848" s="1"/>
      <c r="L16848" s="2"/>
    </row>
    <row r="16849" spans="1:12" x14ac:dyDescent="0.2">
      <c r="A16849"/>
      <c r="B16849"/>
      <c r="C16849"/>
      <c r="D16849"/>
      <c r="E16849"/>
      <c r="F16849"/>
      <c r="G16849"/>
      <c r="H16849"/>
      <c r="I16849"/>
      <c r="J16849"/>
      <c r="K16849" s="1"/>
      <c r="L16849" s="2"/>
    </row>
    <row r="16850" spans="1:12" x14ac:dyDescent="0.2">
      <c r="A16850"/>
      <c r="B16850"/>
      <c r="C16850"/>
      <c r="D16850"/>
      <c r="E16850"/>
      <c r="F16850"/>
      <c r="G16850"/>
      <c r="H16850"/>
      <c r="I16850"/>
      <c r="J16850"/>
      <c r="K16850" s="1"/>
      <c r="L16850" s="2"/>
    </row>
    <row r="16851" spans="1:12" x14ac:dyDescent="0.2">
      <c r="A16851"/>
      <c r="B16851"/>
      <c r="C16851"/>
      <c r="D16851"/>
      <c r="E16851"/>
      <c r="F16851"/>
      <c r="G16851"/>
      <c r="H16851"/>
      <c r="I16851"/>
      <c r="J16851"/>
      <c r="K16851" s="1"/>
      <c r="L16851" s="2"/>
    </row>
    <row r="16852" spans="1:12" x14ac:dyDescent="0.2">
      <c r="A16852"/>
      <c r="B16852"/>
      <c r="C16852"/>
      <c r="D16852"/>
      <c r="E16852"/>
      <c r="F16852"/>
      <c r="G16852"/>
      <c r="H16852"/>
      <c r="I16852"/>
      <c r="J16852"/>
      <c r="K16852" s="1"/>
      <c r="L16852" s="2"/>
    </row>
    <row r="16853" spans="1:12" x14ac:dyDescent="0.2">
      <c r="A16853"/>
      <c r="B16853"/>
      <c r="C16853"/>
      <c r="D16853"/>
      <c r="E16853"/>
      <c r="F16853"/>
      <c r="G16853"/>
      <c r="H16853"/>
      <c r="I16853"/>
      <c r="J16853"/>
      <c r="K16853" s="1"/>
      <c r="L16853" s="2"/>
    </row>
    <row r="16854" spans="1:12" x14ac:dyDescent="0.2">
      <c r="A16854"/>
      <c r="B16854"/>
      <c r="C16854"/>
      <c r="D16854"/>
      <c r="E16854"/>
      <c r="F16854"/>
      <c r="G16854"/>
      <c r="H16854"/>
      <c r="I16854"/>
      <c r="J16854"/>
      <c r="K16854" s="1"/>
      <c r="L16854" s="2"/>
    </row>
    <row r="16855" spans="1:12" x14ac:dyDescent="0.2">
      <c r="A16855"/>
      <c r="B16855"/>
      <c r="C16855"/>
      <c r="D16855"/>
      <c r="E16855"/>
      <c r="F16855"/>
      <c r="G16855"/>
      <c r="H16855"/>
      <c r="I16855"/>
      <c r="J16855"/>
      <c r="K16855" s="1"/>
      <c r="L16855" s="2"/>
    </row>
    <row r="16856" spans="1:12" x14ac:dyDescent="0.2">
      <c r="A16856"/>
      <c r="B16856"/>
      <c r="C16856"/>
      <c r="D16856"/>
      <c r="E16856"/>
      <c r="F16856"/>
      <c r="G16856"/>
      <c r="H16856"/>
      <c r="I16856"/>
      <c r="J16856"/>
      <c r="K16856" s="1"/>
      <c r="L16856" s="2"/>
    </row>
    <row r="16857" spans="1:12" x14ac:dyDescent="0.2">
      <c r="A16857"/>
      <c r="B16857"/>
      <c r="C16857"/>
      <c r="D16857"/>
      <c r="E16857"/>
      <c r="F16857"/>
      <c r="G16857"/>
      <c r="H16857"/>
      <c r="I16857"/>
      <c r="J16857"/>
      <c r="K16857" s="1"/>
      <c r="L16857" s="2"/>
    </row>
    <row r="16858" spans="1:12" x14ac:dyDescent="0.2">
      <c r="A16858"/>
      <c r="B16858"/>
      <c r="C16858"/>
      <c r="D16858"/>
      <c r="E16858"/>
      <c r="F16858"/>
      <c r="G16858"/>
      <c r="H16858"/>
      <c r="I16858"/>
      <c r="J16858"/>
      <c r="K16858" s="1"/>
      <c r="L16858" s="2"/>
    </row>
    <row r="16859" spans="1:12" x14ac:dyDescent="0.2">
      <c r="A16859"/>
      <c r="B16859"/>
      <c r="C16859"/>
      <c r="D16859"/>
      <c r="E16859"/>
      <c r="F16859"/>
      <c r="G16859"/>
      <c r="H16859"/>
      <c r="I16859"/>
      <c r="J16859"/>
      <c r="K16859" s="1"/>
      <c r="L16859" s="2"/>
    </row>
    <row r="16860" spans="1:12" x14ac:dyDescent="0.2">
      <c r="A16860"/>
      <c r="B16860"/>
      <c r="C16860"/>
      <c r="D16860"/>
      <c r="E16860"/>
      <c r="F16860"/>
      <c r="G16860"/>
      <c r="H16860"/>
      <c r="I16860"/>
      <c r="J16860"/>
      <c r="K16860" s="1"/>
      <c r="L16860" s="2"/>
    </row>
    <row r="16861" spans="1:12" x14ac:dyDescent="0.2">
      <c r="A16861"/>
      <c r="B16861"/>
      <c r="C16861"/>
      <c r="D16861"/>
      <c r="E16861"/>
      <c r="F16861"/>
      <c r="G16861"/>
      <c r="H16861"/>
      <c r="I16861"/>
      <c r="J16861"/>
      <c r="K16861" s="1"/>
      <c r="L16861" s="2"/>
    </row>
    <row r="16862" spans="1:12" x14ac:dyDescent="0.2">
      <c r="A16862"/>
      <c r="B16862"/>
      <c r="C16862"/>
      <c r="D16862"/>
      <c r="E16862"/>
      <c r="F16862"/>
      <c r="G16862"/>
      <c r="H16862"/>
      <c r="I16862"/>
      <c r="J16862"/>
      <c r="K16862" s="1"/>
      <c r="L16862" s="2"/>
    </row>
    <row r="16863" spans="1:12" x14ac:dyDescent="0.2">
      <c r="A16863"/>
      <c r="B16863"/>
      <c r="C16863"/>
      <c r="D16863"/>
      <c r="E16863"/>
      <c r="F16863"/>
      <c r="G16863"/>
      <c r="H16863"/>
      <c r="I16863"/>
      <c r="J16863"/>
      <c r="K16863" s="1"/>
      <c r="L16863" s="2"/>
    </row>
    <row r="16864" spans="1:12" x14ac:dyDescent="0.2">
      <c r="A16864"/>
      <c r="B16864"/>
      <c r="C16864"/>
      <c r="D16864"/>
      <c r="E16864"/>
      <c r="F16864"/>
      <c r="G16864"/>
      <c r="H16864"/>
      <c r="I16864"/>
      <c r="J16864"/>
      <c r="K16864" s="1"/>
      <c r="L16864" s="2"/>
    </row>
    <row r="16865" spans="1:12" x14ac:dyDescent="0.2">
      <c r="A16865"/>
      <c r="B16865"/>
      <c r="C16865"/>
      <c r="D16865"/>
      <c r="E16865"/>
      <c r="F16865"/>
      <c r="G16865"/>
      <c r="H16865"/>
      <c r="I16865"/>
      <c r="J16865"/>
      <c r="K16865" s="1"/>
      <c r="L16865" s="2"/>
    </row>
    <row r="16866" spans="1:12" x14ac:dyDescent="0.2">
      <c r="A16866"/>
      <c r="B16866"/>
      <c r="C16866"/>
      <c r="D16866"/>
      <c r="E16866"/>
      <c r="F16866"/>
      <c r="G16866"/>
      <c r="H16866"/>
      <c r="I16866"/>
      <c r="J16866"/>
      <c r="K16866" s="1"/>
      <c r="L16866" s="2"/>
    </row>
    <row r="16867" spans="1:12" x14ac:dyDescent="0.2">
      <c r="A16867"/>
      <c r="B16867"/>
      <c r="C16867"/>
      <c r="D16867"/>
      <c r="E16867"/>
      <c r="F16867"/>
      <c r="G16867"/>
      <c r="H16867"/>
      <c r="I16867"/>
      <c r="J16867"/>
      <c r="K16867" s="1"/>
      <c r="L16867" s="2"/>
    </row>
    <row r="16868" spans="1:12" x14ac:dyDescent="0.2">
      <c r="A16868"/>
      <c r="B16868"/>
      <c r="C16868"/>
      <c r="D16868"/>
      <c r="E16868"/>
      <c r="F16868"/>
      <c r="G16868"/>
      <c r="H16868"/>
      <c r="I16868"/>
      <c r="J16868"/>
      <c r="K16868" s="1"/>
      <c r="L16868" s="2"/>
    </row>
    <row r="16869" spans="1:12" x14ac:dyDescent="0.2">
      <c r="A16869"/>
      <c r="B16869"/>
      <c r="C16869"/>
      <c r="D16869"/>
      <c r="E16869"/>
      <c r="F16869"/>
      <c r="G16869"/>
      <c r="H16869"/>
      <c r="I16869"/>
      <c r="J16869"/>
      <c r="K16869" s="1"/>
      <c r="L16869" s="2"/>
    </row>
    <row r="16870" spans="1:12" x14ac:dyDescent="0.2">
      <c r="A16870"/>
      <c r="B16870"/>
      <c r="C16870"/>
      <c r="D16870"/>
      <c r="E16870"/>
      <c r="F16870"/>
      <c r="G16870"/>
      <c r="H16870"/>
      <c r="I16870"/>
      <c r="J16870"/>
      <c r="K16870" s="1"/>
      <c r="L16870" s="2"/>
    </row>
    <row r="16871" spans="1:12" x14ac:dyDescent="0.2">
      <c r="A16871"/>
      <c r="B16871"/>
      <c r="C16871"/>
      <c r="D16871"/>
      <c r="E16871"/>
      <c r="F16871"/>
      <c r="G16871"/>
      <c r="H16871"/>
      <c r="I16871"/>
      <c r="J16871"/>
      <c r="K16871" s="1"/>
      <c r="L16871" s="2"/>
    </row>
    <row r="16872" spans="1:12" x14ac:dyDescent="0.2">
      <c r="A16872"/>
      <c r="B16872"/>
      <c r="C16872"/>
      <c r="D16872"/>
      <c r="E16872"/>
      <c r="F16872"/>
      <c r="G16872"/>
      <c r="H16872"/>
      <c r="I16872"/>
      <c r="J16872"/>
      <c r="K16872" s="1"/>
      <c r="L16872" s="2"/>
    </row>
    <row r="16873" spans="1:12" x14ac:dyDescent="0.2">
      <c r="A16873"/>
      <c r="B16873"/>
      <c r="C16873"/>
      <c r="D16873"/>
      <c r="E16873"/>
      <c r="F16873"/>
      <c r="G16873"/>
      <c r="H16873"/>
      <c r="I16873"/>
      <c r="J16873"/>
      <c r="K16873" s="1"/>
      <c r="L16873" s="2"/>
    </row>
    <row r="16874" spans="1:12" x14ac:dyDescent="0.2">
      <c r="A16874"/>
      <c r="B16874"/>
      <c r="C16874"/>
      <c r="D16874"/>
      <c r="E16874"/>
      <c r="F16874"/>
      <c r="G16874"/>
      <c r="H16874"/>
      <c r="I16874"/>
      <c r="J16874"/>
      <c r="K16874" s="1"/>
      <c r="L16874" s="2"/>
    </row>
    <row r="16875" spans="1:12" x14ac:dyDescent="0.2">
      <c r="A16875"/>
      <c r="B16875"/>
      <c r="C16875"/>
      <c r="D16875"/>
      <c r="E16875"/>
      <c r="F16875"/>
      <c r="G16875"/>
      <c r="H16875"/>
      <c r="I16875"/>
      <c r="J16875"/>
      <c r="K16875" s="1"/>
      <c r="L16875" s="2"/>
    </row>
    <row r="16876" spans="1:12" x14ac:dyDescent="0.2">
      <c r="A16876"/>
      <c r="B16876"/>
      <c r="C16876"/>
      <c r="D16876"/>
      <c r="E16876"/>
      <c r="F16876"/>
      <c r="G16876"/>
      <c r="H16876"/>
      <c r="I16876"/>
      <c r="J16876"/>
      <c r="K16876" s="1"/>
      <c r="L16876" s="2"/>
    </row>
    <row r="16877" spans="1:12" x14ac:dyDescent="0.2">
      <c r="A16877"/>
      <c r="B16877"/>
      <c r="C16877"/>
      <c r="D16877"/>
      <c r="E16877"/>
      <c r="F16877"/>
      <c r="G16877"/>
      <c r="H16877"/>
      <c r="I16877"/>
      <c r="J16877"/>
      <c r="K16877" s="1"/>
      <c r="L16877" s="2"/>
    </row>
    <row r="16878" spans="1:12" x14ac:dyDescent="0.2">
      <c r="A16878"/>
      <c r="B16878"/>
      <c r="C16878"/>
      <c r="D16878"/>
      <c r="E16878"/>
      <c r="F16878"/>
      <c r="G16878"/>
      <c r="H16878"/>
      <c r="I16878"/>
      <c r="J16878"/>
      <c r="K16878" s="1"/>
      <c r="L16878" s="2"/>
    </row>
    <row r="16879" spans="1:12" x14ac:dyDescent="0.2">
      <c r="A16879"/>
      <c r="B16879"/>
      <c r="C16879"/>
      <c r="D16879"/>
      <c r="E16879"/>
      <c r="F16879"/>
      <c r="G16879"/>
      <c r="H16879"/>
      <c r="I16879"/>
      <c r="J16879"/>
      <c r="K16879" s="1"/>
      <c r="L16879" s="2"/>
    </row>
    <row r="16880" spans="1:12" x14ac:dyDescent="0.2">
      <c r="A16880"/>
      <c r="B16880"/>
      <c r="C16880"/>
      <c r="D16880"/>
      <c r="E16880"/>
      <c r="F16880"/>
      <c r="G16880"/>
      <c r="H16880"/>
      <c r="I16880"/>
      <c r="J16880"/>
      <c r="K16880" s="1"/>
      <c r="L16880" s="2"/>
    </row>
    <row r="16881" spans="1:12" x14ac:dyDescent="0.2">
      <c r="A16881"/>
      <c r="B16881"/>
      <c r="C16881"/>
      <c r="D16881"/>
      <c r="E16881"/>
      <c r="F16881"/>
      <c r="G16881"/>
      <c r="H16881"/>
      <c r="I16881"/>
      <c r="J16881"/>
      <c r="K16881" s="1"/>
      <c r="L16881" s="2"/>
    </row>
    <row r="16882" spans="1:12" x14ac:dyDescent="0.2">
      <c r="A16882"/>
      <c r="B16882"/>
      <c r="C16882"/>
      <c r="D16882"/>
      <c r="E16882"/>
      <c r="F16882"/>
      <c r="G16882"/>
      <c r="H16882"/>
      <c r="I16882"/>
      <c r="J16882"/>
      <c r="K16882" s="1"/>
      <c r="L16882" s="2"/>
    </row>
    <row r="16883" spans="1:12" x14ac:dyDescent="0.2">
      <c r="A16883"/>
      <c r="B16883"/>
      <c r="C16883"/>
      <c r="D16883"/>
      <c r="E16883"/>
      <c r="F16883"/>
      <c r="G16883"/>
      <c r="H16883"/>
      <c r="I16883"/>
      <c r="J16883"/>
      <c r="K16883" s="1"/>
      <c r="L16883" s="2"/>
    </row>
    <row r="16884" spans="1:12" x14ac:dyDescent="0.2">
      <c r="A16884"/>
      <c r="B16884"/>
      <c r="C16884"/>
      <c r="D16884"/>
      <c r="E16884"/>
      <c r="F16884"/>
      <c r="G16884"/>
      <c r="H16884"/>
      <c r="I16884"/>
      <c r="J16884"/>
      <c r="K16884" s="1"/>
      <c r="L16884" s="2"/>
    </row>
    <row r="16885" spans="1:12" x14ac:dyDescent="0.2">
      <c r="A16885"/>
      <c r="B16885"/>
      <c r="C16885"/>
      <c r="D16885"/>
      <c r="E16885"/>
      <c r="F16885"/>
      <c r="G16885"/>
      <c r="H16885"/>
      <c r="I16885"/>
      <c r="J16885"/>
      <c r="K16885" s="1"/>
      <c r="L16885" s="2"/>
    </row>
    <row r="16886" spans="1:12" x14ac:dyDescent="0.2">
      <c r="A16886"/>
      <c r="B16886"/>
      <c r="C16886"/>
      <c r="D16886"/>
      <c r="E16886"/>
      <c r="F16886"/>
      <c r="G16886"/>
      <c r="H16886"/>
      <c r="I16886"/>
      <c r="J16886"/>
      <c r="K16886" s="1"/>
      <c r="L16886" s="2"/>
    </row>
    <row r="16887" spans="1:12" x14ac:dyDescent="0.2">
      <c r="A16887"/>
      <c r="B16887"/>
      <c r="C16887"/>
      <c r="D16887"/>
      <c r="E16887"/>
      <c r="F16887"/>
      <c r="G16887"/>
      <c r="H16887"/>
      <c r="I16887"/>
      <c r="J16887"/>
      <c r="K16887" s="1"/>
      <c r="L16887" s="2"/>
    </row>
    <row r="16888" spans="1:12" x14ac:dyDescent="0.2">
      <c r="A16888"/>
      <c r="B16888"/>
      <c r="C16888"/>
      <c r="D16888"/>
      <c r="E16888"/>
      <c r="F16888"/>
      <c r="G16888"/>
      <c r="H16888"/>
      <c r="I16888"/>
      <c r="J16888"/>
      <c r="K16888" s="1"/>
      <c r="L16888" s="2"/>
    </row>
    <row r="16889" spans="1:12" x14ac:dyDescent="0.2">
      <c r="A16889"/>
      <c r="B16889"/>
      <c r="C16889"/>
      <c r="D16889"/>
      <c r="E16889"/>
      <c r="F16889"/>
      <c r="G16889"/>
      <c r="H16889"/>
      <c r="I16889"/>
      <c r="J16889"/>
      <c r="K16889" s="1"/>
      <c r="L16889" s="2"/>
    </row>
    <row r="16890" spans="1:12" x14ac:dyDescent="0.2">
      <c r="A16890"/>
      <c r="B16890"/>
      <c r="C16890"/>
      <c r="D16890"/>
      <c r="E16890"/>
      <c r="F16890"/>
      <c r="G16890"/>
      <c r="H16890"/>
      <c r="I16890"/>
      <c r="J16890"/>
      <c r="K16890" s="1"/>
      <c r="L16890" s="2"/>
    </row>
    <row r="16891" spans="1:12" x14ac:dyDescent="0.2">
      <c r="A16891"/>
      <c r="B16891"/>
      <c r="C16891"/>
      <c r="D16891"/>
      <c r="E16891"/>
      <c r="F16891"/>
      <c r="G16891"/>
      <c r="H16891"/>
      <c r="I16891"/>
      <c r="J16891"/>
      <c r="K16891" s="1"/>
      <c r="L16891" s="2"/>
    </row>
    <row r="16892" spans="1:12" x14ac:dyDescent="0.2">
      <c r="A16892"/>
      <c r="B16892"/>
      <c r="C16892"/>
      <c r="D16892"/>
      <c r="E16892"/>
      <c r="F16892"/>
      <c r="G16892"/>
      <c r="H16892"/>
      <c r="I16892"/>
      <c r="J16892"/>
      <c r="K16892" s="1"/>
      <c r="L16892" s="2"/>
    </row>
    <row r="16893" spans="1:12" x14ac:dyDescent="0.2">
      <c r="A16893"/>
      <c r="B16893"/>
      <c r="C16893"/>
      <c r="D16893"/>
      <c r="E16893"/>
      <c r="F16893"/>
      <c r="G16893"/>
      <c r="H16893"/>
      <c r="I16893"/>
      <c r="J16893"/>
      <c r="K16893" s="1"/>
      <c r="L16893" s="2"/>
    </row>
    <row r="16894" spans="1:12" x14ac:dyDescent="0.2">
      <c r="A16894"/>
      <c r="B16894"/>
      <c r="C16894"/>
      <c r="D16894"/>
      <c r="E16894"/>
      <c r="F16894"/>
      <c r="G16894"/>
      <c r="H16894"/>
      <c r="I16894"/>
      <c r="J16894"/>
      <c r="K16894" s="1"/>
      <c r="L16894" s="2"/>
    </row>
    <row r="16895" spans="1:12" x14ac:dyDescent="0.2">
      <c r="A16895"/>
      <c r="B16895"/>
      <c r="C16895"/>
      <c r="D16895"/>
      <c r="E16895"/>
      <c r="F16895"/>
      <c r="G16895"/>
      <c r="H16895"/>
      <c r="I16895"/>
      <c r="J16895"/>
      <c r="K16895" s="1"/>
      <c r="L16895" s="2"/>
    </row>
    <row r="16896" spans="1:12" x14ac:dyDescent="0.2">
      <c r="A16896"/>
      <c r="B16896"/>
      <c r="C16896"/>
      <c r="D16896"/>
      <c r="E16896"/>
      <c r="F16896"/>
      <c r="G16896"/>
      <c r="H16896"/>
      <c r="I16896"/>
      <c r="J16896"/>
      <c r="K16896" s="1"/>
      <c r="L16896" s="2"/>
    </row>
    <row r="16897" spans="1:12" x14ac:dyDescent="0.2">
      <c r="A16897"/>
      <c r="B16897"/>
      <c r="C16897"/>
      <c r="D16897"/>
      <c r="E16897"/>
      <c r="F16897"/>
      <c r="G16897"/>
      <c r="H16897"/>
      <c r="I16897"/>
      <c r="J16897"/>
      <c r="K16897" s="1"/>
      <c r="L16897" s="2"/>
    </row>
    <row r="16898" spans="1:12" x14ac:dyDescent="0.2">
      <c r="A16898"/>
      <c r="B16898"/>
      <c r="C16898"/>
      <c r="D16898"/>
      <c r="E16898"/>
      <c r="F16898"/>
      <c r="G16898"/>
      <c r="H16898"/>
      <c r="I16898"/>
      <c r="J16898"/>
      <c r="K16898" s="1"/>
      <c r="L16898" s="2"/>
    </row>
    <row r="16899" spans="1:12" x14ac:dyDescent="0.2">
      <c r="A16899"/>
      <c r="B16899"/>
      <c r="C16899"/>
      <c r="D16899"/>
      <c r="E16899"/>
      <c r="F16899"/>
      <c r="G16899"/>
      <c r="H16899"/>
      <c r="I16899"/>
      <c r="J16899"/>
      <c r="K16899" s="1"/>
      <c r="L16899" s="2"/>
    </row>
    <row r="16900" spans="1:12" x14ac:dyDescent="0.2">
      <c r="A16900"/>
      <c r="B16900"/>
      <c r="C16900"/>
      <c r="D16900"/>
      <c r="E16900"/>
      <c r="F16900"/>
      <c r="G16900"/>
      <c r="H16900"/>
      <c r="I16900"/>
      <c r="J16900"/>
      <c r="K16900" s="1"/>
      <c r="L16900" s="2"/>
    </row>
    <row r="16901" spans="1:12" x14ac:dyDescent="0.2">
      <c r="A16901"/>
      <c r="B16901"/>
      <c r="C16901"/>
      <c r="D16901"/>
      <c r="E16901"/>
      <c r="F16901"/>
      <c r="G16901"/>
      <c r="H16901"/>
      <c r="I16901"/>
      <c r="J16901"/>
      <c r="K16901" s="1"/>
      <c r="L16901" s="2"/>
    </row>
    <row r="16902" spans="1:12" x14ac:dyDescent="0.2">
      <c r="A16902"/>
      <c r="B16902"/>
      <c r="C16902"/>
      <c r="D16902"/>
      <c r="E16902"/>
      <c r="F16902"/>
      <c r="G16902"/>
      <c r="H16902"/>
      <c r="I16902"/>
      <c r="J16902"/>
      <c r="K16902" s="1"/>
      <c r="L16902" s="2"/>
    </row>
    <row r="16903" spans="1:12" x14ac:dyDescent="0.2">
      <c r="A16903"/>
      <c r="B16903"/>
      <c r="C16903"/>
      <c r="D16903"/>
      <c r="E16903"/>
      <c r="F16903"/>
      <c r="G16903"/>
      <c r="H16903"/>
      <c r="I16903"/>
      <c r="J16903"/>
      <c r="K16903" s="1"/>
      <c r="L16903" s="2"/>
    </row>
    <row r="16904" spans="1:12" x14ac:dyDescent="0.2">
      <c r="A16904"/>
      <c r="B16904"/>
      <c r="C16904"/>
      <c r="D16904"/>
      <c r="E16904"/>
      <c r="F16904"/>
      <c r="G16904"/>
      <c r="H16904"/>
      <c r="I16904"/>
      <c r="J16904"/>
      <c r="K16904" s="1"/>
      <c r="L16904" s="2"/>
    </row>
    <row r="16905" spans="1:12" x14ac:dyDescent="0.2">
      <c r="A16905"/>
      <c r="B16905"/>
      <c r="C16905"/>
      <c r="D16905"/>
      <c r="E16905"/>
      <c r="F16905"/>
      <c r="G16905"/>
      <c r="H16905"/>
      <c r="I16905"/>
      <c r="J16905"/>
      <c r="K16905" s="1"/>
      <c r="L16905" s="2"/>
    </row>
    <row r="16906" spans="1:12" x14ac:dyDescent="0.2">
      <c r="A16906"/>
      <c r="B16906"/>
      <c r="C16906"/>
      <c r="D16906"/>
      <c r="E16906"/>
      <c r="F16906"/>
      <c r="G16906"/>
      <c r="H16906"/>
      <c r="I16906"/>
      <c r="J16906"/>
      <c r="K16906" s="1"/>
      <c r="L16906" s="2"/>
    </row>
    <row r="16907" spans="1:12" x14ac:dyDescent="0.2">
      <c r="A16907"/>
      <c r="B16907"/>
      <c r="C16907"/>
      <c r="D16907"/>
      <c r="E16907"/>
      <c r="F16907"/>
      <c r="G16907"/>
      <c r="H16907"/>
      <c r="I16907"/>
      <c r="J16907"/>
      <c r="K16907" s="1"/>
      <c r="L16907" s="2"/>
    </row>
    <row r="16908" spans="1:12" x14ac:dyDescent="0.2">
      <c r="A16908"/>
      <c r="B16908"/>
      <c r="C16908"/>
      <c r="D16908"/>
      <c r="E16908"/>
      <c r="F16908"/>
      <c r="G16908"/>
      <c r="H16908"/>
      <c r="I16908"/>
      <c r="J16908"/>
      <c r="K16908" s="1"/>
      <c r="L16908" s="2"/>
    </row>
    <row r="16909" spans="1:12" x14ac:dyDescent="0.2">
      <c r="A16909"/>
      <c r="B16909"/>
      <c r="C16909"/>
      <c r="D16909"/>
      <c r="E16909"/>
      <c r="F16909"/>
      <c r="G16909"/>
      <c r="H16909"/>
      <c r="I16909"/>
      <c r="J16909"/>
      <c r="K16909" s="1"/>
      <c r="L16909" s="2"/>
    </row>
    <row r="16910" spans="1:12" x14ac:dyDescent="0.2">
      <c r="A16910"/>
      <c r="B16910"/>
      <c r="C16910"/>
      <c r="D16910"/>
      <c r="E16910"/>
      <c r="F16910"/>
      <c r="G16910"/>
      <c r="H16910"/>
      <c r="I16910"/>
      <c r="J16910"/>
      <c r="K16910" s="1"/>
      <c r="L16910" s="2"/>
    </row>
    <row r="16911" spans="1:12" x14ac:dyDescent="0.2">
      <c r="A16911"/>
      <c r="B16911"/>
      <c r="C16911"/>
      <c r="D16911"/>
      <c r="E16911"/>
      <c r="F16911"/>
      <c r="G16911"/>
      <c r="H16911"/>
      <c r="I16911"/>
      <c r="J16911"/>
      <c r="K16911" s="1"/>
      <c r="L16911" s="2"/>
    </row>
    <row r="16912" spans="1:12" x14ac:dyDescent="0.2">
      <c r="A16912"/>
      <c r="B16912"/>
      <c r="C16912"/>
      <c r="D16912"/>
      <c r="E16912"/>
      <c r="F16912"/>
      <c r="G16912"/>
      <c r="H16912"/>
      <c r="I16912"/>
      <c r="J16912"/>
      <c r="K16912" s="1"/>
      <c r="L16912" s="2"/>
    </row>
    <row r="16913" spans="1:12" x14ac:dyDescent="0.2">
      <c r="A16913"/>
      <c r="B16913"/>
      <c r="C16913"/>
      <c r="D16913"/>
      <c r="E16913"/>
      <c r="F16913"/>
      <c r="G16913"/>
      <c r="H16913"/>
      <c r="I16913"/>
      <c r="J16913"/>
      <c r="K16913" s="1"/>
      <c r="L16913" s="2"/>
    </row>
    <row r="16914" spans="1:12" x14ac:dyDescent="0.2">
      <c r="A16914"/>
      <c r="B16914"/>
      <c r="C16914"/>
      <c r="D16914"/>
      <c r="E16914"/>
      <c r="F16914"/>
      <c r="G16914"/>
      <c r="H16914"/>
      <c r="I16914"/>
      <c r="J16914"/>
      <c r="K16914" s="1"/>
      <c r="L16914" s="2"/>
    </row>
    <row r="16915" spans="1:12" x14ac:dyDescent="0.2">
      <c r="A16915"/>
      <c r="B16915"/>
      <c r="C16915"/>
      <c r="D16915"/>
      <c r="E16915"/>
      <c r="F16915"/>
      <c r="G16915"/>
      <c r="H16915"/>
      <c r="I16915"/>
      <c r="J16915"/>
      <c r="K16915" s="1"/>
      <c r="L16915" s="2"/>
    </row>
    <row r="16916" spans="1:12" x14ac:dyDescent="0.2">
      <c r="A16916"/>
      <c r="B16916"/>
      <c r="C16916"/>
      <c r="D16916"/>
      <c r="E16916"/>
      <c r="F16916"/>
      <c r="G16916"/>
      <c r="H16916"/>
      <c r="I16916"/>
      <c r="J16916"/>
      <c r="K16916" s="1"/>
      <c r="L16916" s="2"/>
    </row>
    <row r="16917" spans="1:12" x14ac:dyDescent="0.2">
      <c r="A16917"/>
      <c r="B16917"/>
      <c r="C16917"/>
      <c r="D16917"/>
      <c r="E16917"/>
      <c r="F16917"/>
      <c r="G16917"/>
      <c r="H16917"/>
      <c r="I16917"/>
      <c r="J16917"/>
      <c r="K16917" s="1"/>
      <c r="L16917" s="2"/>
    </row>
    <row r="16918" spans="1:12" x14ac:dyDescent="0.2">
      <c r="A16918"/>
      <c r="B16918"/>
      <c r="C16918"/>
      <c r="D16918"/>
      <c r="E16918"/>
      <c r="F16918"/>
      <c r="G16918"/>
      <c r="H16918"/>
      <c r="I16918"/>
      <c r="J16918"/>
      <c r="K16918" s="1"/>
      <c r="L16918" s="2"/>
    </row>
    <row r="16919" spans="1:12" x14ac:dyDescent="0.2">
      <c r="A16919"/>
      <c r="B16919"/>
      <c r="C16919"/>
      <c r="D16919"/>
      <c r="E16919"/>
      <c r="F16919"/>
      <c r="G16919"/>
      <c r="H16919"/>
      <c r="I16919"/>
      <c r="J16919"/>
      <c r="K16919" s="1"/>
      <c r="L16919" s="2"/>
    </row>
    <row r="16920" spans="1:12" x14ac:dyDescent="0.2">
      <c r="A16920"/>
      <c r="B16920"/>
      <c r="C16920"/>
      <c r="D16920"/>
      <c r="E16920"/>
      <c r="F16920"/>
      <c r="G16920"/>
      <c r="H16920"/>
      <c r="I16920"/>
      <c r="J16920"/>
      <c r="K16920" s="1"/>
      <c r="L16920" s="2"/>
    </row>
    <row r="16921" spans="1:12" x14ac:dyDescent="0.2">
      <c r="A16921"/>
      <c r="B16921"/>
      <c r="C16921"/>
      <c r="D16921"/>
      <c r="E16921"/>
      <c r="F16921"/>
      <c r="G16921"/>
      <c r="H16921"/>
      <c r="I16921"/>
      <c r="J16921"/>
      <c r="K16921" s="1"/>
      <c r="L16921" s="2"/>
    </row>
    <row r="16922" spans="1:12" x14ac:dyDescent="0.2">
      <c r="A16922"/>
      <c r="B16922"/>
      <c r="C16922"/>
      <c r="D16922"/>
      <c r="E16922"/>
      <c r="F16922"/>
      <c r="G16922"/>
      <c r="H16922"/>
      <c r="I16922"/>
      <c r="J16922"/>
      <c r="K16922" s="1"/>
      <c r="L16922" s="2"/>
    </row>
    <row r="16923" spans="1:12" x14ac:dyDescent="0.2">
      <c r="A16923"/>
      <c r="B16923"/>
      <c r="C16923"/>
      <c r="D16923"/>
      <c r="E16923"/>
      <c r="F16923"/>
      <c r="G16923"/>
      <c r="H16923"/>
      <c r="I16923"/>
      <c r="J16923"/>
      <c r="K16923" s="1"/>
      <c r="L16923" s="2"/>
    </row>
    <row r="16924" spans="1:12" x14ac:dyDescent="0.2">
      <c r="A16924"/>
      <c r="B16924"/>
      <c r="C16924"/>
      <c r="D16924"/>
      <c r="E16924"/>
      <c r="F16924"/>
      <c r="G16924"/>
      <c r="H16924"/>
      <c r="I16924"/>
      <c r="J16924"/>
      <c r="K16924" s="1"/>
      <c r="L16924" s="2"/>
    </row>
    <row r="16925" spans="1:12" x14ac:dyDescent="0.2">
      <c r="A16925"/>
      <c r="B16925"/>
      <c r="C16925"/>
      <c r="D16925"/>
      <c r="E16925"/>
      <c r="F16925"/>
      <c r="G16925"/>
      <c r="H16925"/>
      <c r="I16925"/>
      <c r="J16925"/>
      <c r="K16925" s="1"/>
      <c r="L16925" s="2"/>
    </row>
    <row r="16926" spans="1:12" x14ac:dyDescent="0.2">
      <c r="A16926"/>
      <c r="B16926"/>
      <c r="C16926"/>
      <c r="D16926"/>
      <c r="E16926"/>
      <c r="F16926"/>
      <c r="G16926"/>
      <c r="H16926"/>
      <c r="I16926"/>
      <c r="J16926"/>
      <c r="K16926" s="1"/>
      <c r="L16926" s="2"/>
    </row>
    <row r="16927" spans="1:12" x14ac:dyDescent="0.2">
      <c r="A16927"/>
      <c r="B16927"/>
      <c r="C16927"/>
      <c r="D16927"/>
      <c r="E16927"/>
      <c r="F16927"/>
      <c r="G16927"/>
      <c r="H16927"/>
      <c r="I16927"/>
      <c r="J16927"/>
      <c r="K16927" s="1"/>
      <c r="L16927" s="2"/>
    </row>
    <row r="16928" spans="1:12" x14ac:dyDescent="0.2">
      <c r="A16928"/>
      <c r="B16928"/>
      <c r="C16928"/>
      <c r="D16928"/>
      <c r="E16928"/>
      <c r="F16928"/>
      <c r="G16928"/>
      <c r="H16928"/>
      <c r="I16928"/>
      <c r="J16928"/>
      <c r="K16928" s="1"/>
      <c r="L16928" s="2"/>
    </row>
    <row r="16929" spans="1:12" x14ac:dyDescent="0.2">
      <c r="A16929"/>
      <c r="B16929"/>
      <c r="C16929"/>
      <c r="D16929"/>
      <c r="E16929"/>
      <c r="F16929"/>
      <c r="G16929"/>
      <c r="H16929"/>
      <c r="I16929"/>
      <c r="J16929"/>
      <c r="K16929" s="1"/>
      <c r="L16929" s="2"/>
    </row>
    <row r="16930" spans="1:12" x14ac:dyDescent="0.2">
      <c r="A16930"/>
      <c r="B16930"/>
      <c r="C16930"/>
      <c r="D16930"/>
      <c r="E16930"/>
      <c r="F16930"/>
      <c r="G16930"/>
      <c r="H16930"/>
      <c r="I16930"/>
      <c r="J16930"/>
      <c r="K16930" s="1"/>
      <c r="L16930" s="2"/>
    </row>
    <row r="16931" spans="1:12" x14ac:dyDescent="0.2">
      <c r="A16931"/>
      <c r="B16931"/>
      <c r="C16931"/>
      <c r="D16931"/>
      <c r="E16931"/>
      <c r="F16931"/>
      <c r="G16931"/>
      <c r="H16931"/>
      <c r="I16931"/>
      <c r="J16931"/>
      <c r="K16931" s="1"/>
      <c r="L16931" s="2"/>
    </row>
    <row r="16932" spans="1:12" x14ac:dyDescent="0.2">
      <c r="A16932"/>
      <c r="B16932"/>
      <c r="C16932"/>
      <c r="D16932"/>
      <c r="E16932"/>
      <c r="F16932"/>
      <c r="G16932"/>
      <c r="H16932"/>
      <c r="I16932"/>
      <c r="J16932"/>
      <c r="K16932" s="1"/>
      <c r="L16932" s="2"/>
    </row>
    <row r="16933" spans="1:12" x14ac:dyDescent="0.2">
      <c r="A16933"/>
      <c r="B16933"/>
      <c r="C16933"/>
      <c r="D16933"/>
      <c r="E16933"/>
      <c r="F16933"/>
      <c r="G16933"/>
      <c r="H16933"/>
      <c r="I16933"/>
      <c r="J16933"/>
      <c r="K16933" s="1"/>
      <c r="L16933" s="2"/>
    </row>
    <row r="16934" spans="1:12" x14ac:dyDescent="0.2">
      <c r="A16934"/>
      <c r="B16934"/>
      <c r="C16934"/>
      <c r="D16934"/>
      <c r="E16934"/>
      <c r="F16934"/>
      <c r="G16934"/>
      <c r="H16934"/>
      <c r="I16934"/>
      <c r="J16934"/>
      <c r="K16934" s="1"/>
      <c r="L16934" s="2"/>
    </row>
    <row r="16935" spans="1:12" x14ac:dyDescent="0.2">
      <c r="A16935"/>
      <c r="B16935"/>
      <c r="C16935"/>
      <c r="D16935"/>
      <c r="E16935"/>
      <c r="F16935"/>
      <c r="G16935"/>
      <c r="H16935"/>
      <c r="I16935"/>
      <c r="J16935"/>
      <c r="K16935" s="1"/>
      <c r="L16935" s="2"/>
    </row>
    <row r="16936" spans="1:12" x14ac:dyDescent="0.2">
      <c r="A16936"/>
      <c r="B16936"/>
      <c r="C16936"/>
      <c r="D16936"/>
      <c r="E16936"/>
      <c r="F16936"/>
      <c r="G16936"/>
      <c r="H16936"/>
      <c r="I16936"/>
      <c r="J16936"/>
      <c r="K16936" s="1"/>
      <c r="L16936" s="2"/>
    </row>
    <row r="16937" spans="1:12" x14ac:dyDescent="0.2">
      <c r="A16937"/>
      <c r="B16937"/>
      <c r="C16937"/>
      <c r="D16937"/>
      <c r="E16937"/>
      <c r="F16937"/>
      <c r="G16937"/>
      <c r="H16937"/>
      <c r="I16937"/>
      <c r="J16937"/>
      <c r="K16937" s="1"/>
      <c r="L16937" s="2"/>
    </row>
    <row r="16938" spans="1:12" x14ac:dyDescent="0.2">
      <c r="A16938"/>
      <c r="B16938"/>
      <c r="C16938"/>
      <c r="D16938"/>
      <c r="E16938"/>
      <c r="F16938"/>
      <c r="G16938"/>
      <c r="H16938"/>
      <c r="I16938"/>
      <c r="J16938"/>
      <c r="K16938" s="1"/>
      <c r="L16938" s="2"/>
    </row>
    <row r="16939" spans="1:12" x14ac:dyDescent="0.2">
      <c r="A16939"/>
      <c r="B16939"/>
      <c r="C16939"/>
      <c r="D16939"/>
      <c r="E16939"/>
      <c r="F16939"/>
      <c r="G16939"/>
      <c r="H16939"/>
      <c r="I16939"/>
      <c r="J16939"/>
      <c r="K16939" s="1"/>
      <c r="L16939" s="2"/>
    </row>
    <row r="16940" spans="1:12" x14ac:dyDescent="0.2">
      <c r="A16940"/>
      <c r="B16940"/>
      <c r="C16940"/>
      <c r="D16940"/>
      <c r="E16940"/>
      <c r="F16940"/>
      <c r="G16940"/>
      <c r="H16940"/>
      <c r="I16940"/>
      <c r="J16940"/>
      <c r="K16940" s="1"/>
      <c r="L16940" s="2"/>
    </row>
    <row r="16941" spans="1:12" x14ac:dyDescent="0.2">
      <c r="A16941"/>
      <c r="B16941"/>
      <c r="C16941"/>
      <c r="D16941"/>
      <c r="E16941"/>
      <c r="F16941"/>
      <c r="G16941"/>
      <c r="H16941"/>
      <c r="I16941"/>
      <c r="J16941"/>
      <c r="K16941" s="1"/>
      <c r="L16941" s="2"/>
    </row>
    <row r="16942" spans="1:12" x14ac:dyDescent="0.2">
      <c r="A16942"/>
      <c r="B16942"/>
      <c r="C16942"/>
      <c r="D16942"/>
      <c r="E16942"/>
      <c r="F16942"/>
      <c r="G16942"/>
      <c r="H16942"/>
      <c r="I16942"/>
      <c r="J16942"/>
      <c r="K16942" s="1"/>
      <c r="L16942" s="2"/>
    </row>
    <row r="16943" spans="1:12" x14ac:dyDescent="0.2">
      <c r="A16943"/>
      <c r="B16943"/>
      <c r="C16943"/>
      <c r="D16943"/>
      <c r="E16943"/>
      <c r="F16943"/>
      <c r="G16943"/>
      <c r="H16943"/>
      <c r="I16943"/>
      <c r="J16943"/>
      <c r="K16943" s="1"/>
      <c r="L16943" s="2"/>
    </row>
    <row r="16944" spans="1:12" x14ac:dyDescent="0.2">
      <c r="A16944"/>
      <c r="B16944"/>
      <c r="C16944"/>
      <c r="D16944"/>
      <c r="E16944"/>
      <c r="F16944"/>
      <c r="G16944"/>
      <c r="H16944"/>
      <c r="I16944"/>
      <c r="J16944"/>
      <c r="K16944" s="1"/>
      <c r="L16944" s="2"/>
    </row>
    <row r="16945" spans="1:12" x14ac:dyDescent="0.2">
      <c r="A16945"/>
      <c r="B16945"/>
      <c r="C16945"/>
      <c r="D16945"/>
      <c r="E16945"/>
      <c r="F16945"/>
      <c r="G16945"/>
      <c r="H16945"/>
      <c r="I16945"/>
      <c r="J16945"/>
      <c r="K16945" s="1"/>
      <c r="L16945" s="2"/>
    </row>
    <row r="16946" spans="1:12" x14ac:dyDescent="0.2">
      <c r="A16946"/>
      <c r="B16946"/>
      <c r="C16946"/>
      <c r="D16946"/>
      <c r="E16946"/>
      <c r="F16946"/>
      <c r="G16946"/>
      <c r="H16946"/>
      <c r="I16946"/>
      <c r="J16946"/>
      <c r="K16946" s="1"/>
      <c r="L16946" s="2"/>
    </row>
    <row r="16947" spans="1:12" x14ac:dyDescent="0.2">
      <c r="A16947"/>
      <c r="B16947"/>
      <c r="C16947"/>
      <c r="D16947"/>
      <c r="E16947"/>
      <c r="F16947"/>
      <c r="G16947"/>
      <c r="H16947"/>
      <c r="I16947"/>
      <c r="J16947"/>
      <c r="K16947" s="1"/>
      <c r="L16947" s="2"/>
    </row>
    <row r="16948" spans="1:12" x14ac:dyDescent="0.2">
      <c r="A16948"/>
      <c r="B16948"/>
      <c r="C16948"/>
      <c r="D16948"/>
      <c r="E16948"/>
      <c r="F16948"/>
      <c r="G16948"/>
      <c r="H16948"/>
      <c r="I16948"/>
      <c r="J16948"/>
      <c r="K16948" s="1"/>
      <c r="L16948" s="2"/>
    </row>
    <row r="16949" spans="1:12" x14ac:dyDescent="0.2">
      <c r="A16949"/>
      <c r="B16949"/>
      <c r="C16949"/>
      <c r="D16949"/>
      <c r="E16949"/>
      <c r="F16949"/>
      <c r="G16949"/>
      <c r="H16949"/>
      <c r="I16949"/>
      <c r="J16949"/>
      <c r="K16949" s="1"/>
      <c r="L16949" s="2"/>
    </row>
    <row r="16950" spans="1:12" x14ac:dyDescent="0.2">
      <c r="A16950"/>
      <c r="B16950"/>
      <c r="C16950"/>
      <c r="D16950"/>
      <c r="E16950"/>
      <c r="F16950"/>
      <c r="G16950"/>
      <c r="H16950"/>
      <c r="I16950"/>
      <c r="J16950"/>
      <c r="K16950" s="1"/>
      <c r="L16950" s="2"/>
    </row>
    <row r="16951" spans="1:12" x14ac:dyDescent="0.2">
      <c r="A16951"/>
      <c r="B16951"/>
      <c r="C16951"/>
      <c r="D16951"/>
      <c r="E16951"/>
      <c r="F16951"/>
      <c r="G16951"/>
      <c r="H16951"/>
      <c r="I16951"/>
      <c r="J16951"/>
      <c r="K16951" s="1"/>
      <c r="L16951" s="2"/>
    </row>
    <row r="16952" spans="1:12" x14ac:dyDescent="0.2">
      <c r="A16952"/>
      <c r="B16952"/>
      <c r="C16952"/>
      <c r="D16952"/>
      <c r="E16952"/>
      <c r="F16952"/>
      <c r="G16952"/>
      <c r="H16952"/>
      <c r="I16952"/>
      <c r="J16952"/>
      <c r="K16952" s="1"/>
      <c r="L16952" s="2"/>
    </row>
    <row r="16953" spans="1:12" x14ac:dyDescent="0.2">
      <c r="A16953"/>
      <c r="B16953"/>
      <c r="C16953"/>
      <c r="D16953"/>
      <c r="E16953"/>
      <c r="F16953"/>
      <c r="G16953"/>
      <c r="H16953"/>
      <c r="I16953"/>
      <c r="J16953"/>
      <c r="K16953" s="1"/>
      <c r="L16953" s="2"/>
    </row>
    <row r="16954" spans="1:12" x14ac:dyDescent="0.2">
      <c r="A16954"/>
      <c r="B16954"/>
      <c r="C16954"/>
      <c r="D16954"/>
      <c r="E16954"/>
      <c r="F16954"/>
      <c r="G16954"/>
      <c r="H16954"/>
      <c r="I16954"/>
      <c r="J16954"/>
      <c r="K16954" s="1"/>
      <c r="L16954" s="2"/>
    </row>
    <row r="16955" spans="1:12" x14ac:dyDescent="0.2">
      <c r="A16955"/>
      <c r="B16955"/>
      <c r="C16955"/>
      <c r="D16955"/>
      <c r="E16955"/>
      <c r="F16955"/>
      <c r="G16955"/>
      <c r="H16955"/>
      <c r="I16955"/>
      <c r="J16955"/>
      <c r="K16955" s="1"/>
      <c r="L16955" s="2"/>
    </row>
    <row r="16956" spans="1:12" x14ac:dyDescent="0.2">
      <c r="A16956"/>
      <c r="B16956"/>
      <c r="C16956"/>
      <c r="D16956"/>
      <c r="E16956"/>
      <c r="F16956"/>
      <c r="G16956"/>
      <c r="H16956"/>
      <c r="I16956"/>
      <c r="J16956"/>
      <c r="K16956" s="1"/>
      <c r="L16956" s="2"/>
    </row>
    <row r="16957" spans="1:12" x14ac:dyDescent="0.2">
      <c r="A16957"/>
      <c r="B16957"/>
      <c r="C16957"/>
      <c r="D16957"/>
      <c r="E16957"/>
      <c r="F16957"/>
      <c r="G16957"/>
      <c r="H16957"/>
      <c r="I16957"/>
      <c r="J16957"/>
      <c r="K16957" s="1"/>
      <c r="L16957" s="2"/>
    </row>
    <row r="16958" spans="1:12" x14ac:dyDescent="0.2">
      <c r="A16958"/>
      <c r="B16958"/>
      <c r="C16958"/>
      <c r="D16958"/>
      <c r="E16958"/>
      <c r="F16958"/>
      <c r="G16958"/>
      <c r="H16958"/>
      <c r="I16958"/>
      <c r="J16958"/>
      <c r="K16958" s="1"/>
      <c r="L16958" s="2"/>
    </row>
    <row r="16959" spans="1:12" x14ac:dyDescent="0.2">
      <c r="A16959"/>
      <c r="B16959"/>
      <c r="C16959"/>
      <c r="D16959"/>
      <c r="E16959"/>
      <c r="F16959"/>
      <c r="G16959"/>
      <c r="H16959"/>
      <c r="I16959"/>
      <c r="J16959"/>
      <c r="K16959" s="1"/>
      <c r="L16959" s="2"/>
    </row>
    <row r="16960" spans="1:12" x14ac:dyDescent="0.2">
      <c r="A16960"/>
      <c r="B16960"/>
      <c r="C16960"/>
      <c r="D16960"/>
      <c r="E16960"/>
      <c r="F16960"/>
      <c r="G16960"/>
      <c r="H16960"/>
      <c r="I16960"/>
      <c r="J16960"/>
      <c r="K16960" s="1"/>
      <c r="L16960" s="2"/>
    </row>
    <row r="16961" spans="1:12" x14ac:dyDescent="0.2">
      <c r="A16961"/>
      <c r="B16961"/>
      <c r="C16961"/>
      <c r="D16961"/>
      <c r="E16961"/>
      <c r="F16961"/>
      <c r="G16961"/>
      <c r="H16961"/>
      <c r="I16961"/>
      <c r="J16961"/>
      <c r="K16961" s="1"/>
      <c r="L16961" s="2"/>
    </row>
    <row r="16962" spans="1:12" x14ac:dyDescent="0.2">
      <c r="A16962"/>
      <c r="B16962"/>
      <c r="C16962"/>
      <c r="D16962"/>
      <c r="E16962"/>
      <c r="F16962"/>
      <c r="G16962"/>
      <c r="H16962"/>
      <c r="I16962"/>
      <c r="J16962"/>
      <c r="K16962" s="1"/>
      <c r="L16962" s="2"/>
    </row>
    <row r="16963" spans="1:12" x14ac:dyDescent="0.2">
      <c r="A16963"/>
      <c r="B16963"/>
      <c r="C16963"/>
      <c r="D16963"/>
      <c r="E16963"/>
      <c r="F16963"/>
      <c r="G16963"/>
      <c r="H16963"/>
      <c r="I16963"/>
      <c r="J16963"/>
      <c r="K16963" s="1"/>
      <c r="L16963" s="2"/>
    </row>
    <row r="16964" spans="1:12" x14ac:dyDescent="0.2">
      <c r="A16964"/>
      <c r="B16964"/>
      <c r="C16964"/>
      <c r="D16964"/>
      <c r="E16964"/>
      <c r="F16964"/>
      <c r="G16964"/>
      <c r="H16964"/>
      <c r="I16964"/>
      <c r="J16964"/>
      <c r="K16964" s="1"/>
      <c r="L16964" s="2"/>
    </row>
    <row r="16965" spans="1:12" x14ac:dyDescent="0.2">
      <c r="A16965"/>
      <c r="B16965"/>
      <c r="C16965"/>
      <c r="D16965"/>
      <c r="E16965"/>
      <c r="F16965"/>
      <c r="G16965"/>
      <c r="H16965"/>
      <c r="I16965"/>
      <c r="J16965"/>
      <c r="K16965" s="1"/>
      <c r="L16965" s="2"/>
    </row>
    <row r="16966" spans="1:12" x14ac:dyDescent="0.2">
      <c r="A16966"/>
      <c r="B16966"/>
      <c r="C16966"/>
      <c r="D16966"/>
      <c r="E16966"/>
      <c r="F16966"/>
      <c r="G16966"/>
      <c r="H16966"/>
      <c r="I16966"/>
      <c r="J16966"/>
      <c r="K16966" s="1"/>
      <c r="L16966" s="2"/>
    </row>
    <row r="16967" spans="1:12" x14ac:dyDescent="0.2">
      <c r="A16967"/>
      <c r="B16967"/>
      <c r="C16967"/>
      <c r="D16967"/>
      <c r="E16967"/>
      <c r="F16967"/>
      <c r="G16967"/>
      <c r="H16967"/>
      <c r="I16967"/>
      <c r="J16967"/>
      <c r="K16967" s="1"/>
      <c r="L16967" s="2"/>
    </row>
    <row r="16968" spans="1:12" x14ac:dyDescent="0.2">
      <c r="A16968"/>
      <c r="B16968"/>
      <c r="C16968"/>
      <c r="D16968"/>
      <c r="E16968"/>
      <c r="F16968"/>
      <c r="G16968"/>
      <c r="H16968"/>
      <c r="I16968"/>
      <c r="J16968"/>
      <c r="K16968" s="1"/>
      <c r="L16968" s="2"/>
    </row>
    <row r="16969" spans="1:12" x14ac:dyDescent="0.2">
      <c r="A16969"/>
      <c r="B16969"/>
      <c r="C16969"/>
      <c r="D16969"/>
      <c r="E16969"/>
      <c r="F16969"/>
      <c r="G16969"/>
      <c r="H16969"/>
      <c r="I16969"/>
      <c r="J16969"/>
      <c r="K16969" s="1"/>
      <c r="L16969" s="2"/>
    </row>
    <row r="16970" spans="1:12" x14ac:dyDescent="0.2">
      <c r="A16970"/>
      <c r="B16970"/>
      <c r="C16970"/>
      <c r="D16970"/>
      <c r="E16970"/>
      <c r="F16970"/>
      <c r="G16970"/>
      <c r="H16970"/>
      <c r="I16970"/>
      <c r="J16970"/>
      <c r="K16970" s="1"/>
      <c r="L16970" s="2"/>
    </row>
    <row r="16971" spans="1:12" x14ac:dyDescent="0.2">
      <c r="A16971"/>
      <c r="B16971"/>
      <c r="C16971"/>
      <c r="D16971"/>
      <c r="E16971"/>
      <c r="F16971"/>
      <c r="G16971"/>
      <c r="H16971"/>
      <c r="I16971"/>
      <c r="J16971"/>
      <c r="K16971" s="1"/>
      <c r="L16971" s="2"/>
    </row>
    <row r="16972" spans="1:12" x14ac:dyDescent="0.2">
      <c r="A16972"/>
      <c r="B16972"/>
      <c r="C16972"/>
      <c r="D16972"/>
      <c r="E16972"/>
      <c r="F16972"/>
      <c r="G16972"/>
      <c r="H16972"/>
      <c r="I16972"/>
      <c r="J16972"/>
      <c r="K16972" s="1"/>
      <c r="L16972" s="2"/>
    </row>
    <row r="16973" spans="1:12" x14ac:dyDescent="0.2">
      <c r="A16973"/>
      <c r="B16973"/>
      <c r="C16973"/>
      <c r="D16973"/>
      <c r="E16973"/>
      <c r="F16973"/>
      <c r="G16973"/>
      <c r="H16973"/>
      <c r="I16973"/>
      <c r="J16973"/>
      <c r="K16973" s="1"/>
      <c r="L16973" s="2"/>
    </row>
    <row r="16974" spans="1:12" x14ac:dyDescent="0.2">
      <c r="A16974"/>
      <c r="B16974"/>
      <c r="C16974"/>
      <c r="D16974"/>
      <c r="E16974"/>
      <c r="F16974"/>
      <c r="G16974"/>
      <c r="H16974"/>
      <c r="I16974"/>
      <c r="J16974"/>
      <c r="K16974" s="1"/>
      <c r="L16974" s="2"/>
    </row>
    <row r="16975" spans="1:12" x14ac:dyDescent="0.2">
      <c r="A16975"/>
      <c r="B16975"/>
      <c r="C16975"/>
      <c r="D16975"/>
      <c r="E16975"/>
      <c r="F16975"/>
      <c r="G16975"/>
      <c r="H16975"/>
      <c r="I16975"/>
      <c r="J16975"/>
      <c r="K16975" s="1"/>
      <c r="L16975" s="2"/>
    </row>
    <row r="16976" spans="1:12" x14ac:dyDescent="0.2">
      <c r="A16976"/>
      <c r="B16976"/>
      <c r="C16976"/>
      <c r="D16976"/>
      <c r="E16976"/>
      <c r="F16976"/>
      <c r="G16976"/>
      <c r="H16976"/>
      <c r="I16976"/>
      <c r="J16976"/>
      <c r="K16976" s="1"/>
      <c r="L16976" s="2"/>
    </row>
    <row r="16977" spans="1:12" x14ac:dyDescent="0.2">
      <c r="A16977"/>
      <c r="B16977"/>
      <c r="C16977"/>
      <c r="D16977"/>
      <c r="E16977"/>
      <c r="F16977"/>
      <c r="G16977"/>
      <c r="H16977"/>
      <c r="I16977"/>
      <c r="J16977"/>
      <c r="K16977" s="1"/>
      <c r="L16977" s="2"/>
    </row>
    <row r="16978" spans="1:12" x14ac:dyDescent="0.2">
      <c r="A16978"/>
      <c r="B16978"/>
      <c r="C16978"/>
      <c r="D16978"/>
      <c r="E16978"/>
      <c r="F16978"/>
      <c r="G16978"/>
      <c r="H16978"/>
      <c r="I16978"/>
      <c r="J16978"/>
      <c r="K16978" s="1"/>
      <c r="L16978" s="2"/>
    </row>
    <row r="16979" spans="1:12" x14ac:dyDescent="0.2">
      <c r="A16979"/>
      <c r="B16979"/>
      <c r="C16979"/>
      <c r="D16979"/>
      <c r="E16979"/>
      <c r="F16979"/>
      <c r="G16979"/>
      <c r="H16979"/>
      <c r="I16979"/>
      <c r="J16979"/>
      <c r="K16979" s="1"/>
      <c r="L16979" s="2"/>
    </row>
    <row r="16980" spans="1:12" x14ac:dyDescent="0.2">
      <c r="A16980"/>
      <c r="B16980"/>
      <c r="C16980"/>
      <c r="D16980"/>
      <c r="E16980"/>
      <c r="F16980"/>
      <c r="G16980"/>
      <c r="H16980"/>
      <c r="I16980"/>
      <c r="J16980"/>
      <c r="K16980" s="1"/>
      <c r="L16980" s="2"/>
    </row>
    <row r="16981" spans="1:12" x14ac:dyDescent="0.2">
      <c r="A16981"/>
      <c r="B16981"/>
      <c r="C16981"/>
      <c r="D16981"/>
      <c r="E16981"/>
      <c r="F16981"/>
      <c r="G16981"/>
      <c r="H16981"/>
      <c r="I16981"/>
      <c r="J16981"/>
      <c r="K16981" s="1"/>
      <c r="L16981" s="2"/>
    </row>
    <row r="16982" spans="1:12" x14ac:dyDescent="0.2">
      <c r="A16982"/>
      <c r="B16982"/>
      <c r="C16982"/>
      <c r="D16982"/>
      <c r="E16982"/>
      <c r="F16982"/>
      <c r="G16982"/>
      <c r="H16982"/>
      <c r="I16982"/>
      <c r="J16982"/>
      <c r="K16982" s="1"/>
      <c r="L16982" s="2"/>
    </row>
    <row r="16983" spans="1:12" x14ac:dyDescent="0.2">
      <c r="A16983"/>
      <c r="B16983"/>
      <c r="C16983"/>
      <c r="D16983"/>
      <c r="E16983"/>
      <c r="F16983"/>
      <c r="G16983"/>
      <c r="H16983"/>
      <c r="I16983"/>
      <c r="J16983"/>
      <c r="K16983" s="1"/>
      <c r="L16983" s="2"/>
    </row>
    <row r="16984" spans="1:12" x14ac:dyDescent="0.2">
      <c r="A16984"/>
      <c r="B16984"/>
      <c r="C16984"/>
      <c r="D16984"/>
      <c r="E16984"/>
      <c r="F16984"/>
      <c r="G16984"/>
      <c r="H16984"/>
      <c r="I16984"/>
      <c r="J16984"/>
      <c r="K16984" s="1"/>
      <c r="L16984" s="2"/>
    </row>
    <row r="16985" spans="1:12" x14ac:dyDescent="0.2">
      <c r="A16985"/>
      <c r="B16985"/>
      <c r="C16985"/>
      <c r="D16985"/>
      <c r="E16985"/>
      <c r="F16985"/>
      <c r="G16985"/>
      <c r="H16985"/>
      <c r="I16985"/>
      <c r="J16985"/>
      <c r="K16985" s="1"/>
      <c r="L16985" s="2"/>
    </row>
    <row r="16986" spans="1:12" x14ac:dyDescent="0.2">
      <c r="A16986"/>
      <c r="B16986"/>
      <c r="C16986"/>
      <c r="D16986"/>
      <c r="E16986"/>
      <c r="F16986"/>
      <c r="G16986"/>
      <c r="H16986"/>
      <c r="I16986"/>
      <c r="J16986"/>
      <c r="K16986" s="1"/>
      <c r="L16986" s="2"/>
    </row>
    <row r="16987" spans="1:12" x14ac:dyDescent="0.2">
      <c r="A16987"/>
      <c r="B16987"/>
      <c r="C16987"/>
      <c r="D16987"/>
      <c r="E16987"/>
      <c r="F16987"/>
      <c r="G16987"/>
      <c r="H16987"/>
      <c r="I16987"/>
      <c r="J16987"/>
      <c r="K16987" s="1"/>
      <c r="L16987" s="2"/>
    </row>
    <row r="16988" spans="1:12" x14ac:dyDescent="0.2">
      <c r="A16988"/>
      <c r="B16988"/>
      <c r="C16988"/>
      <c r="D16988"/>
      <c r="E16988"/>
      <c r="F16988"/>
      <c r="G16988"/>
      <c r="H16988"/>
      <c r="I16988"/>
      <c r="J16988"/>
      <c r="K16988" s="1"/>
      <c r="L16988" s="2"/>
    </row>
    <row r="16989" spans="1:12" x14ac:dyDescent="0.2">
      <c r="A16989"/>
      <c r="B16989"/>
      <c r="C16989"/>
      <c r="D16989"/>
      <c r="E16989"/>
      <c r="F16989"/>
      <c r="G16989"/>
      <c r="H16989"/>
      <c r="I16989"/>
      <c r="J16989"/>
      <c r="K16989" s="1"/>
      <c r="L16989" s="2"/>
    </row>
    <row r="16990" spans="1:12" x14ac:dyDescent="0.2">
      <c r="A16990"/>
      <c r="B16990"/>
      <c r="C16990"/>
      <c r="D16990"/>
      <c r="E16990"/>
      <c r="F16990"/>
      <c r="G16990"/>
      <c r="H16990"/>
      <c r="I16990"/>
      <c r="J16990"/>
      <c r="K16990" s="1"/>
      <c r="L16990" s="2"/>
    </row>
    <row r="16991" spans="1:12" x14ac:dyDescent="0.2">
      <c r="A16991"/>
      <c r="B16991"/>
      <c r="C16991"/>
      <c r="D16991"/>
      <c r="E16991"/>
      <c r="F16991"/>
      <c r="G16991"/>
      <c r="H16991"/>
      <c r="I16991"/>
      <c r="J16991"/>
      <c r="K16991" s="1"/>
      <c r="L16991" s="2"/>
    </row>
    <row r="16992" spans="1:12" x14ac:dyDescent="0.2">
      <c r="A16992"/>
      <c r="B16992"/>
      <c r="C16992"/>
      <c r="D16992"/>
      <c r="E16992"/>
      <c r="F16992"/>
      <c r="G16992"/>
      <c r="H16992"/>
      <c r="I16992"/>
      <c r="J16992"/>
      <c r="K16992" s="1"/>
      <c r="L16992" s="2"/>
    </row>
    <row r="16993" spans="1:12" x14ac:dyDescent="0.2">
      <c r="A16993"/>
      <c r="B16993"/>
      <c r="C16993"/>
      <c r="D16993"/>
      <c r="E16993"/>
      <c r="F16993"/>
      <c r="G16993"/>
      <c r="H16993"/>
      <c r="I16993"/>
      <c r="J16993"/>
      <c r="K16993" s="1"/>
      <c r="L16993" s="2"/>
    </row>
    <row r="16994" spans="1:12" x14ac:dyDescent="0.2">
      <c r="A16994"/>
      <c r="B16994"/>
      <c r="C16994"/>
      <c r="D16994"/>
      <c r="E16994"/>
      <c r="F16994"/>
      <c r="G16994"/>
      <c r="H16994"/>
      <c r="I16994"/>
      <c r="J16994"/>
      <c r="K16994" s="1"/>
      <c r="L16994" s="2"/>
    </row>
    <row r="16995" spans="1:12" x14ac:dyDescent="0.2">
      <c r="A16995"/>
      <c r="B16995"/>
      <c r="C16995"/>
      <c r="D16995"/>
      <c r="E16995"/>
      <c r="F16995"/>
      <c r="G16995"/>
      <c r="H16995"/>
      <c r="I16995"/>
      <c r="J16995"/>
      <c r="K16995" s="1"/>
      <c r="L16995" s="2"/>
    </row>
    <row r="16996" spans="1:12" x14ac:dyDescent="0.2">
      <c r="A16996"/>
      <c r="B16996"/>
      <c r="C16996"/>
      <c r="D16996"/>
      <c r="E16996"/>
      <c r="F16996"/>
      <c r="G16996"/>
      <c r="H16996"/>
      <c r="I16996"/>
      <c r="J16996"/>
      <c r="K16996" s="1"/>
      <c r="L16996" s="2"/>
    </row>
    <row r="16997" spans="1:12" x14ac:dyDescent="0.2">
      <c r="A16997"/>
      <c r="B16997"/>
      <c r="C16997"/>
      <c r="D16997"/>
      <c r="E16997"/>
      <c r="F16997"/>
      <c r="G16997"/>
      <c r="H16997"/>
      <c r="I16997"/>
      <c r="J16997"/>
      <c r="K16997" s="1"/>
      <c r="L16997" s="2"/>
    </row>
    <row r="16998" spans="1:12" x14ac:dyDescent="0.2">
      <c r="A16998"/>
      <c r="B16998"/>
      <c r="C16998"/>
      <c r="D16998"/>
      <c r="E16998"/>
      <c r="F16998"/>
      <c r="G16998"/>
      <c r="H16998"/>
      <c r="I16998"/>
      <c r="J16998"/>
      <c r="K16998" s="1"/>
      <c r="L16998" s="2"/>
    </row>
    <row r="16999" spans="1:12" x14ac:dyDescent="0.2">
      <c r="A16999"/>
      <c r="B16999"/>
      <c r="C16999"/>
      <c r="D16999"/>
      <c r="E16999"/>
      <c r="F16999"/>
      <c r="G16999"/>
      <c r="H16999"/>
      <c r="I16999"/>
      <c r="J16999"/>
      <c r="K16999" s="1"/>
      <c r="L16999" s="2"/>
    </row>
    <row r="17000" spans="1:12" x14ac:dyDescent="0.2">
      <c r="A17000"/>
      <c r="B17000"/>
      <c r="C17000"/>
      <c r="D17000"/>
      <c r="E17000"/>
      <c r="F17000"/>
      <c r="G17000"/>
      <c r="H17000"/>
      <c r="I17000"/>
      <c r="J17000"/>
      <c r="K17000" s="1"/>
      <c r="L17000" s="2"/>
    </row>
    <row r="17001" spans="1:12" x14ac:dyDescent="0.2">
      <c r="A17001"/>
      <c r="B17001"/>
      <c r="C17001"/>
      <c r="D17001"/>
      <c r="E17001"/>
      <c r="F17001"/>
      <c r="G17001"/>
      <c r="H17001"/>
      <c r="I17001"/>
      <c r="J17001"/>
      <c r="K17001" s="1"/>
      <c r="L17001" s="2"/>
    </row>
    <row r="17002" spans="1:12" x14ac:dyDescent="0.2">
      <c r="A17002"/>
      <c r="B17002"/>
      <c r="C17002"/>
      <c r="D17002"/>
      <c r="E17002"/>
      <c r="F17002"/>
      <c r="G17002"/>
      <c r="H17002"/>
      <c r="I17002"/>
      <c r="J17002"/>
      <c r="K17002" s="1"/>
      <c r="L17002" s="2"/>
    </row>
    <row r="17003" spans="1:12" x14ac:dyDescent="0.2">
      <c r="A17003"/>
      <c r="B17003"/>
      <c r="C17003"/>
      <c r="D17003"/>
      <c r="E17003"/>
      <c r="F17003"/>
      <c r="G17003"/>
      <c r="H17003"/>
      <c r="I17003"/>
      <c r="J17003"/>
      <c r="K17003" s="1"/>
      <c r="L17003" s="2"/>
    </row>
    <row r="17004" spans="1:12" x14ac:dyDescent="0.2">
      <c r="A17004"/>
      <c r="B17004"/>
      <c r="C17004"/>
      <c r="D17004"/>
      <c r="E17004"/>
      <c r="F17004"/>
      <c r="G17004"/>
      <c r="H17004"/>
      <c r="I17004"/>
      <c r="J17004"/>
      <c r="K17004" s="1"/>
      <c r="L17004" s="2"/>
    </row>
    <row r="17005" spans="1:12" x14ac:dyDescent="0.2">
      <c r="A17005"/>
      <c r="B17005"/>
      <c r="C17005"/>
      <c r="D17005"/>
      <c r="E17005"/>
      <c r="F17005"/>
      <c r="G17005"/>
      <c r="H17005"/>
      <c r="I17005"/>
      <c r="J17005"/>
      <c r="K17005" s="1"/>
      <c r="L17005" s="2"/>
    </row>
    <row r="17006" spans="1:12" x14ac:dyDescent="0.2">
      <c r="A17006"/>
      <c r="B17006"/>
      <c r="C17006"/>
      <c r="D17006"/>
      <c r="E17006"/>
      <c r="F17006"/>
      <c r="G17006"/>
      <c r="H17006"/>
      <c r="I17006"/>
      <c r="J17006"/>
      <c r="K17006" s="1"/>
      <c r="L17006" s="2"/>
    </row>
  </sheetData>
  <mergeCells count="5">
    <mergeCell ref="A5:L5"/>
    <mergeCell ref="A1:L1"/>
    <mergeCell ref="A2:L2"/>
    <mergeCell ref="A3:L3"/>
    <mergeCell ref="A4:L4"/>
  </mergeCells>
  <phoneticPr fontId="0" type="noConversion"/>
  <pageMargins left="0.38" right="0.74803149606299213" top="0.98425196850393704" bottom="0.98425196850393704" header="0.51181102362204722" footer="0.51181102362204722"/>
  <pageSetup paperSize="9" orientation="landscape" r:id="rId1"/>
  <headerFooter alignWithMargins="0">
    <oddFooter xml:space="preserve">&amp;L&amp;D &amp;T &amp;CE:Data/Web/home/vantgefunds/www/PricesandReturns/Data/&amp;F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45"/>
  <sheetViews>
    <sheetView topLeftCell="K26" zoomScale="110" zoomScaleNormal="110" workbookViewId="0">
      <selection activeCell="M73" sqref="M73"/>
    </sheetView>
  </sheetViews>
  <sheetFormatPr defaultRowHeight="12.75" x14ac:dyDescent="0.2"/>
  <cols>
    <col min="1" max="1" width="14.5703125" style="34" customWidth="1"/>
    <col min="2" max="2" width="21" style="34" hidden="1" customWidth="1"/>
    <col min="3" max="5" width="14.42578125" style="34" customWidth="1"/>
    <col min="6" max="6" width="18.5703125" style="35" customWidth="1"/>
    <col min="7" max="7" width="14.42578125" customWidth="1"/>
    <col min="8" max="8" width="10.140625" bestFit="1" customWidth="1"/>
    <col min="9" max="9" width="14.85546875" customWidth="1"/>
    <col min="10" max="10" width="11" customWidth="1"/>
    <col min="11" max="11" width="12.5703125" customWidth="1"/>
    <col min="12" max="12" width="12.42578125" customWidth="1"/>
    <col min="19" max="19" width="9.42578125" bestFit="1" customWidth="1"/>
    <col min="22" max="22" width="11" bestFit="1" customWidth="1"/>
  </cols>
  <sheetData>
    <row r="1" spans="1:22" s="33" customFormat="1" ht="45" customHeight="1" x14ac:dyDescent="0.35">
      <c r="A1" s="218" t="s">
        <v>31</v>
      </c>
      <c r="B1" s="219"/>
      <c r="C1" s="219"/>
      <c r="D1" s="219"/>
      <c r="E1" s="219"/>
      <c r="F1" s="219"/>
      <c r="G1" s="220"/>
      <c r="I1" s="215" t="s">
        <v>16</v>
      </c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</row>
    <row r="2" spans="1:22" ht="21.75" thickBot="1" x14ac:dyDescent="0.4">
      <c r="A2" s="115"/>
      <c r="B2" s="115"/>
      <c r="C2" s="115"/>
      <c r="D2" s="115"/>
      <c r="E2" s="115"/>
      <c r="F2" s="115"/>
      <c r="G2" s="115"/>
      <c r="I2" s="212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</row>
    <row r="3" spans="1:22" s="33" customFormat="1" ht="34.5" customHeight="1" thickBot="1" x14ac:dyDescent="0.4">
      <c r="A3" s="69" t="s">
        <v>10</v>
      </c>
      <c r="B3" s="116" t="s">
        <v>2</v>
      </c>
      <c r="C3" s="116" t="s">
        <v>11</v>
      </c>
      <c r="D3" s="116" t="s">
        <v>12</v>
      </c>
      <c r="E3" s="116" t="s">
        <v>13</v>
      </c>
      <c r="F3" s="116" t="s">
        <v>14</v>
      </c>
      <c r="G3" s="117" t="s">
        <v>15</v>
      </c>
      <c r="I3" s="221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3"/>
    </row>
    <row r="4" spans="1:22" s="33" customFormat="1" ht="18" customHeight="1" x14ac:dyDescent="0.2">
      <c r="A4" s="118">
        <f t="shared" ref="A4:A71" si="0">EOMONTH(A5,1)</f>
        <v>45412</v>
      </c>
      <c r="B4" s="139"/>
      <c r="C4" s="140">
        <f>'Vantage Global Investment Fund'!B7</f>
        <v>477.11726900000002</v>
      </c>
      <c r="D4" s="140">
        <f>'Vantage Global Investment Fund'!H7</f>
        <v>151.392</v>
      </c>
      <c r="E4" s="141">
        <f>'Vantage Global Investment Fund'!I7</f>
        <v>168.29145368203899</v>
      </c>
      <c r="F4" s="197">
        <f t="shared" ref="F4" si="1">C4/C5-1</f>
        <v>1.3896865077635212E-2</v>
      </c>
      <c r="G4" s="198">
        <f t="shared" ref="G4" si="2">(1+F4)*(E4/E5)/(D4/D5)-1</f>
        <v>2.4227037327732681E-2</v>
      </c>
      <c r="H4" s="138"/>
      <c r="I4" s="147"/>
      <c r="J4" s="148">
        <v>0</v>
      </c>
      <c r="K4" s="148">
        <v>1</v>
      </c>
      <c r="L4" s="148">
        <v>2</v>
      </c>
      <c r="M4" s="148">
        <v>3</v>
      </c>
      <c r="N4" s="148">
        <v>4</v>
      </c>
      <c r="O4" s="148">
        <v>5</v>
      </c>
      <c r="P4" s="148">
        <v>6</v>
      </c>
      <c r="Q4" s="148">
        <v>7</v>
      </c>
      <c r="R4" s="148">
        <v>8</v>
      </c>
      <c r="S4" s="148">
        <v>9</v>
      </c>
      <c r="T4" s="148">
        <v>10</v>
      </c>
      <c r="U4" s="148">
        <v>11</v>
      </c>
      <c r="V4" s="159"/>
    </row>
    <row r="5" spans="1:22" s="33" customFormat="1" ht="18" customHeight="1" x14ac:dyDescent="0.25">
      <c r="A5" s="118">
        <f t="shared" si="0"/>
        <v>45382</v>
      </c>
      <c r="B5" s="139"/>
      <c r="C5" s="140">
        <f>'Vantage Global Investment Fund'!B8</f>
        <v>470.57771400000001</v>
      </c>
      <c r="D5" s="140">
        <f>'Vantage Global Investment Fund'!H8</f>
        <v>152.42070000000001</v>
      </c>
      <c r="E5" s="141">
        <f>'Vantage Global Investment Fund'!I8</f>
        <v>167.726093301209</v>
      </c>
      <c r="F5" s="197">
        <f t="shared" ref="F5" si="3">C5/C6-1</f>
        <v>1.2406142537012999E-2</v>
      </c>
      <c r="G5" s="198">
        <f t="shared" ref="G5" si="4">(1+F5)*(E5/E6)/(D5/D6)-1</f>
        <v>1.4903638566499566E-2</v>
      </c>
      <c r="H5" s="138"/>
      <c r="I5" s="176"/>
      <c r="J5" s="175" t="s">
        <v>17</v>
      </c>
      <c r="K5" s="175" t="s">
        <v>18</v>
      </c>
      <c r="L5" s="175" t="s">
        <v>19</v>
      </c>
      <c r="M5" s="175" t="s">
        <v>20</v>
      </c>
      <c r="N5" s="175" t="s">
        <v>21</v>
      </c>
      <c r="O5" s="175" t="s">
        <v>22</v>
      </c>
      <c r="P5" s="175" t="s">
        <v>23</v>
      </c>
      <c r="Q5" s="175" t="s">
        <v>24</v>
      </c>
      <c r="R5" s="175" t="s">
        <v>25</v>
      </c>
      <c r="S5" s="175" t="s">
        <v>26</v>
      </c>
      <c r="T5" s="175" t="s">
        <v>27</v>
      </c>
      <c r="U5" s="175" t="s">
        <v>28</v>
      </c>
      <c r="V5" s="177" t="s">
        <v>29</v>
      </c>
    </row>
    <row r="6" spans="1:22" s="33" customFormat="1" ht="18" customHeight="1" x14ac:dyDescent="0.25">
      <c r="A6" s="118">
        <f t="shared" si="0"/>
        <v>45351</v>
      </c>
      <c r="B6" s="139"/>
      <c r="C6" s="140">
        <f>'Vantage Global Investment Fund'!B9</f>
        <v>464.81119999999999</v>
      </c>
      <c r="D6" s="140">
        <f>'Vantage Global Investment Fund'!H9</f>
        <v>152.2697</v>
      </c>
      <c r="E6" s="141">
        <f>'Vantage Global Investment Fund'!I9</f>
        <v>167.14759559820399</v>
      </c>
      <c r="F6" s="197">
        <f t="shared" ref="F6" si="5">C6/C7-1</f>
        <v>-1.5231701880225712E-2</v>
      </c>
      <c r="G6" s="198">
        <f t="shared" ref="G6" si="6">(1+F6)*(E6/E7)/(D6/D7)-1</f>
        <v>-1.0563238928458007E-2</v>
      </c>
      <c r="H6" s="138"/>
      <c r="I6" s="134">
        <v>1996</v>
      </c>
      <c r="J6" s="135">
        <f t="shared" ref="J6:U15" si="7">INDEX($G$1:$G$343,ROW($A$343)-(ROW(J6)-ROW(J$6))*12-J$4)</f>
        <v>1.731821182578841E-2</v>
      </c>
      <c r="K6" s="135">
        <f t="shared" si="7"/>
        <v>-7.1103790580522297E-3</v>
      </c>
      <c r="L6" s="135">
        <f t="shared" si="7"/>
        <v>-3.9911089322675064E-4</v>
      </c>
      <c r="M6" s="135">
        <f t="shared" si="7"/>
        <v>2.7386093270292289E-2</v>
      </c>
      <c r="N6" s="135">
        <f t="shared" si="7"/>
        <v>-1.5795596831736702E-2</v>
      </c>
      <c r="O6" s="135">
        <f t="shared" si="7"/>
        <v>-3.4443224899971536E-4</v>
      </c>
      <c r="P6" s="135">
        <f t="shared" si="7"/>
        <v>-1.0472067186302669E-2</v>
      </c>
      <c r="Q6" s="135">
        <f t="shared" si="7"/>
        <v>-5.5808674703239358E-3</v>
      </c>
      <c r="R6" s="135">
        <f t="shared" si="7"/>
        <v>-1.0425030467095309E-2</v>
      </c>
      <c r="S6" s="135">
        <f t="shared" si="7"/>
        <v>1.3563376427441876E-2</v>
      </c>
      <c r="T6" s="135">
        <f t="shared" si="7"/>
        <v>4.9813287440233056E-2</v>
      </c>
      <c r="U6" s="135">
        <f t="shared" si="7"/>
        <v>8.8004073451397602E-4</v>
      </c>
      <c r="V6" s="160">
        <f t="shared" ref="V6:V28" si="8">(1+J6)*(1+K6)*(1+L6)*(1+M6)*(1+N6)*(1+O6)*(1+P6)*(1+Q6)*(1+R6)*(1+S6)*(1+T6)*(1+U6)-1</f>
        <v>5.8388310238417285E-2</v>
      </c>
    </row>
    <row r="7" spans="1:22" s="59" customFormat="1" ht="18" customHeight="1" x14ac:dyDescent="0.25">
      <c r="A7" s="118">
        <f t="shared" si="0"/>
        <v>45322</v>
      </c>
      <c r="B7" s="139"/>
      <c r="C7" s="140">
        <v>472.00057199999998</v>
      </c>
      <c r="D7" s="140">
        <v>152.49700000000001</v>
      </c>
      <c r="E7" s="141">
        <v>166.60727417140299</v>
      </c>
      <c r="F7" s="167">
        <f t="shared" ref="F7" si="9">C7/C8-1</f>
        <v>-4.6120548618114876E-3</v>
      </c>
      <c r="G7" s="168">
        <f t="shared" ref="G7" si="10">(1+F7)*(E7/E8)/(D7/D8)-1</f>
        <v>7.7908099706314182E-3</v>
      </c>
      <c r="H7" s="142"/>
      <c r="I7" s="134">
        <v>1997</v>
      </c>
      <c r="J7" s="135">
        <f t="shared" si="7"/>
        <v>4.2669936051763502E-2</v>
      </c>
      <c r="K7" s="135">
        <f t="shared" si="7"/>
        <v>8.4035856520257024E-3</v>
      </c>
      <c r="L7" s="135">
        <f t="shared" si="7"/>
        <v>5.774784694050572E-3</v>
      </c>
      <c r="M7" s="135">
        <f t="shared" si="7"/>
        <v>1.5923994365186989E-2</v>
      </c>
      <c r="N7" s="135">
        <f t="shared" si="7"/>
        <v>-1.4641105518501951E-2</v>
      </c>
      <c r="O7" s="135">
        <f t="shared" si="7"/>
        <v>1.0335244054419546E-2</v>
      </c>
      <c r="P7" s="135">
        <f t="shared" si="7"/>
        <v>3.8814366794922783E-2</v>
      </c>
      <c r="Q7" s="135">
        <f t="shared" si="7"/>
        <v>1.7303696039737027E-2</v>
      </c>
      <c r="R7" s="135">
        <f t="shared" si="7"/>
        <v>-3.2342351359780475E-2</v>
      </c>
      <c r="S7" s="135">
        <f t="shared" si="7"/>
        <v>4.233452874786936E-3</v>
      </c>
      <c r="T7" s="135">
        <f t="shared" si="7"/>
        <v>-3.3869178859716298E-2</v>
      </c>
      <c r="U7" s="135">
        <f t="shared" si="7"/>
        <v>-1.9315874369536523E-2</v>
      </c>
      <c r="V7" s="160">
        <f t="shared" si="8"/>
        <v>4.0670415014071093E-2</v>
      </c>
    </row>
    <row r="8" spans="1:22" s="59" customFormat="1" ht="18" customHeight="1" x14ac:dyDescent="0.25">
      <c r="A8" s="118">
        <f t="shared" si="0"/>
        <v>45291</v>
      </c>
      <c r="B8" s="139"/>
      <c r="C8" s="140">
        <v>474.18755099999998</v>
      </c>
      <c r="D8" s="140">
        <v>153.8749</v>
      </c>
      <c r="E8" s="141">
        <v>166.04370895482299</v>
      </c>
      <c r="F8" s="167">
        <f t="shared" ref="F8" si="11">C8/C9-1</f>
        <v>1.2515401122285885E-2</v>
      </c>
      <c r="G8" s="168">
        <f t="shared" ref="G8:G71" si="12">(1+F8)*(E8/E9)/(D8/D9)-1</f>
        <v>-7.7287950462079369E-4</v>
      </c>
      <c r="H8" s="142"/>
      <c r="I8" s="134">
        <v>1998</v>
      </c>
      <c r="J8" s="135">
        <f t="shared" si="7"/>
        <v>2.6228355170091922E-2</v>
      </c>
      <c r="K8" s="135">
        <f t="shared" si="7"/>
        <v>1.2450337944663881E-2</v>
      </c>
      <c r="L8" s="135">
        <f t="shared" si="7"/>
        <v>1.0407344577338717E-2</v>
      </c>
      <c r="M8" s="135">
        <f t="shared" si="7"/>
        <v>5.320243578262196E-2</v>
      </c>
      <c r="N8" s="135">
        <f t="shared" si="7"/>
        <v>-6.6160631768098499E-3</v>
      </c>
      <c r="O8" s="135">
        <f t="shared" si="7"/>
        <v>-3.6942015293535801E-2</v>
      </c>
      <c r="P8" s="135">
        <f t="shared" si="7"/>
        <v>-1.0555132662468214E-2</v>
      </c>
      <c r="Q8" s="135">
        <f t="shared" si="7"/>
        <v>-2.9278181883023002E-2</v>
      </c>
      <c r="R8" s="135">
        <f t="shared" si="7"/>
        <v>1.2497210547632864E-2</v>
      </c>
      <c r="S8" s="135">
        <f t="shared" si="7"/>
        <v>6.3224310381801985E-3</v>
      </c>
      <c r="T8" s="135">
        <f t="shared" si="7"/>
        <v>6.8304784000367436E-2</v>
      </c>
      <c r="U8" s="135">
        <f t="shared" si="7"/>
        <v>1.3170238376845056E-3</v>
      </c>
      <c r="V8" s="160">
        <f t="shared" si="8"/>
        <v>0.1073369997536755</v>
      </c>
    </row>
    <row r="9" spans="1:22" s="59" customFormat="1" ht="18" customHeight="1" x14ac:dyDescent="0.25">
      <c r="A9" s="118">
        <f t="shared" si="0"/>
        <v>45260</v>
      </c>
      <c r="B9" s="139"/>
      <c r="C9" s="140">
        <v>468.32625999999999</v>
      </c>
      <c r="D9" s="140">
        <v>151.33850000000001</v>
      </c>
      <c r="E9" s="141">
        <v>165.47846822360901</v>
      </c>
      <c r="F9" s="167">
        <f t="shared" ref="F9:F72" si="13">C9/C10-1</f>
        <v>-1.4567721975781156E-3</v>
      </c>
      <c r="G9" s="168">
        <f t="shared" si="12"/>
        <v>-1.9437140694092525E-2</v>
      </c>
      <c r="H9" s="142"/>
      <c r="I9" s="134">
        <v>1999</v>
      </c>
      <c r="J9" s="135">
        <f t="shared" si="7"/>
        <v>2.8274273268668715E-2</v>
      </c>
      <c r="K9" s="135">
        <f t="shared" si="7"/>
        <v>1.267616366568558E-2</v>
      </c>
      <c r="L9" s="135">
        <f t="shared" si="7"/>
        <v>2.7763714083000934E-2</v>
      </c>
      <c r="M9" s="135">
        <f t="shared" si="7"/>
        <v>4.5897465955911265E-2</v>
      </c>
      <c r="N9" s="135">
        <f t="shared" si="7"/>
        <v>4.2410766216735007E-2</v>
      </c>
      <c r="O9" s="135">
        <f t="shared" si="7"/>
        <v>4.9565223410199977E-2</v>
      </c>
      <c r="P9" s="135">
        <f t="shared" si="7"/>
        <v>1.4523592263145924E-2</v>
      </c>
      <c r="Q9" s="135">
        <f t="shared" si="7"/>
        <v>-1.143981178609832E-2</v>
      </c>
      <c r="R9" s="135">
        <f t="shared" si="7"/>
        <v>1.1847852777172596E-2</v>
      </c>
      <c r="S9" s="135">
        <f t="shared" si="7"/>
        <v>-3.5344332477761697E-2</v>
      </c>
      <c r="T9" s="135">
        <f t="shared" si="7"/>
        <v>-4.293674119607227E-2</v>
      </c>
      <c r="U9" s="135">
        <f t="shared" si="7"/>
        <v>-4.3003542688792695E-2</v>
      </c>
      <c r="V9" s="160">
        <f t="shared" si="8"/>
        <v>9.8029594839246448E-2</v>
      </c>
    </row>
    <row r="10" spans="1:22" s="59" customFormat="1" ht="18" customHeight="1" x14ac:dyDescent="0.25">
      <c r="A10" s="118">
        <f t="shared" si="0"/>
        <v>45230</v>
      </c>
      <c r="B10" s="139"/>
      <c r="C10" s="140">
        <v>469.0095</v>
      </c>
      <c r="D10" s="140">
        <v>148.11060000000001</v>
      </c>
      <c r="E10" s="141">
        <v>164.9186</v>
      </c>
      <c r="F10" s="167">
        <f t="shared" si="13"/>
        <v>-1.0524514760713255E-2</v>
      </c>
      <c r="G10" s="168">
        <f t="shared" si="12"/>
        <v>-7.6730794662625001E-3</v>
      </c>
      <c r="H10" s="142"/>
      <c r="I10" s="134">
        <v>2000</v>
      </c>
      <c r="J10" s="135">
        <f t="shared" si="7"/>
        <v>4.2043711751453161E-2</v>
      </c>
      <c r="K10" s="135">
        <f t="shared" si="7"/>
        <v>-4.293631630180228E-2</v>
      </c>
      <c r="L10" s="135">
        <f t="shared" si="7"/>
        <v>2.7979082357802998E-3</v>
      </c>
      <c r="M10" s="135">
        <f t="shared" si="7"/>
        <v>7.667560743968127E-2</v>
      </c>
      <c r="N10" s="135">
        <f t="shared" si="7"/>
        <v>4.3278874520676691E-2</v>
      </c>
      <c r="O10" s="135">
        <f t="shared" si="7"/>
        <v>4.2583017561469205E-2</v>
      </c>
      <c r="P10" s="135">
        <f t="shared" si="7"/>
        <v>6.2460657869165548E-3</v>
      </c>
      <c r="Q10" s="135">
        <f t="shared" si="7"/>
        <v>-2.7025213872993947E-2</v>
      </c>
      <c r="R10" s="135">
        <f t="shared" si="7"/>
        <v>4.1542329954572743E-2</v>
      </c>
      <c r="S10" s="135">
        <f t="shared" si="7"/>
        <v>1.5404851443729273E-2</v>
      </c>
      <c r="T10" s="135">
        <f t="shared" si="7"/>
        <v>6.7100687331147935E-2</v>
      </c>
      <c r="U10" s="135">
        <f t="shared" si="7"/>
        <v>4.2976756303774177E-2</v>
      </c>
      <c r="V10" s="160">
        <f t="shared" si="8"/>
        <v>0.34970264053359967</v>
      </c>
    </row>
    <row r="11" spans="1:22" s="59" customFormat="1" ht="18" customHeight="1" x14ac:dyDescent="0.25">
      <c r="A11" s="118">
        <f t="shared" si="0"/>
        <v>45199</v>
      </c>
      <c r="B11" s="139"/>
      <c r="C11" s="140">
        <v>473.99810000000002</v>
      </c>
      <c r="D11" s="140">
        <v>148.00839999999999</v>
      </c>
      <c r="E11" s="141">
        <v>164.33123813879601</v>
      </c>
      <c r="F11" s="167">
        <f t="shared" si="13"/>
        <v>2.0441637716362981E-2</v>
      </c>
      <c r="G11" s="168">
        <f t="shared" si="12"/>
        <v>3.5249656113712113E-2</v>
      </c>
      <c r="H11" s="142"/>
      <c r="I11" s="134">
        <v>2001</v>
      </c>
      <c r="J11" s="135">
        <f t="shared" si="7"/>
        <v>2.1673753724206657E-2</v>
      </c>
      <c r="K11" s="135">
        <f t="shared" si="7"/>
        <v>5.2440314003177058E-2</v>
      </c>
      <c r="L11" s="135">
        <f t="shared" si="7"/>
        <v>4.8223879603037645E-4</v>
      </c>
      <c r="M11" s="135">
        <f t="shared" si="7"/>
        <v>1.0153459088661165E-2</v>
      </c>
      <c r="N11" s="135">
        <f t="shared" si="7"/>
        <v>1.7773077916678703E-2</v>
      </c>
      <c r="O11" s="135">
        <f t="shared" si="7"/>
        <v>1.9192147776283752E-2</v>
      </c>
      <c r="P11" s="135">
        <f t="shared" si="7"/>
        <v>1.2769598667345061E-2</v>
      </c>
      <c r="Q11" s="135">
        <f t="shared" si="7"/>
        <v>2.9276302431052059E-2</v>
      </c>
      <c r="R11" s="135">
        <f t="shared" si="7"/>
        <v>-2.4772809195032774E-2</v>
      </c>
      <c r="S11" s="135">
        <f t="shared" si="7"/>
        <v>2.0552290110821936E-2</v>
      </c>
      <c r="T11" s="135">
        <f t="shared" si="7"/>
        <v>-8.5671206261247468E-3</v>
      </c>
      <c r="U11" s="135">
        <f t="shared" si="7"/>
        <v>2.7653384426042704E-2</v>
      </c>
      <c r="V11" s="160">
        <f t="shared" si="8"/>
        <v>0.1915359394263052</v>
      </c>
    </row>
    <row r="12" spans="1:22" s="59" customFormat="1" ht="18" customHeight="1" x14ac:dyDescent="0.25">
      <c r="A12" s="118">
        <f t="shared" si="0"/>
        <v>45169</v>
      </c>
      <c r="B12" s="139"/>
      <c r="C12" s="140">
        <v>464.50290000000001</v>
      </c>
      <c r="D12" s="140">
        <v>149.6405</v>
      </c>
      <c r="E12" s="141">
        <v>163.76684804097599</v>
      </c>
      <c r="F12" s="167">
        <f t="shared" si="13"/>
        <v>3.5952034282338285E-3</v>
      </c>
      <c r="G12" s="168">
        <f t="shared" si="12"/>
        <v>1.3728912770944568E-2</v>
      </c>
      <c r="H12" s="142"/>
      <c r="I12" s="134">
        <v>2002</v>
      </c>
      <c r="J12" s="135">
        <f t="shared" si="7"/>
        <v>2.3751243353690166E-2</v>
      </c>
      <c r="K12" s="135">
        <f t="shared" si="7"/>
        <v>2.3878883223394043E-2</v>
      </c>
      <c r="L12" s="135">
        <f t="shared" si="7"/>
        <v>1.2536113281071293E-2</v>
      </c>
      <c r="M12" s="135">
        <f t="shared" si="7"/>
        <v>2.5756802077619989E-2</v>
      </c>
      <c r="N12" s="135">
        <f t="shared" si="7"/>
        <v>2.7886479315473611E-2</v>
      </c>
      <c r="O12" s="135">
        <f t="shared" si="7"/>
        <v>-6.3281950082362259E-3</v>
      </c>
      <c r="P12" s="135">
        <f t="shared" si="7"/>
        <v>-1.6363034947899924E-2</v>
      </c>
      <c r="Q12" s="135">
        <f t="shared" si="7"/>
        <v>1.0760688582147404E-2</v>
      </c>
      <c r="R12" s="135">
        <f t="shared" si="7"/>
        <v>3.2442541228798749E-3</v>
      </c>
      <c r="S12" s="135">
        <f t="shared" si="7"/>
        <v>1.3171095219954854E-3</v>
      </c>
      <c r="T12" s="135">
        <f t="shared" si="7"/>
        <v>4.5198544965474596E-4</v>
      </c>
      <c r="U12" s="135">
        <f t="shared" si="7"/>
        <v>1.5512233651461704E-2</v>
      </c>
      <c r="V12" s="160">
        <f t="shared" si="8"/>
        <v>0.12831143116276289</v>
      </c>
    </row>
    <row r="13" spans="1:22" s="59" customFormat="1" ht="18" customHeight="1" x14ac:dyDescent="0.25">
      <c r="A13" s="118">
        <f t="shared" si="0"/>
        <v>45138</v>
      </c>
      <c r="B13" s="139"/>
      <c r="C13" s="140">
        <v>462.83890000000002</v>
      </c>
      <c r="D13" s="140">
        <v>150.61750000000001</v>
      </c>
      <c r="E13" s="141">
        <v>163.1883</v>
      </c>
      <c r="F13" s="167">
        <f t="shared" si="13"/>
        <v>1.6865855732308255E-2</v>
      </c>
      <c r="G13" s="168">
        <f t="shared" si="12"/>
        <v>4.6835536830946989E-3</v>
      </c>
      <c r="H13" s="142"/>
      <c r="I13" s="134">
        <v>2003</v>
      </c>
      <c r="J13" s="135">
        <f t="shared" si="7"/>
        <v>3.519076232444629E-3</v>
      </c>
      <c r="K13" s="135">
        <f t="shared" si="7"/>
        <v>-1.0713894526053314E-2</v>
      </c>
      <c r="L13" s="135">
        <f t="shared" si="7"/>
        <v>2.5199468782259871E-3</v>
      </c>
      <c r="M13" s="135">
        <f t="shared" si="7"/>
        <v>1.9508993894442828E-2</v>
      </c>
      <c r="N13" s="135">
        <f t="shared" si="7"/>
        <v>2.449676515113075E-2</v>
      </c>
      <c r="O13" s="135">
        <f t="shared" si="7"/>
        <v>1.2985655221386505E-2</v>
      </c>
      <c r="P13" s="135">
        <f t="shared" si="7"/>
        <v>5.192207881234312E-3</v>
      </c>
      <c r="Q13" s="135">
        <f t="shared" si="7"/>
        <v>2.5365987218754382E-2</v>
      </c>
      <c r="R13" s="135">
        <f t="shared" si="7"/>
        <v>1.6043499467555788E-2</v>
      </c>
      <c r="S13" s="135">
        <f t="shared" si="7"/>
        <v>1.0443242439538425E-2</v>
      </c>
      <c r="T13" s="135">
        <f t="shared" si="7"/>
        <v>3.7990643457179729E-3</v>
      </c>
      <c r="U13" s="135">
        <f t="shared" si="7"/>
        <v>1.9793654943156547E-2</v>
      </c>
      <c r="V13" s="160">
        <f t="shared" si="8"/>
        <v>0.14066167687767384</v>
      </c>
    </row>
    <row r="14" spans="1:22" s="59" customFormat="1" ht="18" customHeight="1" x14ac:dyDescent="0.25">
      <c r="A14" s="118">
        <f t="shared" si="0"/>
        <v>45107</v>
      </c>
      <c r="B14" s="139"/>
      <c r="C14" s="140">
        <v>455.16219999999998</v>
      </c>
      <c r="D14" s="140">
        <v>148.292</v>
      </c>
      <c r="E14" s="141">
        <v>162.61689999999999</v>
      </c>
      <c r="F14" s="167">
        <f t="shared" si="13"/>
        <v>-7.5893450897538406E-3</v>
      </c>
      <c r="G14" s="168">
        <f t="shared" si="12"/>
        <v>-7.5557472514871105E-3</v>
      </c>
      <c r="H14" s="142"/>
      <c r="I14" s="134">
        <v>2004</v>
      </c>
      <c r="J14" s="135">
        <f t="shared" si="7"/>
        <v>8.7726985587655015E-3</v>
      </c>
      <c r="K14" s="135">
        <f t="shared" si="7"/>
        <v>1.5142609950268948E-2</v>
      </c>
      <c r="L14" s="135">
        <f t="shared" si="7"/>
        <v>2.6034107536130335E-2</v>
      </c>
      <c r="M14" s="135">
        <f t="shared" si="7"/>
        <v>-5.6280793981303701E-3</v>
      </c>
      <c r="N14" s="135">
        <f t="shared" si="7"/>
        <v>-1.5921782357933401E-2</v>
      </c>
      <c r="O14" s="135">
        <f t="shared" si="7"/>
        <v>7.9372019534984517E-4</v>
      </c>
      <c r="P14" s="135">
        <f t="shared" si="7"/>
        <v>-3.2059452456800752E-3</v>
      </c>
      <c r="Q14" s="135">
        <f t="shared" si="7"/>
        <v>1.131423692322886E-2</v>
      </c>
      <c r="R14" s="135">
        <f t="shared" si="7"/>
        <v>1.1212158647545101E-2</v>
      </c>
      <c r="S14" s="135">
        <f t="shared" si="7"/>
        <v>5.0442890197495149E-3</v>
      </c>
      <c r="T14" s="135">
        <f t="shared" si="7"/>
        <v>1.9183331446337215E-2</v>
      </c>
      <c r="U14" s="135">
        <f t="shared" si="7"/>
        <v>1.1438820187846588E-2</v>
      </c>
      <c r="V14" s="160">
        <f t="shared" si="8"/>
        <v>8.6716325650239678E-2</v>
      </c>
    </row>
    <row r="15" spans="1:22" s="33" customFormat="1" ht="18" customHeight="1" x14ac:dyDescent="0.25">
      <c r="A15" s="118">
        <f t="shared" si="0"/>
        <v>45077</v>
      </c>
      <c r="B15" s="139"/>
      <c r="C15" s="140">
        <v>458.64299999999997</v>
      </c>
      <c r="D15" s="140">
        <v>147.79599999999999</v>
      </c>
      <c r="E15" s="141">
        <v>162.0675</v>
      </c>
      <c r="F15" s="167">
        <f t="shared" si="13"/>
        <v>-3.5224062192553918E-2</v>
      </c>
      <c r="G15" s="168">
        <f t="shared" si="12"/>
        <v>-2.3446605119679775E-2</v>
      </c>
      <c r="H15" s="138"/>
      <c r="I15" s="134">
        <v>2005</v>
      </c>
      <c r="J15" s="135">
        <f t="shared" si="7"/>
        <v>3.431578894093068E-3</v>
      </c>
      <c r="K15" s="135">
        <f t="shared" si="7"/>
        <v>1.2378903932163121E-2</v>
      </c>
      <c r="L15" s="135">
        <f t="shared" si="7"/>
        <v>8.8595488944687162E-5</v>
      </c>
      <c r="M15" s="135">
        <f t="shared" si="7"/>
        <v>7.3690079421131482E-3</v>
      </c>
      <c r="N15" s="135">
        <f t="shared" si="7"/>
        <v>7.3556444034597046E-3</v>
      </c>
      <c r="O15" s="135">
        <f t="shared" si="7"/>
        <v>3.6350548029737695E-3</v>
      </c>
      <c r="P15" s="135">
        <f t="shared" si="7"/>
        <v>5.7518389874324782E-3</v>
      </c>
      <c r="Q15" s="135">
        <f t="shared" si="7"/>
        <v>6.6100736533003523E-3</v>
      </c>
      <c r="R15" s="135">
        <f t="shared" si="7"/>
        <v>4.2872047424682425E-3</v>
      </c>
      <c r="S15" s="135">
        <f t="shared" si="7"/>
        <v>-1.658794646013817E-3</v>
      </c>
      <c r="T15" s="135">
        <f t="shared" si="7"/>
        <v>9.1691942142979599E-4</v>
      </c>
      <c r="U15" s="135">
        <f t="shared" si="7"/>
        <v>1.5095501060142791E-2</v>
      </c>
      <c r="V15" s="160">
        <f t="shared" si="8"/>
        <v>6.7113280559286448E-2</v>
      </c>
    </row>
    <row r="16" spans="1:22" s="33" customFormat="1" ht="18" customHeight="1" x14ac:dyDescent="0.25">
      <c r="A16" s="118">
        <f t="shared" si="0"/>
        <v>45046</v>
      </c>
      <c r="B16" s="139"/>
      <c r="C16" s="140">
        <v>475.38810000000001</v>
      </c>
      <c r="D16" s="140">
        <v>149.09989999999999</v>
      </c>
      <c r="E16" s="141">
        <v>161.52549250731099</v>
      </c>
      <c r="F16" s="167">
        <f t="shared" si="13"/>
        <v>2.3166234238616301E-2</v>
      </c>
      <c r="G16" s="168">
        <f t="shared" si="12"/>
        <v>1.9877446908524332E-2</v>
      </c>
      <c r="H16" s="138"/>
      <c r="I16" s="134">
        <v>2006</v>
      </c>
      <c r="J16" s="135">
        <f t="shared" ref="J16:U25" si="14">INDEX($G$1:$G$343,ROW($A$343)-(ROW(J16)-ROW(J$6))*12-J$4)</f>
        <v>1.2969555650960141E-2</v>
      </c>
      <c r="K16" s="135">
        <f t="shared" si="14"/>
        <v>-4.5078905227390331E-3</v>
      </c>
      <c r="L16" s="135">
        <f t="shared" si="14"/>
        <v>1.0013074718790982E-2</v>
      </c>
      <c r="M16" s="135">
        <f t="shared" si="14"/>
        <v>2.8212997945047613E-2</v>
      </c>
      <c r="N16" s="135">
        <f t="shared" si="14"/>
        <v>-3.9232479377269369E-2</v>
      </c>
      <c r="O16" s="135">
        <f t="shared" si="14"/>
        <v>6.1403190263318308E-3</v>
      </c>
      <c r="P16" s="135">
        <f t="shared" si="14"/>
        <v>-1.2814100011663387E-2</v>
      </c>
      <c r="Q16" s="135">
        <f t="shared" si="14"/>
        <v>-7.1706632708474771E-3</v>
      </c>
      <c r="R16" s="135">
        <f t="shared" si="14"/>
        <v>2.2674103866220374E-3</v>
      </c>
      <c r="S16" s="135">
        <f t="shared" si="14"/>
        <v>2.7149032951157004E-3</v>
      </c>
      <c r="T16" s="135">
        <f t="shared" si="14"/>
        <v>2.7209901304143802E-3</v>
      </c>
      <c r="U16" s="135">
        <f t="shared" si="14"/>
        <v>3.9274951662839896E-3</v>
      </c>
      <c r="V16" s="160">
        <f t="shared" si="8"/>
        <v>3.7793231105849312E-3</v>
      </c>
    </row>
    <row r="17" spans="1:22" s="33" customFormat="1" ht="18" customHeight="1" x14ac:dyDescent="0.25">
      <c r="A17" s="118">
        <f t="shared" si="0"/>
        <v>45016</v>
      </c>
      <c r="B17" s="139"/>
      <c r="C17" s="140">
        <v>464.62450000000001</v>
      </c>
      <c r="D17" s="140">
        <v>148.16810000000001</v>
      </c>
      <c r="E17" s="141">
        <v>161.03365301682101</v>
      </c>
      <c r="F17" s="167">
        <f t="shared" si="13"/>
        <v>-1.4734153676932871E-2</v>
      </c>
      <c r="G17" s="168">
        <f t="shared" si="12"/>
        <v>-2.7098159160739321E-2</v>
      </c>
      <c r="H17" s="138"/>
      <c r="I17" s="134">
        <v>2007</v>
      </c>
      <c r="J17" s="135">
        <f t="shared" si="14"/>
        <v>7.3473736324847216E-4</v>
      </c>
      <c r="K17" s="135">
        <f t="shared" si="14"/>
        <v>3.2582500951043425E-2</v>
      </c>
      <c r="L17" s="135">
        <f t="shared" si="14"/>
        <v>-2.7290758590807762E-3</v>
      </c>
      <c r="M17" s="135">
        <f t="shared" si="14"/>
        <v>7.8650425591486606E-3</v>
      </c>
      <c r="N17" s="135">
        <f t="shared" si="14"/>
        <v>-2.5194051755828006E-4</v>
      </c>
      <c r="O17" s="135">
        <f t="shared" si="14"/>
        <v>2.3642983183855382E-2</v>
      </c>
      <c r="P17" s="135">
        <f t="shared" si="14"/>
        <v>1.7542974739542139E-2</v>
      </c>
      <c r="Q17" s="135">
        <f t="shared" si="14"/>
        <v>2.6875197284380148E-2</v>
      </c>
      <c r="R17" s="135">
        <f t="shared" si="14"/>
        <v>1.4348345061707235E-2</v>
      </c>
      <c r="S17" s="135">
        <f t="shared" si="14"/>
        <v>2.2532979845999446E-2</v>
      </c>
      <c r="T17" s="135">
        <f t="shared" si="14"/>
        <v>2.1787607817437937E-2</v>
      </c>
      <c r="U17" s="135">
        <f t="shared" si="14"/>
        <v>3.7865631864665072E-2</v>
      </c>
      <c r="V17" s="160">
        <f t="shared" si="8"/>
        <v>0.2216167947726233</v>
      </c>
    </row>
    <row r="18" spans="1:22" s="33" customFormat="1" ht="18" customHeight="1" x14ac:dyDescent="0.25">
      <c r="A18" s="118">
        <f t="shared" si="0"/>
        <v>44985</v>
      </c>
      <c r="B18" s="139"/>
      <c r="C18" s="140">
        <v>471.57272499999999</v>
      </c>
      <c r="D18" s="140">
        <v>145.86150000000001</v>
      </c>
      <c r="E18" s="141">
        <v>160.54138740886501</v>
      </c>
      <c r="F18" s="167">
        <f t="shared" si="13"/>
        <v>-1.8883413349859435E-3</v>
      </c>
      <c r="G18" s="168">
        <f t="shared" si="12"/>
        <v>1.6126505726294704E-2</v>
      </c>
      <c r="H18" s="138"/>
      <c r="I18" s="134">
        <v>2008</v>
      </c>
      <c r="J18" s="135">
        <f t="shared" si="14"/>
        <v>-2.6253328682248167E-2</v>
      </c>
      <c r="K18" s="135">
        <f t="shared" si="14"/>
        <v>2.4029257062185172E-2</v>
      </c>
      <c r="L18" s="135">
        <f t="shared" si="14"/>
        <v>-8.4508461019190406E-3</v>
      </c>
      <c r="M18" s="135">
        <f t="shared" si="14"/>
        <v>-8.4390192396199826E-4</v>
      </c>
      <c r="N18" s="135">
        <f t="shared" si="14"/>
        <v>2.1133782301825388E-3</v>
      </c>
      <c r="O18" s="135">
        <f t="shared" si="14"/>
        <v>-6.3261606291126204E-3</v>
      </c>
      <c r="P18" s="135">
        <f t="shared" si="14"/>
        <v>5.9511437347312679E-3</v>
      </c>
      <c r="Q18" s="135">
        <f t="shared" si="14"/>
        <v>-1.4919906380993275E-2</v>
      </c>
      <c r="R18" s="135">
        <f t="shared" si="14"/>
        <v>-1.5245906922757846E-2</v>
      </c>
      <c r="S18" s="135">
        <f t="shared" si="14"/>
        <v>-5.0059346935588556E-2</v>
      </c>
      <c r="T18" s="135">
        <f t="shared" si="14"/>
        <v>3.2345371673298651E-2</v>
      </c>
      <c r="U18" s="135">
        <f t="shared" si="14"/>
        <v>4.1775978486619403E-2</v>
      </c>
      <c r="V18" s="160">
        <f t="shared" si="8"/>
        <v>-1.929426914376986E-2</v>
      </c>
    </row>
    <row r="19" spans="1:22" s="33" customFormat="1" ht="18" customHeight="1" x14ac:dyDescent="0.25">
      <c r="A19" s="118">
        <f t="shared" si="0"/>
        <v>44957</v>
      </c>
      <c r="B19" s="139"/>
      <c r="C19" s="140">
        <v>472.4649</v>
      </c>
      <c r="D19" s="140">
        <v>148.0711</v>
      </c>
      <c r="E19" s="141">
        <v>160.08402215483801</v>
      </c>
      <c r="F19" s="167">
        <f t="shared" si="13"/>
        <v>-2.083635194657707E-3</v>
      </c>
      <c r="G19" s="168">
        <f t="shared" si="12"/>
        <v>-1.1283586485661856E-2</v>
      </c>
      <c r="H19" s="138"/>
      <c r="I19" s="134">
        <v>2009</v>
      </c>
      <c r="J19" s="135">
        <f t="shared" si="14"/>
        <v>-2.8545991543534877E-3</v>
      </c>
      <c r="K19" s="135">
        <f t="shared" si="14"/>
        <v>-2.2332689526631588E-2</v>
      </c>
      <c r="L19" s="135">
        <f t="shared" si="14"/>
        <v>2.9272882155496172E-2</v>
      </c>
      <c r="M19" s="135">
        <f t="shared" si="14"/>
        <v>1.2525560121983137E-2</v>
      </c>
      <c r="N19" s="135">
        <f t="shared" si="14"/>
        <v>4.0515624908257442E-2</v>
      </c>
      <c r="O19" s="135">
        <f t="shared" si="14"/>
        <v>-7.3203478219115992E-3</v>
      </c>
      <c r="P19" s="135">
        <f t="shared" si="14"/>
        <v>2.1179095825987648E-2</v>
      </c>
      <c r="Q19" s="135">
        <f t="shared" si="14"/>
        <v>2.1871731184837984E-2</v>
      </c>
      <c r="R19" s="135">
        <f t="shared" si="14"/>
        <v>2.3630657147635237E-2</v>
      </c>
      <c r="S19" s="135">
        <f t="shared" si="14"/>
        <v>3.4608742697064265E-3</v>
      </c>
      <c r="T19" s="135">
        <f t="shared" si="14"/>
        <v>2.3495381489504474E-2</v>
      </c>
      <c r="U19" s="135">
        <f t="shared" si="14"/>
        <v>2.2241421972259978E-3</v>
      </c>
      <c r="V19" s="160">
        <f t="shared" si="8"/>
        <v>0.15381614914823483</v>
      </c>
    </row>
    <row r="20" spans="1:22" s="59" customFormat="1" ht="18" customHeight="1" x14ac:dyDescent="0.25">
      <c r="A20" s="118">
        <f t="shared" si="0"/>
        <v>44926</v>
      </c>
      <c r="B20" s="139"/>
      <c r="C20" s="140">
        <v>473.45139999999998</v>
      </c>
      <c r="D20" s="140">
        <v>146.27160000000001</v>
      </c>
      <c r="E20" s="141">
        <v>159.61000000000001</v>
      </c>
      <c r="F20" s="167">
        <f t="shared" si="13"/>
        <v>2.4818903743024867E-2</v>
      </c>
      <c r="G20" s="168">
        <f t="shared" si="12"/>
        <v>1.1021953474522395E-2</v>
      </c>
      <c r="H20" s="142"/>
      <c r="I20" s="134">
        <v>2010</v>
      </c>
      <c r="J20" s="135">
        <f t="shared" si="14"/>
        <v>4.7996985489142663E-3</v>
      </c>
      <c r="K20" s="135">
        <f t="shared" si="14"/>
        <v>1.1843261482077816E-2</v>
      </c>
      <c r="L20" s="135">
        <f t="shared" si="14"/>
        <v>1.7156174105275257E-2</v>
      </c>
      <c r="M20" s="135">
        <f t="shared" si="14"/>
        <v>1.8362118178652631E-2</v>
      </c>
      <c r="N20" s="135">
        <f t="shared" si="14"/>
        <v>-6.4484903099382151E-4</v>
      </c>
      <c r="O20" s="135">
        <f t="shared" si="14"/>
        <v>1.3115232657193054E-2</v>
      </c>
      <c r="P20" s="135">
        <f t="shared" si="14"/>
        <v>-3.2790151313995652E-2</v>
      </c>
      <c r="Q20" s="135">
        <f t="shared" si="14"/>
        <v>1.9078475026403918E-2</v>
      </c>
      <c r="R20" s="135">
        <f t="shared" si="14"/>
        <v>9.5393429315950851E-3</v>
      </c>
      <c r="S20" s="135">
        <f t="shared" si="14"/>
        <v>-3.0035848698701795E-3</v>
      </c>
      <c r="T20" s="135">
        <f t="shared" si="14"/>
        <v>2.5602592498473298E-2</v>
      </c>
      <c r="U20" s="135">
        <f t="shared" si="14"/>
        <v>1.2429599550021653E-2</v>
      </c>
      <c r="V20" s="160">
        <f t="shared" si="8"/>
        <v>9.837450428203165E-2</v>
      </c>
    </row>
    <row r="21" spans="1:22" s="33" customFormat="1" ht="18" customHeight="1" x14ac:dyDescent="0.25">
      <c r="A21" s="118">
        <f t="shared" si="0"/>
        <v>44895</v>
      </c>
      <c r="B21" s="139"/>
      <c r="C21" s="140">
        <v>461.9854281285962</v>
      </c>
      <c r="D21" s="140">
        <v>143.8941503776</v>
      </c>
      <c r="E21" s="141">
        <v>159.15847404020701</v>
      </c>
      <c r="F21" s="167">
        <f t="shared" si="13"/>
        <v>2.1535459191215578E-2</v>
      </c>
      <c r="G21" s="168">
        <f t="shared" si="12"/>
        <v>-1.0333413056317298E-2</v>
      </c>
      <c r="H21" s="138"/>
      <c r="I21" s="134">
        <v>2011</v>
      </c>
      <c r="J21" s="135">
        <f t="shared" si="14"/>
        <v>-2.3402197197933683E-2</v>
      </c>
      <c r="K21" s="135">
        <f t="shared" si="14"/>
        <v>8.2787433641682284E-3</v>
      </c>
      <c r="L21" s="135">
        <f t="shared" si="14"/>
        <v>-1.3170226094620929E-2</v>
      </c>
      <c r="M21" s="135">
        <f t="shared" si="14"/>
        <v>1.148710060630731E-2</v>
      </c>
      <c r="N21" s="135">
        <f t="shared" si="14"/>
        <v>1.1054406250136539E-2</v>
      </c>
      <c r="O21" s="135">
        <f t="shared" si="14"/>
        <v>-4.2259543178738701E-3</v>
      </c>
      <c r="P21" s="135">
        <f t="shared" si="14"/>
        <v>2.1744984947672519E-2</v>
      </c>
      <c r="Q21" s="135">
        <f t="shared" si="14"/>
        <v>1.2480747882546828E-2</v>
      </c>
      <c r="R21" s="135">
        <f t="shared" si="14"/>
        <v>-8.4581251138837743E-3</v>
      </c>
      <c r="S21" s="135">
        <f t="shared" si="14"/>
        <v>1.8374026335457927E-2</v>
      </c>
      <c r="T21" s="135">
        <f t="shared" si="14"/>
        <v>1.0883872997666133E-2</v>
      </c>
      <c r="U21" s="135">
        <f t="shared" si="14"/>
        <v>-2.367435441612642E-2</v>
      </c>
      <c r="V21" s="160">
        <f t="shared" si="8"/>
        <v>2.0182581296850577E-2</v>
      </c>
    </row>
    <row r="22" spans="1:22" s="33" customFormat="1" ht="18" customHeight="1" x14ac:dyDescent="0.25">
      <c r="A22" s="118">
        <f t="shared" si="0"/>
        <v>44865</v>
      </c>
      <c r="B22" s="139"/>
      <c r="C22" s="140">
        <v>452.24610068295209</v>
      </c>
      <c r="D22" s="140">
        <v>139.036240852605</v>
      </c>
      <c r="E22" s="141">
        <v>158.73737088931401</v>
      </c>
      <c r="F22" s="167">
        <f t="shared" si="13"/>
        <v>8.9893670369980416E-3</v>
      </c>
      <c r="G22" s="168">
        <f t="shared" si="12"/>
        <v>6.7401410058978151E-3</v>
      </c>
      <c r="H22" s="138"/>
      <c r="I22" s="134">
        <v>2012</v>
      </c>
      <c r="J22" s="135">
        <f t="shared" si="14"/>
        <v>1.5120551908023749E-2</v>
      </c>
      <c r="K22" s="135">
        <f t="shared" si="14"/>
        <v>6.4143999533430307E-3</v>
      </c>
      <c r="L22" s="135">
        <f t="shared" si="14"/>
        <v>-1.0555949849255231E-2</v>
      </c>
      <c r="M22" s="135">
        <f t="shared" si="14"/>
        <v>-2.6551221910995348E-2</v>
      </c>
      <c r="N22" s="135">
        <f t="shared" si="14"/>
        <v>3.3739187817412031E-3</v>
      </c>
      <c r="O22" s="135">
        <f t="shared" si="14"/>
        <v>-7.6423866131668516E-3</v>
      </c>
      <c r="P22" s="135">
        <f t="shared" si="14"/>
        <v>-3.0143059241449777E-3</v>
      </c>
      <c r="Q22" s="135">
        <f t="shared" si="14"/>
        <v>-7.3834067632795319E-3</v>
      </c>
      <c r="R22" s="135">
        <f t="shared" si="14"/>
        <v>5.4274731630628015E-3</v>
      </c>
      <c r="S22" s="135">
        <f t="shared" si="14"/>
        <v>2.8631805932948229E-3</v>
      </c>
      <c r="T22" s="135">
        <f t="shared" si="14"/>
        <v>1.4043566057830859E-5</v>
      </c>
      <c r="U22" s="135">
        <f t="shared" si="14"/>
        <v>1.6685874138313572E-3</v>
      </c>
      <c r="V22" s="160">
        <f t="shared" si="8"/>
        <v>-2.0683959703663435E-2</v>
      </c>
    </row>
    <row r="23" spans="1:22" s="33" customFormat="1" ht="18" customHeight="1" x14ac:dyDescent="0.25">
      <c r="A23" s="118">
        <f t="shared" si="0"/>
        <v>44834</v>
      </c>
      <c r="B23" s="139"/>
      <c r="C23" s="140">
        <v>448.21691432786815</v>
      </c>
      <c r="D23" s="140">
        <v>138.36792674182701</v>
      </c>
      <c r="E23" s="141">
        <v>158.32729930185101</v>
      </c>
      <c r="F23" s="167">
        <f t="shared" si="13"/>
        <v>9.1275731683386763E-3</v>
      </c>
      <c r="G23" s="168">
        <f t="shared" si="12"/>
        <v>2.9080082415419817E-2</v>
      </c>
      <c r="H23" s="138"/>
      <c r="I23" s="134">
        <v>2013</v>
      </c>
      <c r="J23" s="135">
        <f t="shared" si="14"/>
        <v>1.9902135393266018E-3</v>
      </c>
      <c r="K23" s="135">
        <f t="shared" si="14"/>
        <v>-3.9042512676454866E-3</v>
      </c>
      <c r="L23" s="135">
        <f t="shared" si="14"/>
        <v>2.2035757560913805E-2</v>
      </c>
      <c r="M23" s="135">
        <f t="shared" si="14"/>
        <v>-2.7439215799721861E-2</v>
      </c>
      <c r="N23" s="135">
        <f t="shared" si="14"/>
        <v>-6.2296910483568002E-3</v>
      </c>
      <c r="O23" s="135">
        <f t="shared" si="14"/>
        <v>-3.1284619702453442E-2</v>
      </c>
      <c r="P23" s="135">
        <f t="shared" si="14"/>
        <v>1.9728064433484294E-2</v>
      </c>
      <c r="Q23" s="135">
        <f t="shared" si="14"/>
        <v>7.0044385917076291E-3</v>
      </c>
      <c r="R23" s="135">
        <f t="shared" si="14"/>
        <v>-9.1436728092121333E-3</v>
      </c>
      <c r="S23" s="135">
        <f t="shared" si="14"/>
        <v>7.0519384159002385E-3</v>
      </c>
      <c r="T23" s="135">
        <f t="shared" si="14"/>
        <v>-1.339970320516759E-2</v>
      </c>
      <c r="U23" s="135">
        <f t="shared" si="14"/>
        <v>2.583385386058179E-3</v>
      </c>
      <c r="V23" s="160">
        <f t="shared" si="8"/>
        <v>-3.2012650880523852E-2</v>
      </c>
    </row>
    <row r="24" spans="1:22" s="33" customFormat="1" ht="18" customHeight="1" x14ac:dyDescent="0.25">
      <c r="A24" s="118">
        <f t="shared" si="0"/>
        <v>44804</v>
      </c>
      <c r="B24" s="139"/>
      <c r="C24" s="140">
        <v>444.16278599999998</v>
      </c>
      <c r="D24" s="140">
        <v>140.7938</v>
      </c>
      <c r="E24" s="141">
        <v>157.97952402166899</v>
      </c>
      <c r="F24" s="167">
        <f t="shared" si="13"/>
        <v>-2.4762464101675263E-3</v>
      </c>
      <c r="G24" s="168">
        <f t="shared" si="12"/>
        <v>1.3416229624831022E-2</v>
      </c>
      <c r="H24" s="138"/>
      <c r="I24" s="134">
        <v>2014</v>
      </c>
      <c r="J24" s="135">
        <f t="shared" si="14"/>
        <v>1.6588284894118788E-2</v>
      </c>
      <c r="K24" s="135">
        <f t="shared" si="14"/>
        <v>5.0779248093348883E-3</v>
      </c>
      <c r="L24" s="135">
        <f t="shared" si="14"/>
        <v>-7.1280394132781089E-3</v>
      </c>
      <c r="M24" s="135">
        <f t="shared" si="14"/>
        <v>1.5014390933918653E-2</v>
      </c>
      <c r="N24" s="135">
        <f t="shared" si="14"/>
        <v>-2.7747476560001982E-2</v>
      </c>
      <c r="O24" s="135">
        <f t="shared" si="14"/>
        <v>1.9870475162327761E-2</v>
      </c>
      <c r="P24" s="135">
        <f t="shared" si="14"/>
        <v>8.949567030265948E-3</v>
      </c>
      <c r="Q24" s="135">
        <f t="shared" si="14"/>
        <v>8.3917820742762661E-3</v>
      </c>
      <c r="R24" s="135">
        <f t="shared" si="14"/>
        <v>-1.4989104689216659E-2</v>
      </c>
      <c r="S24" s="135">
        <f t="shared" si="14"/>
        <v>-4.1135080390043988E-2</v>
      </c>
      <c r="T24" s="135">
        <f t="shared" si="14"/>
        <v>1.5568342553480496E-2</v>
      </c>
      <c r="U24" s="135">
        <f t="shared" si="14"/>
        <v>4.7512106620846151E-3</v>
      </c>
      <c r="V24" s="160">
        <f t="shared" si="8"/>
        <v>1.1503240804693338E-3</v>
      </c>
    </row>
    <row r="25" spans="1:22" s="33" customFormat="1" ht="18" customHeight="1" x14ac:dyDescent="0.25">
      <c r="A25" s="118">
        <f t="shared" si="0"/>
        <v>44773</v>
      </c>
      <c r="B25" s="139"/>
      <c r="C25" s="140">
        <v>445.26537278092064</v>
      </c>
      <c r="D25" s="140">
        <v>142.79536998704401</v>
      </c>
      <c r="E25" s="141">
        <v>157.71274380760801</v>
      </c>
      <c r="F25" s="167">
        <f t="shared" si="13"/>
        <v>-1.5298267745721628E-2</v>
      </c>
      <c r="G25" s="168">
        <f t="shared" si="12"/>
        <v>-7.5141063878916281E-3</v>
      </c>
      <c r="H25" s="146"/>
      <c r="I25" s="134">
        <v>2015</v>
      </c>
      <c r="J25" s="135">
        <f t="shared" si="14"/>
        <v>5.0915479464648028E-2</v>
      </c>
      <c r="K25" s="135">
        <f t="shared" si="14"/>
        <v>-6.5396498095786626E-3</v>
      </c>
      <c r="L25" s="135">
        <f t="shared" si="14"/>
        <v>1.242884738091643E-3</v>
      </c>
      <c r="M25" s="135">
        <f t="shared" si="14"/>
        <v>1.0338684662702269E-2</v>
      </c>
      <c r="N25" s="135">
        <f t="shared" si="14"/>
        <v>-9.7020896146925439E-3</v>
      </c>
      <c r="O25" s="135">
        <f t="shared" si="14"/>
        <v>-1.998929723777132E-2</v>
      </c>
      <c r="P25" s="135">
        <f t="shared" si="14"/>
        <v>-1.9908522004856821E-2</v>
      </c>
      <c r="Q25" s="135">
        <f t="shared" si="14"/>
        <v>-3.1934136748412056E-2</v>
      </c>
      <c r="R25" s="135">
        <f t="shared" si="14"/>
        <v>1.8878925955233994E-2</v>
      </c>
      <c r="S25" s="135">
        <f t="shared" si="14"/>
        <v>3.2018472085298066E-2</v>
      </c>
      <c r="T25" s="135">
        <f t="shared" si="14"/>
        <v>-6.1567234606859644E-3</v>
      </c>
      <c r="U25" s="135">
        <f t="shared" si="14"/>
        <v>-4.7603945344437681E-3</v>
      </c>
      <c r="V25" s="160">
        <f t="shared" si="8"/>
        <v>1.1459639121520704E-2</v>
      </c>
    </row>
    <row r="26" spans="1:22" s="33" customFormat="1" ht="18" customHeight="1" x14ac:dyDescent="0.25">
      <c r="A26" s="118">
        <f t="shared" si="0"/>
        <v>44742</v>
      </c>
      <c r="B26" s="139"/>
      <c r="C26" s="140">
        <v>452.18298922007006</v>
      </c>
      <c r="D26" s="140">
        <v>143.715721116764</v>
      </c>
      <c r="E26" s="141">
        <v>157.48431251459499</v>
      </c>
      <c r="F26" s="167">
        <f t="shared" si="13"/>
        <v>-2.7613863579335485E-2</v>
      </c>
      <c r="G26" s="168">
        <f t="shared" si="12"/>
        <v>-1.7142522560187445E-2</v>
      </c>
      <c r="H26" s="138"/>
      <c r="I26" s="134">
        <v>2016</v>
      </c>
      <c r="J26" s="135">
        <f t="shared" ref="J26:U33" si="15">INDEX($G$1:$G$343,ROW($A$343)-(ROW(J26)-ROW(J$6))*12-J$4)</f>
        <v>6.1826572707261995E-3</v>
      </c>
      <c r="K26" s="135">
        <f t="shared" si="15"/>
        <v>1.7046102158970733E-2</v>
      </c>
      <c r="L26" s="135">
        <f t="shared" si="15"/>
        <v>-1.1115471280162548E-2</v>
      </c>
      <c r="M26" s="135">
        <f t="shared" si="15"/>
        <v>2.0477396605063092E-3</v>
      </c>
      <c r="N26" s="135">
        <f t="shared" si="15"/>
        <v>-3.0797782915769067E-3</v>
      </c>
      <c r="O26" s="135">
        <f t="shared" si="15"/>
        <v>-2.1949027487339179E-2</v>
      </c>
      <c r="P26" s="135">
        <f t="shared" si="15"/>
        <v>3.0153914130258253E-2</v>
      </c>
      <c r="Q26" s="135">
        <f t="shared" si="15"/>
        <v>-1.337863562645758E-3</v>
      </c>
      <c r="R26" s="135">
        <f t="shared" si="15"/>
        <v>-1.2255102775818871E-3</v>
      </c>
      <c r="S26" s="135">
        <f t="shared" si="15"/>
        <v>1.0698585116841741E-4</v>
      </c>
      <c r="T26" s="135">
        <f t="shared" si="15"/>
        <v>4.2099332008385115E-3</v>
      </c>
      <c r="U26" s="135">
        <f t="shared" si="15"/>
        <v>1.1344976418063091E-2</v>
      </c>
      <c r="V26" s="160">
        <f t="shared" si="8"/>
        <v>3.1886176935491006E-2</v>
      </c>
    </row>
    <row r="27" spans="1:22" s="33" customFormat="1" ht="18" customHeight="1" x14ac:dyDescent="0.25">
      <c r="A27" s="118">
        <f t="shared" si="0"/>
        <v>44712</v>
      </c>
      <c r="B27" s="139"/>
      <c r="C27" s="140">
        <v>465.02410131488227</v>
      </c>
      <c r="D27" s="140">
        <v>145.094075277125</v>
      </c>
      <c r="E27" s="141">
        <v>157.30079291171299</v>
      </c>
      <c r="F27" s="167">
        <f t="shared" si="13"/>
        <v>1.5198271216785741E-2</v>
      </c>
      <c r="G27" s="168">
        <f t="shared" si="12"/>
        <v>8.1693960826831891E-3</v>
      </c>
      <c r="I27" s="134">
        <v>2017</v>
      </c>
      <c r="J27" s="135">
        <f t="shared" si="15"/>
        <v>2.1561989757862499E-2</v>
      </c>
      <c r="K27" s="135">
        <f t="shared" si="15"/>
        <v>1.7379201412798473E-2</v>
      </c>
      <c r="L27" s="135">
        <f t="shared" si="15"/>
        <v>-1.3066501603126279E-2</v>
      </c>
      <c r="M27" s="135">
        <f t="shared" si="15"/>
        <v>3.9324788221151152E-4</v>
      </c>
      <c r="N27" s="135">
        <f t="shared" si="15"/>
        <v>-1.1862434473022931E-2</v>
      </c>
      <c r="O27" s="135">
        <f t="shared" si="15"/>
        <v>-4.8054041384139046E-3</v>
      </c>
      <c r="P27" s="135">
        <f t="shared" si="15"/>
        <v>5.93441407776929E-3</v>
      </c>
      <c r="Q27" s="135">
        <f t="shared" si="15"/>
        <v>1.7224719844516123E-2</v>
      </c>
      <c r="R27" s="135">
        <f t="shared" si="15"/>
        <v>9.5069898081254767E-3</v>
      </c>
      <c r="S27" s="135">
        <f t="shared" si="15"/>
        <v>1.0179900475042469E-3</v>
      </c>
      <c r="T27" s="135">
        <f t="shared" si="15"/>
        <v>6.6522138009117437E-3</v>
      </c>
      <c r="U27" s="135">
        <f t="shared" si="15"/>
        <v>1.4467281549057187E-2</v>
      </c>
      <c r="V27" s="160">
        <f t="shared" si="8"/>
        <v>6.5582117046265598E-2</v>
      </c>
    </row>
    <row r="28" spans="1:22" s="33" customFormat="1" ht="18" customHeight="1" x14ac:dyDescent="0.25">
      <c r="A28" s="118">
        <f t="shared" si="0"/>
        <v>44681</v>
      </c>
      <c r="B28" s="139"/>
      <c r="C28" s="140">
        <v>458.06234555297118</v>
      </c>
      <c r="D28" s="140">
        <v>143.98373206399799</v>
      </c>
      <c r="E28" s="141">
        <v>157.18533274422299</v>
      </c>
      <c r="F28" s="167">
        <f t="shared" si="13"/>
        <v>-5.3119889936870113E-3</v>
      </c>
      <c r="G28" s="168">
        <f t="shared" si="12"/>
        <v>2.2176823651349986E-2</v>
      </c>
      <c r="I28" s="134">
        <v>2018</v>
      </c>
      <c r="J28" s="135">
        <f t="shared" si="15"/>
        <v>-8.7859101492733238E-3</v>
      </c>
      <c r="K28" s="135">
        <f t="shared" si="15"/>
        <v>-1.572044872700129E-3</v>
      </c>
      <c r="L28" s="135">
        <f t="shared" si="15"/>
        <v>-2.5907893367941304E-2</v>
      </c>
      <c r="M28" s="135">
        <f t="shared" si="15"/>
        <v>2.2696673079880991E-2</v>
      </c>
      <c r="N28" s="135">
        <f t="shared" si="15"/>
        <v>-1.8421476217977961E-2</v>
      </c>
      <c r="O28" s="135">
        <f t="shared" si="15"/>
        <v>-1.4387967670168367E-2</v>
      </c>
      <c r="P28" s="135">
        <f t="shared" si="15"/>
        <v>-3.8862227661041748E-3</v>
      </c>
      <c r="Q28" s="135">
        <f t="shared" si="15"/>
        <v>9.8925490930139581E-3</v>
      </c>
      <c r="R28" s="135">
        <f t="shared" si="15"/>
        <v>-8.8442363361329601E-3</v>
      </c>
      <c r="S28" s="135">
        <f t="shared" si="15"/>
        <v>-1.7301262429528674E-2</v>
      </c>
      <c r="T28" s="135">
        <f t="shared" si="15"/>
        <v>-3.9204348588148363E-2</v>
      </c>
      <c r="U28" s="135">
        <f t="shared" si="15"/>
        <v>-1.4565147451511384E-2</v>
      </c>
      <c r="V28" s="160">
        <f t="shared" si="8"/>
        <v>-0.11515442838132817</v>
      </c>
    </row>
    <row r="29" spans="1:22" s="33" customFormat="1" ht="18" customHeight="1" x14ac:dyDescent="0.25">
      <c r="A29" s="118">
        <f t="shared" si="0"/>
        <v>44651</v>
      </c>
      <c r="B29" s="139"/>
      <c r="C29" s="140">
        <v>460.50856196563126</v>
      </c>
      <c r="D29" s="140">
        <v>147.87763016711</v>
      </c>
      <c r="E29" s="141">
        <v>157.094842886744</v>
      </c>
      <c r="F29" s="167">
        <f t="shared" si="13"/>
        <v>-8.9142151782962697E-3</v>
      </c>
      <c r="G29" s="168">
        <f t="shared" si="12"/>
        <v>2.0686563398064628E-4</v>
      </c>
      <c r="I29" s="134">
        <v>2019</v>
      </c>
      <c r="J29" s="135">
        <f t="shared" si="15"/>
        <v>2.2813014953826594E-2</v>
      </c>
      <c r="K29" s="135">
        <f t="shared" si="15"/>
        <v>3.3545325709547491E-3</v>
      </c>
      <c r="L29" s="135">
        <f t="shared" si="15"/>
        <v>-1.7500227273441249E-2</v>
      </c>
      <c r="M29" s="135">
        <f t="shared" si="15"/>
        <v>1.0519081564320576E-2</v>
      </c>
      <c r="N29" s="135">
        <f t="shared" si="15"/>
        <v>-1.2143534778312759E-2</v>
      </c>
      <c r="O29" s="135">
        <f t="shared" si="15"/>
        <v>-1.5924254169214169E-2</v>
      </c>
      <c r="P29" s="135">
        <f t="shared" si="15"/>
        <v>9.0590802749499488E-3</v>
      </c>
      <c r="Q29" s="135">
        <f t="shared" si="15"/>
        <v>-9.2525448881281003E-3</v>
      </c>
      <c r="R29" s="135">
        <f t="shared" si="15"/>
        <v>1.2409511688237673E-2</v>
      </c>
      <c r="S29" s="135">
        <f t="shared" si="15"/>
        <v>1.0942728261983614E-2</v>
      </c>
      <c r="T29" s="135">
        <f t="shared" si="15"/>
        <v>1.160847520538355E-2</v>
      </c>
      <c r="U29" s="135">
        <f t="shared" si="15"/>
        <v>1.9219771282263931E-2</v>
      </c>
      <c r="V29" s="160">
        <f>(1+J29)*(1+K29)*(1+L29)*(1+M29)*(1+N29)*(1+O29)*(1+P29)*(1+Q29)*(1+R29)*(1+S29)*(1+T29)*(1+U29)-1</f>
        <v>4.4943101145691111E-2</v>
      </c>
    </row>
    <row r="30" spans="1:22" s="33" customFormat="1" ht="18" customHeight="1" x14ac:dyDescent="0.25">
      <c r="A30" s="118">
        <f t="shared" si="0"/>
        <v>44620</v>
      </c>
      <c r="B30" s="139"/>
      <c r="C30" s="140">
        <v>464.65055701356539</v>
      </c>
      <c r="D30" s="140">
        <v>149.18545908836299</v>
      </c>
      <c r="E30" s="141">
        <v>157.03894066372899</v>
      </c>
      <c r="F30" s="167">
        <f t="shared" si="13"/>
        <v>2.3455176787909648E-2</v>
      </c>
      <c r="G30" s="168">
        <f t="shared" si="12"/>
        <v>2.3446821472000057E-2</v>
      </c>
      <c r="I30" s="134">
        <v>2020</v>
      </c>
      <c r="J30" s="135">
        <f t="shared" si="15"/>
        <v>-4.1216103399949189E-2</v>
      </c>
      <c r="K30" s="135">
        <f t="shared" si="15"/>
        <v>-5.0548113987634591E-2</v>
      </c>
      <c r="L30" s="135">
        <f t="shared" si="15"/>
        <v>-9.857146810502726E-2</v>
      </c>
      <c r="M30" s="135">
        <f t="shared" si="15"/>
        <v>1.812929297694299E-2</v>
      </c>
      <c r="N30" s="135">
        <f t="shared" si="15"/>
        <v>-2.8616585655225624E-3</v>
      </c>
      <c r="O30" s="135">
        <f t="shared" si="15"/>
        <v>2.0839420019480581E-3</v>
      </c>
      <c r="P30" s="135">
        <f t="shared" si="15"/>
        <v>6.7547381990411548E-3</v>
      </c>
      <c r="Q30" s="135">
        <f t="shared" si="15"/>
        <v>-4.40688302590031E-4</v>
      </c>
      <c r="R30" s="135">
        <f t="shared" si="15"/>
        <v>-3.1048851219879436E-2</v>
      </c>
      <c r="S30" s="135">
        <f t="shared" si="15"/>
        <v>2.1247438609957703E-2</v>
      </c>
      <c r="T30" s="135">
        <f t="shared" si="15"/>
        <v>3.9568252523945135E-2</v>
      </c>
      <c r="U30" s="135">
        <f t="shared" si="15"/>
        <v>3.1952549412112008E-2</v>
      </c>
      <c r="V30" s="160">
        <f>(1+J30)*(1+K30)*(1+L30)*(1+M30)*(1+N30)*(1+O30)*(1+P30)*(1+Q30)*(1+R30)*(1+S30)*(1+T30)*(1+U30)-1</f>
        <v>-0.10820446307842058</v>
      </c>
    </row>
    <row r="31" spans="1:22" s="33" customFormat="1" ht="18" customHeight="1" x14ac:dyDescent="0.25">
      <c r="A31" s="118">
        <f t="shared" si="0"/>
        <v>44592</v>
      </c>
      <c r="B31" s="139"/>
      <c r="C31" s="140">
        <v>454.00186305360279</v>
      </c>
      <c r="D31" s="140">
        <v>149.17287386342699</v>
      </c>
      <c r="E31" s="141">
        <v>157.02697486407601</v>
      </c>
      <c r="F31" s="167">
        <f t="shared" si="13"/>
        <v>2.6649452088352676E-2</v>
      </c>
      <c r="G31" s="168">
        <f t="shared" si="12"/>
        <v>3.1768740113018668E-2</v>
      </c>
      <c r="I31" s="134">
        <v>2021</v>
      </c>
      <c r="J31" s="135">
        <f t="shared" si="15"/>
        <v>1.1043877729910889E-2</v>
      </c>
      <c r="K31" s="135">
        <f t="shared" si="15"/>
        <v>3.8136446666409585E-2</v>
      </c>
      <c r="L31" s="135">
        <f t="shared" si="15"/>
        <v>1.8593829209730517E-2</v>
      </c>
      <c r="M31" s="135">
        <f t="shared" si="15"/>
        <v>1.490807627085311E-2</v>
      </c>
      <c r="N31" s="135">
        <f t="shared" si="15"/>
        <v>3.2609100987730955E-2</v>
      </c>
      <c r="O31" s="135">
        <f t="shared" si="15"/>
        <v>-3.1097161506381532E-2</v>
      </c>
      <c r="P31" s="135">
        <f t="shared" si="15"/>
        <v>-1.2617607964745869E-2</v>
      </c>
      <c r="Q31" s="135">
        <f t="shared" si="15"/>
        <v>8.2102282620806211E-3</v>
      </c>
      <c r="R31" s="135">
        <f t="shared" si="15"/>
        <v>9.5843061420097797E-4</v>
      </c>
      <c r="S31" s="135">
        <f t="shared" si="15"/>
        <v>-8.6139719598553599E-3</v>
      </c>
      <c r="T31" s="135">
        <f t="shared" si="15"/>
        <v>-2.0931031012388801E-2</v>
      </c>
      <c r="U31" s="135">
        <f t="shared" si="15"/>
        <v>1.4171403003822913E-2</v>
      </c>
      <c r="V31" s="160">
        <f>(1+J31)*(1+K31)*(1+L31)*(1+M31)*(1+N31)*(1+O31)*(1+P31)*(1+Q31)*(1+R31)*(1+S31)*(1+T31)*(1+U31)-1</f>
        <v>6.4849735878163672E-2</v>
      </c>
    </row>
    <row r="32" spans="1:22" s="33" customFormat="1" ht="18" customHeight="1" x14ac:dyDescent="0.25">
      <c r="A32" s="118">
        <f t="shared" si="0"/>
        <v>44561</v>
      </c>
      <c r="B32" s="139"/>
      <c r="C32" s="140">
        <v>442.21702172060554</v>
      </c>
      <c r="D32" s="140">
        <v>149.90406303319</v>
      </c>
      <c r="E32" s="141">
        <v>157.01372813204301</v>
      </c>
      <c r="F32" s="167">
        <f t="shared" si="13"/>
        <v>1.6995478917918305E-2</v>
      </c>
      <c r="G32" s="168">
        <f t="shared" si="12"/>
        <v>1.4171403003822913E-2</v>
      </c>
      <c r="I32" s="134">
        <v>2022</v>
      </c>
      <c r="J32" s="135">
        <f t="shared" si="15"/>
        <v>3.1768740113018668E-2</v>
      </c>
      <c r="K32" s="135">
        <f t="shared" si="15"/>
        <v>2.3446821472000057E-2</v>
      </c>
      <c r="L32" s="135">
        <f t="shared" si="15"/>
        <v>2.0686563398064628E-4</v>
      </c>
      <c r="M32" s="135">
        <f t="shared" si="15"/>
        <v>2.2176823651349986E-2</v>
      </c>
      <c r="N32" s="135">
        <f t="shared" si="15"/>
        <v>8.1693960826831891E-3</v>
      </c>
      <c r="O32" s="135">
        <f t="shared" si="15"/>
        <v>-1.7142522560187445E-2</v>
      </c>
      <c r="P32" s="135">
        <f t="shared" si="15"/>
        <v>-7.5141063878916281E-3</v>
      </c>
      <c r="Q32" s="135">
        <f t="shared" si="15"/>
        <v>1.3416229624831022E-2</v>
      </c>
      <c r="R32" s="135">
        <f t="shared" si="15"/>
        <v>2.9080082415419817E-2</v>
      </c>
      <c r="S32" s="135">
        <f t="shared" si="15"/>
        <v>6.7401410058978151E-3</v>
      </c>
      <c r="T32" s="135">
        <f t="shared" si="15"/>
        <v>-1.0333413056317298E-2</v>
      </c>
      <c r="U32" s="135">
        <f t="shared" si="15"/>
        <v>1.1021953474522395E-2</v>
      </c>
      <c r="V32" s="160">
        <f t="shared" ref="V32:V34" si="16">(1+J32)*(1+K32)*(1+L32)*(1+M32)*(1+N32)*(1+O32)*(1+P32)*(1+Q32)*(1+R32)*(1+S32)*(1+T32)*(1+U32)-1</f>
        <v>0.11536192261934497</v>
      </c>
    </row>
    <row r="33" spans="1:24" s="33" customFormat="1" ht="18" customHeight="1" x14ac:dyDescent="0.25">
      <c r="A33" s="118">
        <f t="shared" si="0"/>
        <v>44530</v>
      </c>
      <c r="B33" s="139"/>
      <c r="C33" s="140">
        <v>434.82692980220895</v>
      </c>
      <c r="D33" s="140">
        <v>149.49458651291499</v>
      </c>
      <c r="E33" s="141">
        <v>157.02085923436499</v>
      </c>
      <c r="F33" s="167">
        <f t="shared" si="13"/>
        <v>-2.9894434609976428E-2</v>
      </c>
      <c r="G33" s="168">
        <f t="shared" si="12"/>
        <v>-2.0931031012388801E-2</v>
      </c>
      <c r="I33" s="134">
        <v>2023</v>
      </c>
      <c r="J33" s="135">
        <f t="shared" si="15"/>
        <v>-1.1283586485661856E-2</v>
      </c>
      <c r="K33" s="135">
        <f t="shared" si="15"/>
        <v>1.6126505726294704E-2</v>
      </c>
      <c r="L33" s="135">
        <f t="shared" si="15"/>
        <v>-2.7098159160739321E-2</v>
      </c>
      <c r="M33" s="135">
        <f t="shared" si="15"/>
        <v>1.9877446908524332E-2</v>
      </c>
      <c r="N33" s="135">
        <f t="shared" si="15"/>
        <v>-2.3446605119679775E-2</v>
      </c>
      <c r="O33" s="135">
        <f t="shared" si="15"/>
        <v>-7.5557472514871105E-3</v>
      </c>
      <c r="P33" s="135">
        <f t="shared" si="15"/>
        <v>4.6835536830946989E-3</v>
      </c>
      <c r="Q33" s="135">
        <f t="shared" si="15"/>
        <v>1.3728912770944568E-2</v>
      </c>
      <c r="R33" s="135">
        <f t="shared" si="15"/>
        <v>3.5249656113712113E-2</v>
      </c>
      <c r="S33" s="135">
        <f t="shared" si="15"/>
        <v>-7.6730794662625001E-3</v>
      </c>
      <c r="T33" s="135">
        <f t="shared" si="15"/>
        <v>-1.9437140694092525E-2</v>
      </c>
      <c r="U33" s="135">
        <f t="shared" si="15"/>
        <v>-7.7287950462079369E-4</v>
      </c>
      <c r="V33" s="160">
        <f t="shared" si="16"/>
        <v>-9.5574276251447765E-3</v>
      </c>
    </row>
    <row r="34" spans="1:24" s="59" customFormat="1" ht="18" customHeight="1" x14ac:dyDescent="0.25">
      <c r="A34" s="118">
        <f t="shared" si="0"/>
        <v>44500</v>
      </c>
      <c r="B34" s="139"/>
      <c r="C34" s="140">
        <v>448.22640474945638</v>
      </c>
      <c r="D34" s="140">
        <v>150.894470062495</v>
      </c>
      <c r="E34" s="141">
        <v>157.040228102828</v>
      </c>
      <c r="F34" s="167">
        <f t="shared" si="13"/>
        <v>-6.7603648832998964E-3</v>
      </c>
      <c r="G34" s="168">
        <f t="shared" si="12"/>
        <v>-8.6139719598553599E-3</v>
      </c>
      <c r="I34" s="134">
        <v>2024</v>
      </c>
      <c r="J34" s="135">
        <f>INDEX($G$1:$G$343,ROW($A$343)-(ROW(J34)-ROW(J$6))*12-J$4)</f>
        <v>7.7908099706314182E-3</v>
      </c>
      <c r="K34" s="196">
        <f>INDEX($G$1:$G$343,ROW($A$343)-(ROW(K34)-ROW(K$6))*12-K$4)</f>
        <v>-1.0563238928458007E-2</v>
      </c>
      <c r="L34" s="196">
        <f>INDEX($G$1:$G$343,ROW($A$343)-(ROW(L34)-ROW(L$6))*12-L$4)</f>
        <v>1.4903638566499566E-2</v>
      </c>
      <c r="M34" s="196">
        <f>INDEX($G$1:$G$343,ROW($A$343)-(ROW(M34)-ROW(M$6))*12-M$4)</f>
        <v>2.4227037327732681E-2</v>
      </c>
      <c r="N34" s="135"/>
      <c r="O34" s="135"/>
      <c r="P34" s="135"/>
      <c r="Q34" s="135"/>
      <c r="R34" s="135"/>
      <c r="S34" s="135"/>
      <c r="T34" s="135"/>
      <c r="U34" s="135"/>
      <c r="V34" s="160">
        <f t="shared" si="16"/>
        <v>3.6524283674208124E-2</v>
      </c>
    </row>
    <row r="35" spans="1:24" s="33" customFormat="1" ht="18" customHeight="1" x14ac:dyDescent="0.2">
      <c r="A35" s="118">
        <f t="shared" si="0"/>
        <v>44469</v>
      </c>
      <c r="B35" s="139"/>
      <c r="C35" s="140">
        <v>451.27720330732905</v>
      </c>
      <c r="D35" s="140">
        <v>150.62699404074399</v>
      </c>
      <c r="E35" s="141">
        <v>157.054957732242</v>
      </c>
      <c r="F35" s="167">
        <f t="shared" si="13"/>
        <v>-8.3749487163621295E-3</v>
      </c>
      <c r="G35" s="168">
        <f t="shared" si="12"/>
        <v>9.5843061420097797E-4</v>
      </c>
      <c r="I35" s="178"/>
      <c r="J35" s="21"/>
      <c r="K35" s="21"/>
      <c r="L35" s="21"/>
      <c r="M35" s="21"/>
      <c r="N35" s="21"/>
      <c r="O35" s="21"/>
      <c r="P35" s="21"/>
      <c r="Q35" s="21"/>
      <c r="R35" s="179" t="s">
        <v>39</v>
      </c>
      <c r="S35" s="180">
        <v>35064</v>
      </c>
      <c r="T35" s="179"/>
      <c r="U35" s="179"/>
      <c r="V35" s="181">
        <f>(1+V6)*(1+V7)*(1+V8)*(1+V9)*(1+V10)*(1+V11)*(1+V12)*(1+V13)*(1+V14)*(1+V15)*(1+V16)*(1+V17)*(1+V18)*(1+V19)*(1+V20)*(1+V21)*(1+V22)*(1+V23)*(1+V24)*(1+V25)*(1+V26)*(1+V27)*(1+V28)*(1+V29)*(1+V30)*(1+V31)*(1+V32)*(1+V33)*(1+V34)-1</f>
        <v>4.3037649794450399</v>
      </c>
      <c r="W35" s="59"/>
    </row>
    <row r="36" spans="1:24" s="33" customFormat="1" ht="18" customHeight="1" x14ac:dyDescent="0.2">
      <c r="A36" s="118">
        <f t="shared" si="0"/>
        <v>44439</v>
      </c>
      <c r="B36" s="139"/>
      <c r="C36" s="140">
        <v>455.08854654605602</v>
      </c>
      <c r="D36" s="140">
        <v>152.06117020585401</v>
      </c>
      <c r="E36" s="141">
        <v>157.071943452939</v>
      </c>
      <c r="F36" s="167">
        <f t="shared" si="13"/>
        <v>5.584121445663337E-3</v>
      </c>
      <c r="G36" s="168">
        <f t="shared" si="12"/>
        <v>8.2102282620806211E-3</v>
      </c>
      <c r="I36" s="178"/>
      <c r="J36" s="21"/>
      <c r="K36" s="21"/>
      <c r="L36" s="21"/>
      <c r="M36" s="21"/>
      <c r="N36" s="21"/>
      <c r="O36" s="21"/>
      <c r="P36" s="21"/>
      <c r="Q36" s="21"/>
      <c r="R36" s="179" t="s">
        <v>40</v>
      </c>
      <c r="S36" s="180">
        <f>A$7</f>
        <v>45322</v>
      </c>
      <c r="T36" s="179"/>
      <c r="U36" s="182" t="s">
        <v>42</v>
      </c>
      <c r="V36" s="192">
        <f>(1+V35)^(1/S37)-1</f>
        <v>6.1206265694499828E-2</v>
      </c>
      <c r="W36" s="59"/>
    </row>
    <row r="37" spans="1:24" s="33" customFormat="1" ht="18" customHeight="1" thickBot="1" x14ac:dyDescent="0.25">
      <c r="A37" s="118">
        <f t="shared" si="0"/>
        <v>44408</v>
      </c>
      <c r="B37" s="139"/>
      <c r="C37" s="140">
        <v>452.56138878943773</v>
      </c>
      <c r="D37" s="140">
        <v>152.47365565127899</v>
      </c>
      <c r="E37" s="141">
        <v>157.08778278838099</v>
      </c>
      <c r="F37" s="167">
        <f t="shared" si="13"/>
        <v>-2.1802226990942253E-2</v>
      </c>
      <c r="G37" s="168">
        <f t="shared" si="12"/>
        <v>-1.2617607964745869E-2</v>
      </c>
      <c r="I37" s="183"/>
      <c r="J37" s="184"/>
      <c r="K37" s="184"/>
      <c r="L37" s="184"/>
      <c r="M37" s="184"/>
      <c r="N37" s="184"/>
      <c r="O37" s="184"/>
      <c r="P37" s="184"/>
      <c r="Q37" s="184"/>
      <c r="R37" s="185" t="s">
        <v>41</v>
      </c>
      <c r="S37" s="186">
        <f>(S36-S35)/365.25</f>
        <v>28.084873374401095</v>
      </c>
      <c r="T37" s="185"/>
      <c r="U37" s="187"/>
      <c r="V37" s="188"/>
      <c r="W37" s="59"/>
    </row>
    <row r="38" spans="1:24" s="33" customFormat="1" ht="18" customHeight="1" thickBot="1" x14ac:dyDescent="0.25">
      <c r="A38" s="118">
        <f t="shared" si="0"/>
        <v>44377</v>
      </c>
      <c r="B38" s="119"/>
      <c r="C38" s="120">
        <v>462.64814874532249</v>
      </c>
      <c r="D38" s="120">
        <v>153.92129752473301</v>
      </c>
      <c r="E38" s="121">
        <v>157.10413080965299</v>
      </c>
      <c r="F38" s="122">
        <f t="shared" si="13"/>
        <v>-3.4686882506037686E-2</v>
      </c>
      <c r="G38" s="123">
        <f t="shared" si="12"/>
        <v>-3.1097161506381532E-2</v>
      </c>
      <c r="I38"/>
      <c r="J38"/>
      <c r="K38"/>
      <c r="L38"/>
      <c r="M38"/>
      <c r="N38"/>
      <c r="O38"/>
      <c r="P38"/>
      <c r="Q38"/>
      <c r="R38"/>
      <c r="S38"/>
      <c r="T38"/>
      <c r="U38" s="51"/>
      <c r="V38" s="51"/>
      <c r="W38" s="59"/>
    </row>
    <row r="39" spans="1:24" s="33" customFormat="1" ht="18" customHeight="1" x14ac:dyDescent="0.35">
      <c r="A39" s="118">
        <f t="shared" si="0"/>
        <v>44347</v>
      </c>
      <c r="B39" s="139"/>
      <c r="C39" s="140">
        <v>479.27262186843348</v>
      </c>
      <c r="D39" s="140">
        <v>154.50729999999999</v>
      </c>
      <c r="E39" s="141">
        <v>157.11797440980899</v>
      </c>
      <c r="F39" s="167">
        <f t="shared" si="13"/>
        <v>4.094283512658925E-2</v>
      </c>
      <c r="G39" s="168">
        <f t="shared" si="12"/>
        <v>3.2609100987730955E-2</v>
      </c>
      <c r="I39" s="215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7"/>
    </row>
    <row r="40" spans="1:24" s="33" customFormat="1" ht="18" customHeight="1" x14ac:dyDescent="0.35">
      <c r="A40" s="118">
        <f t="shared" si="0"/>
        <v>44316</v>
      </c>
      <c r="B40" s="139"/>
      <c r="C40" s="140">
        <v>460.42165399999999</v>
      </c>
      <c r="D40" s="140">
        <v>153.285920169901</v>
      </c>
      <c r="E40" s="141">
        <v>157.13396353537101</v>
      </c>
      <c r="F40" s="167">
        <f t="shared" si="13"/>
        <v>2.5293741426869021E-2</v>
      </c>
      <c r="G40" s="168">
        <f t="shared" si="12"/>
        <v>1.490807627085311E-2</v>
      </c>
      <c r="I40" s="212" t="s">
        <v>30</v>
      </c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4"/>
    </row>
    <row r="41" spans="1:24" s="33" customFormat="1" ht="18" customHeight="1" x14ac:dyDescent="0.35">
      <c r="A41" s="118">
        <f t="shared" si="0"/>
        <v>44286</v>
      </c>
      <c r="B41" s="139"/>
      <c r="C41" s="140">
        <v>449.06316638512362</v>
      </c>
      <c r="D41" s="140">
        <v>151.74779011488701</v>
      </c>
      <c r="E41" s="141">
        <v>157.14905475284399</v>
      </c>
      <c r="F41" s="167">
        <f t="shared" si="13"/>
        <v>5.000018620374691E-3</v>
      </c>
      <c r="G41" s="168">
        <f t="shared" si="12"/>
        <v>1.8593829209730517E-2</v>
      </c>
      <c r="I41" s="212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4"/>
      <c r="W41" s="145"/>
    </row>
    <row r="42" spans="1:24" s="51" customFormat="1" ht="18" customHeight="1" thickBot="1" x14ac:dyDescent="0.4">
      <c r="A42" s="118">
        <f t="shared" si="0"/>
        <v>44255</v>
      </c>
      <c r="B42" s="139"/>
      <c r="C42" s="140">
        <v>446.82901299999997</v>
      </c>
      <c r="D42" s="140">
        <v>153.81573208891899</v>
      </c>
      <c r="E42" s="141">
        <v>157.16476362932201</v>
      </c>
      <c r="F42" s="167">
        <f t="shared" si="13"/>
        <v>3.5980344697314148E-2</v>
      </c>
      <c r="G42" s="168">
        <f t="shared" si="12"/>
        <v>3.8136446666409585E-2</v>
      </c>
      <c r="I42" s="212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4"/>
      <c r="W42" s="33"/>
    </row>
    <row r="43" spans="1:24" s="51" customFormat="1" ht="18" customHeight="1" x14ac:dyDescent="0.25">
      <c r="A43" s="118">
        <f t="shared" si="0"/>
        <v>44227</v>
      </c>
      <c r="B43" s="139"/>
      <c r="C43" s="140">
        <v>431.31031904910469</v>
      </c>
      <c r="D43" s="140">
        <v>154.148480303772</v>
      </c>
      <c r="E43" s="141">
        <v>157.17763569395001</v>
      </c>
      <c r="F43" s="167">
        <f t="shared" si="13"/>
        <v>7.5631386573542514E-3</v>
      </c>
      <c r="G43" s="168">
        <f t="shared" si="12"/>
        <v>1.1043877729910889E-2</v>
      </c>
      <c r="I43" s="133"/>
      <c r="J43" s="157">
        <v>0</v>
      </c>
      <c r="K43" s="157">
        <v>1</v>
      </c>
      <c r="L43" s="157">
        <v>2</v>
      </c>
      <c r="M43" s="157">
        <v>3</v>
      </c>
      <c r="N43" s="157">
        <v>4</v>
      </c>
      <c r="O43" s="157">
        <v>5</v>
      </c>
      <c r="P43" s="157">
        <v>6</v>
      </c>
      <c r="Q43" s="157">
        <v>7</v>
      </c>
      <c r="R43" s="157">
        <v>8</v>
      </c>
      <c r="S43" s="157">
        <v>9</v>
      </c>
      <c r="T43" s="157">
        <v>10</v>
      </c>
      <c r="U43" s="157">
        <v>11</v>
      </c>
      <c r="V43" s="158"/>
      <c r="W43" s="33"/>
    </row>
    <row r="44" spans="1:24" s="51" customFormat="1" ht="18" customHeight="1" x14ac:dyDescent="0.25">
      <c r="A44" s="118">
        <f t="shared" si="0"/>
        <v>44196</v>
      </c>
      <c r="B44" s="139"/>
      <c r="C44" s="140">
        <v>428.07274551930789</v>
      </c>
      <c r="D44" s="140">
        <v>154.695632495914</v>
      </c>
      <c r="E44" s="141">
        <v>157.19250091503099</v>
      </c>
      <c r="F44" s="167">
        <f t="shared" si="13"/>
        <v>4.4971950530060534E-2</v>
      </c>
      <c r="G44" s="168">
        <f t="shared" si="12"/>
        <v>3.1952549412112008E-2</v>
      </c>
      <c r="I44" s="176"/>
      <c r="J44" s="175" t="s">
        <v>17</v>
      </c>
      <c r="K44" s="175" t="s">
        <v>18</v>
      </c>
      <c r="L44" s="175" t="s">
        <v>19</v>
      </c>
      <c r="M44" s="175" t="s">
        <v>20</v>
      </c>
      <c r="N44" s="175" t="s">
        <v>21</v>
      </c>
      <c r="O44" s="175" t="s">
        <v>22</v>
      </c>
      <c r="P44" s="175" t="s">
        <v>23</v>
      </c>
      <c r="Q44" s="175" t="s">
        <v>24</v>
      </c>
      <c r="R44" s="175" t="s">
        <v>25</v>
      </c>
      <c r="S44" s="175" t="s">
        <v>26</v>
      </c>
      <c r="T44" s="175" t="s">
        <v>27</v>
      </c>
      <c r="U44" s="175" t="s">
        <v>28</v>
      </c>
      <c r="V44" s="177" t="s">
        <v>29</v>
      </c>
      <c r="W44" s="33"/>
    </row>
    <row r="45" spans="1:24" s="51" customFormat="1" ht="18" customHeight="1" x14ac:dyDescent="0.25">
      <c r="A45" s="118">
        <f t="shared" si="0"/>
        <v>44165</v>
      </c>
      <c r="B45" s="139"/>
      <c r="C45" s="140">
        <v>409.64998658783958</v>
      </c>
      <c r="D45" s="140">
        <v>152.78788402647999</v>
      </c>
      <c r="E45" s="141">
        <v>157.21268764349099</v>
      </c>
      <c r="F45" s="167">
        <f t="shared" si="13"/>
        <v>4.9546747432812399E-2</v>
      </c>
      <c r="G45" s="168">
        <f t="shared" si="12"/>
        <v>3.9568252523945135E-2</v>
      </c>
      <c r="I45" s="134">
        <v>1996</v>
      </c>
      <c r="J45" s="135">
        <f t="shared" ref="J45:U54" si="17">INDEX($F$1:$F$343,ROW($A$343)-(ROW(J45)-ROW(J$45))*12-J$43)</f>
        <v>-6.0609999999999831E-3</v>
      </c>
      <c r="K45" s="135">
        <f t="shared" si="17"/>
        <v>4.4882029983730476E-3</v>
      </c>
      <c r="L45" s="135">
        <f t="shared" si="17"/>
        <v>-5.0280448717949788E-3</v>
      </c>
      <c r="M45" s="135">
        <f t="shared" si="17"/>
        <v>2.0929553645130827E-2</v>
      </c>
      <c r="N45" s="135">
        <f t="shared" si="17"/>
        <v>-1.7903292442793206E-2</v>
      </c>
      <c r="O45" s="135">
        <f t="shared" si="17"/>
        <v>-2.1485641768081987E-4</v>
      </c>
      <c r="P45" s="135">
        <f t="shared" si="17"/>
        <v>4.2990560353484142E-3</v>
      </c>
      <c r="Q45" s="135">
        <f t="shared" si="17"/>
        <v>-1.0878118872371334E-2</v>
      </c>
      <c r="R45" s="135">
        <f t="shared" si="17"/>
        <v>-1.2561640595146306E-2</v>
      </c>
      <c r="S45" s="135">
        <f t="shared" si="17"/>
        <v>2.6915075718485504E-3</v>
      </c>
      <c r="T45" s="135">
        <f t="shared" si="17"/>
        <v>4.7904595136843309E-2</v>
      </c>
      <c r="U45" s="135">
        <f t="shared" si="17"/>
        <v>-8.4495816619134523E-3</v>
      </c>
      <c r="V45" s="160">
        <f>(1+J45)*(1+K45)*(1+L45)*(1+M45)*(1+N45)*(1+O45)*(1+P45)*(1+Q45)*(1+R45)*(1+S45)*(1+T45)*(1+U45)-1</f>
        <v>1.7651000000000083E-2</v>
      </c>
      <c r="W45" s="33"/>
    </row>
    <row r="46" spans="1:24" s="51" customFormat="1" ht="18" customHeight="1" x14ac:dyDescent="0.25">
      <c r="A46" s="118">
        <f t="shared" si="0"/>
        <v>44135</v>
      </c>
      <c r="B46" s="139"/>
      <c r="C46" s="140">
        <v>390.31132971431907</v>
      </c>
      <c r="D46" s="140">
        <v>151.34938680599601</v>
      </c>
      <c r="E46" s="141">
        <v>157.22735943219899</v>
      </c>
      <c r="F46" s="167">
        <f t="shared" si="13"/>
        <v>2.3509466714979554E-2</v>
      </c>
      <c r="G46" s="168">
        <f t="shared" si="12"/>
        <v>2.1247438609957703E-2</v>
      </c>
      <c r="I46" s="134">
        <v>1997</v>
      </c>
      <c r="J46" s="135">
        <f t="shared" si="17"/>
        <v>1.1866543638241467E-2</v>
      </c>
      <c r="K46" s="135">
        <f t="shared" si="17"/>
        <v>3.4863609480950686E-4</v>
      </c>
      <c r="L46" s="135">
        <f t="shared" si="17"/>
        <v>3.1473100304246771E-3</v>
      </c>
      <c r="M46" s="135">
        <f t="shared" si="17"/>
        <v>5.8645463976580992E-4</v>
      </c>
      <c r="N46" s="135">
        <f t="shared" si="17"/>
        <v>1.4051187019674227E-2</v>
      </c>
      <c r="O46" s="135">
        <f t="shared" si="17"/>
        <v>1.10600098048379E-2</v>
      </c>
      <c r="P46" s="135">
        <f t="shared" si="17"/>
        <v>8.8127253414436169E-3</v>
      </c>
      <c r="Q46" s="135">
        <f t="shared" si="17"/>
        <v>2.4121002431269911E-2</v>
      </c>
      <c r="R46" s="135">
        <f t="shared" si="17"/>
        <v>-3.2249051538767004E-2</v>
      </c>
      <c r="S46" s="135">
        <f t="shared" si="17"/>
        <v>1.6532122625665613E-2</v>
      </c>
      <c r="T46" s="135">
        <f t="shared" si="17"/>
        <v>-5.275673428018246E-2</v>
      </c>
      <c r="U46" s="135">
        <f t="shared" si="17"/>
        <v>-3.4253810170514543E-2</v>
      </c>
      <c r="V46" s="160">
        <f t="shared" ref="V46:V56" si="18">(1+J46)*(1+K46)*(1+L46)*(1+M46)*(1+N46)*(1+O46)*(1+P46)*(1+Q46)*(1+R46)*(1+S46)*(1+T46)*(1+U46)-1</f>
        <v>-3.1495080336972459E-2</v>
      </c>
      <c r="W46" s="33"/>
    </row>
    <row r="47" spans="1:24" s="51" customFormat="1" ht="18" customHeight="1" x14ac:dyDescent="0.25">
      <c r="A47" s="118">
        <f t="shared" si="0"/>
        <v>44104</v>
      </c>
      <c r="B47" s="139"/>
      <c r="C47" s="140">
        <v>381.34608658486451</v>
      </c>
      <c r="D47" s="140">
        <v>151.02795340682999</v>
      </c>
      <c r="E47" s="141">
        <v>157.240956091556</v>
      </c>
      <c r="F47" s="167">
        <f t="shared" si="13"/>
        <v>-3.5633452533288756E-2</v>
      </c>
      <c r="G47" s="168">
        <f t="shared" si="12"/>
        <v>-3.1048851219879436E-2</v>
      </c>
      <c r="I47" s="134">
        <v>1998</v>
      </c>
      <c r="J47" s="135">
        <f t="shared" si="17"/>
        <v>3.2568993506493449E-2</v>
      </c>
      <c r="K47" s="135">
        <f t="shared" si="17"/>
        <v>9.5312960597424556E-3</v>
      </c>
      <c r="L47" s="135">
        <f t="shared" si="17"/>
        <v>8.565310492505418E-3</v>
      </c>
      <c r="M47" s="135">
        <f t="shared" si="17"/>
        <v>5.0569388149005912E-2</v>
      </c>
      <c r="N47" s="135">
        <f t="shared" si="17"/>
        <v>-1.5891971339334954E-2</v>
      </c>
      <c r="O47" s="135">
        <f t="shared" si="17"/>
        <v>-4.3311864090357477E-2</v>
      </c>
      <c r="P47" s="135">
        <f t="shared" si="17"/>
        <v>-9.9521904576055364E-3</v>
      </c>
      <c r="Q47" s="135">
        <f t="shared" si="17"/>
        <v>-3.4492953582339614E-2</v>
      </c>
      <c r="R47" s="135">
        <f t="shared" si="17"/>
        <v>4.899459018066743E-2</v>
      </c>
      <c r="S47" s="135">
        <f t="shared" si="17"/>
        <v>5.4685219422010434E-2</v>
      </c>
      <c r="T47" s="135">
        <f t="shared" si="17"/>
        <v>5.7551434634191434E-2</v>
      </c>
      <c r="U47" s="135">
        <f t="shared" si="17"/>
        <v>1.502250758976853E-2</v>
      </c>
      <c r="V47" s="160">
        <f>(1+J47)*(1+K47)*(1+L47)*(1+M47)*(1+N47)*(1+O47)*(1+P47)*(1+Q47)*(1+R47)*(1+S47)*(1+T47)*(1+U47)-1</f>
        <v>0.18049918831168776</v>
      </c>
      <c r="X47" s="150"/>
    </row>
    <row r="48" spans="1:24" s="51" customFormat="1" ht="18" customHeight="1" x14ac:dyDescent="0.25">
      <c r="A48" s="118">
        <f t="shared" si="0"/>
        <v>44074</v>
      </c>
      <c r="B48" s="139"/>
      <c r="C48" s="140">
        <v>395.43686743035653</v>
      </c>
      <c r="D48" s="140">
        <v>151.759054722728</v>
      </c>
      <c r="E48" s="141">
        <v>157.25454497004199</v>
      </c>
      <c r="F48" s="167">
        <f t="shared" si="13"/>
        <v>2.1859124807399599E-3</v>
      </c>
      <c r="G48" s="168">
        <f t="shared" si="12"/>
        <v>-4.40688302590031E-4</v>
      </c>
      <c r="I48" s="134">
        <v>1999</v>
      </c>
      <c r="J48" s="135">
        <f t="shared" si="17"/>
        <v>1.1173184357541999E-2</v>
      </c>
      <c r="K48" s="135">
        <f t="shared" si="17"/>
        <v>-6.6298342541436517E-3</v>
      </c>
      <c r="L48" s="135">
        <f t="shared" si="17"/>
        <v>2.6182938307521164E-2</v>
      </c>
      <c r="M48" s="135">
        <f t="shared" si="17"/>
        <v>3.4686900692070255E-2</v>
      </c>
      <c r="N48" s="135">
        <f t="shared" si="17"/>
        <v>3.1831735031025765E-2</v>
      </c>
      <c r="O48" s="135">
        <f t="shared" si="17"/>
        <v>4.4283036551078014E-2</v>
      </c>
      <c r="P48" s="135">
        <f t="shared" si="17"/>
        <v>4.3033430558671704E-2</v>
      </c>
      <c r="Q48" s="135">
        <f t="shared" si="17"/>
        <v>-1.3028451786841089E-2</v>
      </c>
      <c r="R48" s="135">
        <f t="shared" si="17"/>
        <v>3.1987620507530234E-2</v>
      </c>
      <c r="S48" s="135">
        <f t="shared" si="17"/>
        <v>-3.5715593101020904E-2</v>
      </c>
      <c r="T48" s="135">
        <f t="shared" si="17"/>
        <v>-5.2139562523817906E-2</v>
      </c>
      <c r="U48" s="135">
        <f t="shared" si="17"/>
        <v>-4.3951270346063165E-2</v>
      </c>
      <c r="V48" s="160">
        <f t="shared" si="18"/>
        <v>6.6852599914052124E-2</v>
      </c>
    </row>
    <row r="49" spans="1:23" s="51" customFormat="1" ht="18" customHeight="1" x14ac:dyDescent="0.25">
      <c r="A49" s="118">
        <f t="shared" si="0"/>
        <v>44043</v>
      </c>
      <c r="B49" s="139"/>
      <c r="C49" s="140">
        <v>394.5743624069911</v>
      </c>
      <c r="D49" s="140">
        <v>151.37093058541799</v>
      </c>
      <c r="E49" s="141">
        <v>157.26453628982901</v>
      </c>
      <c r="F49" s="167">
        <f t="shared" si="13"/>
        <v>2.818231789375969E-2</v>
      </c>
      <c r="G49" s="168">
        <f t="shared" si="12"/>
        <v>6.7547381990411548E-3</v>
      </c>
      <c r="I49" s="134">
        <v>2000</v>
      </c>
      <c r="J49" s="135">
        <f t="shared" si="17"/>
        <v>3.0756080603697944E-2</v>
      </c>
      <c r="K49" s="135">
        <f t="shared" si="17"/>
        <v>-5.3552279868069319E-2</v>
      </c>
      <c r="L49" s="135">
        <f t="shared" si="17"/>
        <v>1.8679672519410495E-3</v>
      </c>
      <c r="M49" s="135">
        <f t="shared" si="17"/>
        <v>5.6541191753406661E-2</v>
      </c>
      <c r="N49" s="135">
        <f t="shared" si="17"/>
        <v>5.2348260259010626E-2</v>
      </c>
      <c r="O49" s="135">
        <f t="shared" si="17"/>
        <v>5.3747497961301738E-2</v>
      </c>
      <c r="P49" s="135">
        <f t="shared" si="17"/>
        <v>-8.3016744055155467E-3</v>
      </c>
      <c r="Q49" s="135">
        <f t="shared" si="17"/>
        <v>-3.9585698070374709E-2</v>
      </c>
      <c r="R49" s="135">
        <f t="shared" si="17"/>
        <v>3.7080809573053708E-2</v>
      </c>
      <c r="S49" s="135">
        <f t="shared" si="17"/>
        <v>-8.4757834757834827E-3</v>
      </c>
      <c r="T49" s="135">
        <f t="shared" si="17"/>
        <v>8.02384886143237E-2</v>
      </c>
      <c r="U49" s="135">
        <f t="shared" si="17"/>
        <v>5.6323979252560274E-2</v>
      </c>
      <c r="V49" s="160">
        <f t="shared" si="18"/>
        <v>0.27972428527579929</v>
      </c>
    </row>
    <row r="50" spans="1:23" s="43" customFormat="1" ht="18" customHeight="1" x14ac:dyDescent="0.25">
      <c r="A50" s="118">
        <f t="shared" si="0"/>
        <v>44012</v>
      </c>
      <c r="B50" s="139"/>
      <c r="C50" s="140">
        <v>383.75914031986082</v>
      </c>
      <c r="D50" s="140">
        <v>148.22683403424099</v>
      </c>
      <c r="E50" s="141">
        <v>157.27568996428101</v>
      </c>
      <c r="F50" s="167">
        <f t="shared" si="13"/>
        <v>1.2670876677454812E-2</v>
      </c>
      <c r="G50" s="168">
        <f t="shared" si="12"/>
        <v>2.0839420019480581E-3</v>
      </c>
      <c r="H50" s="32"/>
      <c r="I50" s="134">
        <v>2001</v>
      </c>
      <c r="J50" s="135">
        <f t="shared" si="17"/>
        <v>2.7610953729933829E-2</v>
      </c>
      <c r="K50" s="135">
        <f t="shared" si="17"/>
        <v>4.3268641721189161E-2</v>
      </c>
      <c r="L50" s="135">
        <f t="shared" si="17"/>
        <v>-2.9254428974920588E-2</v>
      </c>
      <c r="M50" s="135">
        <f t="shared" si="17"/>
        <v>1.9532171525009412E-2</v>
      </c>
      <c r="N50" s="135">
        <f t="shared" si="17"/>
        <v>3.6073238166436372E-3</v>
      </c>
      <c r="O50" s="135">
        <f t="shared" si="17"/>
        <v>6.8487886777728324E-3</v>
      </c>
      <c r="P50" s="135">
        <f t="shared" si="17"/>
        <v>2.6838899082568757E-2</v>
      </c>
      <c r="Q50" s="135">
        <f t="shared" si="17"/>
        <v>5.0787524266154405E-2</v>
      </c>
      <c r="R50" s="135">
        <f t="shared" si="17"/>
        <v>-1.9673997390150633E-2</v>
      </c>
      <c r="S50" s="135">
        <f t="shared" si="17"/>
        <v>5.0513461004717541E-3</v>
      </c>
      <c r="T50" s="135">
        <f t="shared" si="17"/>
        <v>-1.4525571633712597E-2</v>
      </c>
      <c r="U50" s="135">
        <f t="shared" si="17"/>
        <v>1.524407330605837E-2</v>
      </c>
      <c r="V50" s="160">
        <f t="shared" si="18"/>
        <v>0.1403840100723952</v>
      </c>
      <c r="W50" s="51"/>
    </row>
    <row r="51" spans="1:23" ht="18" customHeight="1" x14ac:dyDescent="0.25">
      <c r="A51" s="118">
        <f t="shared" si="0"/>
        <v>43982</v>
      </c>
      <c r="B51" s="139"/>
      <c r="C51" s="140">
        <v>378.95741761525125</v>
      </c>
      <c r="D51" s="140">
        <v>146.68058797730799</v>
      </c>
      <c r="E51" s="141">
        <v>157.27932121540701</v>
      </c>
      <c r="F51" s="167">
        <f t="shared" si="13"/>
        <v>-2.8545676598829006E-3</v>
      </c>
      <c r="G51" s="168">
        <f t="shared" si="12"/>
        <v>-2.8616585655225624E-3</v>
      </c>
      <c r="I51" s="134">
        <v>2002</v>
      </c>
      <c r="J51" s="135">
        <f t="shared" si="17"/>
        <v>6.3521943141042758E-3</v>
      </c>
      <c r="K51" s="135">
        <f t="shared" si="17"/>
        <v>2.6490847264985851E-2</v>
      </c>
      <c r="L51" s="135">
        <f t="shared" si="17"/>
        <v>2.1749585849409447E-2</v>
      </c>
      <c r="M51" s="135">
        <f t="shared" si="17"/>
        <v>4.1684100418410086E-2</v>
      </c>
      <c r="N51" s="135">
        <f t="shared" si="17"/>
        <v>4.9857408244213586E-2</v>
      </c>
      <c r="O51" s="135">
        <f t="shared" si="17"/>
        <v>1.467861564867734E-2</v>
      </c>
      <c r="P51" s="135">
        <f t="shared" si="17"/>
        <v>-1.6347314928542911E-2</v>
      </c>
      <c r="Q51" s="135">
        <f t="shared" si="17"/>
        <v>1.3219869574175647E-2</v>
      </c>
      <c r="R51" s="135">
        <f t="shared" si="17"/>
        <v>-4.7763170339545358E-3</v>
      </c>
      <c r="S51" s="135">
        <f t="shared" si="17"/>
        <v>-2.1857923497267118E-3</v>
      </c>
      <c r="T51" s="135">
        <f t="shared" si="17"/>
        <v>1.2095814086384937E-2</v>
      </c>
      <c r="U51" s="135">
        <f t="shared" si="17"/>
        <v>3.5006822566225893E-2</v>
      </c>
      <c r="V51" s="160">
        <f t="shared" si="18"/>
        <v>0.21429754347226071</v>
      </c>
      <c r="W51" s="51"/>
    </row>
    <row r="52" spans="1:23" ht="18" customHeight="1" x14ac:dyDescent="0.25">
      <c r="A52" s="118">
        <f t="shared" si="0"/>
        <v>43951</v>
      </c>
      <c r="B52" s="139"/>
      <c r="C52" s="140">
        <v>380.04227400000002</v>
      </c>
      <c r="D52" s="140">
        <v>146.681519724124</v>
      </c>
      <c r="E52" s="141">
        <v>157.28143874823101</v>
      </c>
      <c r="F52" s="167">
        <f t="shared" si="13"/>
        <v>3.3177955822341065E-2</v>
      </c>
      <c r="G52" s="168">
        <f t="shared" si="12"/>
        <v>1.812929297694299E-2</v>
      </c>
      <c r="I52" s="134">
        <v>2003</v>
      </c>
      <c r="J52" s="135">
        <f t="shared" si="17"/>
        <v>1.4868845751693449E-2</v>
      </c>
      <c r="K52" s="135">
        <f t="shared" si="17"/>
        <v>-9.0395702934097377E-3</v>
      </c>
      <c r="L52" s="135">
        <f t="shared" si="17"/>
        <v>4.5985335139657746E-3</v>
      </c>
      <c r="M52" s="135">
        <f t="shared" si="17"/>
        <v>3.1182505399568017E-2</v>
      </c>
      <c r="N52" s="135">
        <f t="shared" si="17"/>
        <v>4.0755770825151583E-2</v>
      </c>
      <c r="O52" s="135">
        <f t="shared" si="17"/>
        <v>3.7314997274748851E-3</v>
      </c>
      <c r="P52" s="135">
        <f t="shared" si="17"/>
        <v>-2.1720969089390474E-3</v>
      </c>
      <c r="Q52" s="135">
        <f t="shared" si="17"/>
        <v>1.8251841929002088E-2</v>
      </c>
      <c r="R52" s="135">
        <f t="shared" si="17"/>
        <v>4.6003946719289646E-2</v>
      </c>
      <c r="S52" s="135">
        <f t="shared" si="17"/>
        <v>1.8079628974570383E-2</v>
      </c>
      <c r="T52" s="135">
        <f t="shared" si="17"/>
        <v>8.9564915260782474E-3</v>
      </c>
      <c r="U52" s="135">
        <f t="shared" si="17"/>
        <v>4.2280466806963624E-2</v>
      </c>
      <c r="V52" s="160">
        <f t="shared" si="18"/>
        <v>0.23835068418420713</v>
      </c>
      <c r="W52" s="51"/>
    </row>
    <row r="53" spans="1:23" ht="18" customHeight="1" x14ac:dyDescent="0.25">
      <c r="A53" s="118">
        <f t="shared" si="0"/>
        <v>43921</v>
      </c>
      <c r="B53" s="139"/>
      <c r="C53" s="140">
        <v>367.83815591333592</v>
      </c>
      <c r="D53" s="140">
        <v>144.54168569501201</v>
      </c>
      <c r="E53" s="141">
        <v>157.27778570456101</v>
      </c>
      <c r="F53" s="167">
        <f t="shared" si="13"/>
        <v>-0.11244012678172299</v>
      </c>
      <c r="G53" s="168">
        <f t="shared" si="12"/>
        <v>-9.857146810502726E-2</v>
      </c>
      <c r="I53" s="134">
        <v>2004</v>
      </c>
      <c r="J53" s="135">
        <f t="shared" si="17"/>
        <v>5.2584654919236584E-3</v>
      </c>
      <c r="K53" s="135">
        <f t="shared" si="17"/>
        <v>1.1498215444960991E-2</v>
      </c>
      <c r="L53" s="135">
        <f t="shared" si="17"/>
        <v>2.4258018573765527E-2</v>
      </c>
      <c r="M53" s="135">
        <f t="shared" si="17"/>
        <v>-1.7553753965456331E-2</v>
      </c>
      <c r="N53" s="135">
        <f t="shared" si="17"/>
        <v>-7.6061997703789075E-3</v>
      </c>
      <c r="O53" s="135">
        <f t="shared" si="17"/>
        <v>1.5545914678234407E-3</v>
      </c>
      <c r="P53" s="135">
        <f t="shared" si="17"/>
        <v>-1.0865249250983644E-2</v>
      </c>
      <c r="Q53" s="135">
        <f t="shared" si="17"/>
        <v>1.5400335741916793E-2</v>
      </c>
      <c r="R53" s="135">
        <f t="shared" si="17"/>
        <v>1.9874928119608892E-2</v>
      </c>
      <c r="S53" s="135">
        <f t="shared" si="17"/>
        <v>1.9734291856080777E-2</v>
      </c>
      <c r="T53" s="135">
        <f t="shared" si="17"/>
        <v>3.8497425441476274E-2</v>
      </c>
      <c r="U53" s="135">
        <f t="shared" si="17"/>
        <v>2.133040497820371E-2</v>
      </c>
      <c r="V53" s="160">
        <f t="shared" si="18"/>
        <v>0.12672540381791508</v>
      </c>
      <c r="W53" s="51"/>
    </row>
    <row r="54" spans="1:23" ht="18" customHeight="1" x14ac:dyDescent="0.25">
      <c r="A54" s="118">
        <f t="shared" si="0"/>
        <v>43890</v>
      </c>
      <c r="B54" s="139"/>
      <c r="C54" s="140">
        <v>414.43756867867518</v>
      </c>
      <c r="D54" s="140">
        <v>146.79293694900599</v>
      </c>
      <c r="E54" s="141">
        <v>157.26996487744901</v>
      </c>
      <c r="F54" s="167">
        <f t="shared" si="13"/>
        <v>-5.8514024506400419E-2</v>
      </c>
      <c r="G54" s="168">
        <f t="shared" si="12"/>
        <v>-5.0548113987634591E-2</v>
      </c>
      <c r="I54" s="134">
        <v>2005</v>
      </c>
      <c r="J54" s="135">
        <f t="shared" si="17"/>
        <v>-1.1501368434771342E-2</v>
      </c>
      <c r="K54" s="135">
        <f t="shared" si="17"/>
        <v>1.2755858795609587E-2</v>
      </c>
      <c r="L54" s="135">
        <f t="shared" si="17"/>
        <v>-8.4618889539802566E-3</v>
      </c>
      <c r="M54" s="135">
        <f t="shared" si="17"/>
        <v>6.9585767741087157E-3</v>
      </c>
      <c r="N54" s="135">
        <f t="shared" si="17"/>
        <v>-5.6718169372187432E-3</v>
      </c>
      <c r="O54" s="135">
        <f t="shared" si="17"/>
        <v>-1.1736165748754357E-2</v>
      </c>
      <c r="P54" s="135">
        <f t="shared" si="17"/>
        <v>6.8997545279640971E-3</v>
      </c>
      <c r="Q54" s="135">
        <f t="shared" si="17"/>
        <v>1.0245766620543995E-2</v>
      </c>
      <c r="R54" s="135">
        <f t="shared" si="17"/>
        <v>-3.228436328061135E-3</v>
      </c>
      <c r="S54" s="135">
        <f t="shared" si="17"/>
        <v>-3.3370411568410807E-3</v>
      </c>
      <c r="T54" s="135">
        <f t="shared" si="17"/>
        <v>-7.385766806722649E-3</v>
      </c>
      <c r="U54" s="135">
        <f t="shared" si="17"/>
        <v>1.8684480306888629E-2</v>
      </c>
      <c r="V54" s="160">
        <f>(1+J54)*(1+K54)*(1+L54)*(1+M54)*(1+N54)*(1+O54)*(1+P54)*(1+Q54)*(1+R54)*(1+S54)*(1+T54)*(1+U54)-1</f>
        <v>3.6491593900691566E-3</v>
      </c>
      <c r="W54" s="51"/>
    </row>
    <row r="55" spans="1:23" ht="18" customHeight="1" x14ac:dyDescent="0.25">
      <c r="A55" s="118">
        <f t="shared" si="0"/>
        <v>43861</v>
      </c>
      <c r="B55" s="139"/>
      <c r="C55" s="140">
        <v>440.19515899999999</v>
      </c>
      <c r="D55" s="140">
        <v>147.951963474222</v>
      </c>
      <c r="E55" s="141">
        <v>157.18179959147099</v>
      </c>
      <c r="F55" s="167">
        <f t="shared" si="13"/>
        <v>-4.9318606087145112E-2</v>
      </c>
      <c r="G55" s="168">
        <f t="shared" si="12"/>
        <v>-4.1216103399949189E-2</v>
      </c>
      <c r="I55" s="134">
        <v>2006</v>
      </c>
      <c r="J55" s="135">
        <f t="shared" ref="J55:U64" si="19">INDEX($F$1:$F$343,ROW($A$343)-(ROW(J55)-ROW(J$45))*12-J$43)</f>
        <v>1.8439163744968123E-2</v>
      </c>
      <c r="K55" s="135">
        <f t="shared" si="19"/>
        <v>-1.2909600918016073E-2</v>
      </c>
      <c r="L55" s="135">
        <f t="shared" si="19"/>
        <v>9.3664991727473446E-3</v>
      </c>
      <c r="M55" s="135">
        <f t="shared" si="19"/>
        <v>3.857476723856279E-2</v>
      </c>
      <c r="N55" s="135">
        <f t="shared" si="19"/>
        <v>-1.4233303987628454E-2</v>
      </c>
      <c r="O55" s="135">
        <f t="shared" si="19"/>
        <v>-9.6164421632689567E-3</v>
      </c>
      <c r="P55" s="135">
        <f t="shared" si="19"/>
        <v>-1.1926923926419142E-2</v>
      </c>
      <c r="Q55" s="135">
        <f t="shared" si="19"/>
        <v>-3.0017563467986674E-3</v>
      </c>
      <c r="R55" s="135">
        <f t="shared" si="19"/>
        <v>1.2811889433406165E-4</v>
      </c>
      <c r="S55" s="135">
        <f t="shared" si="19"/>
        <v>2.4019215372297342E-3</v>
      </c>
      <c r="T55" s="135">
        <f t="shared" si="19"/>
        <v>2.0831127795527316E-2</v>
      </c>
      <c r="U55" s="135">
        <f t="shared" si="19"/>
        <v>-7.5000905341982005E-4</v>
      </c>
      <c r="V55" s="160">
        <f t="shared" si="18"/>
        <v>3.6490390858330279E-2</v>
      </c>
      <c r="W55" s="43"/>
    </row>
    <row r="56" spans="1:23" ht="18" customHeight="1" x14ac:dyDescent="0.25">
      <c r="A56" s="118">
        <f t="shared" si="0"/>
        <v>43830</v>
      </c>
      <c r="B56" s="139"/>
      <c r="C56" s="140">
        <v>463.03121299999998</v>
      </c>
      <c r="D56" s="140">
        <v>149.12370000000001</v>
      </c>
      <c r="E56" s="141">
        <v>157.08779999999999</v>
      </c>
      <c r="F56" s="167">
        <f t="shared" si="13"/>
        <v>3.1327359024297285E-2</v>
      </c>
      <c r="G56" s="168">
        <f t="shared" si="12"/>
        <v>1.9219771282263931E-2</v>
      </c>
      <c r="I56" s="134">
        <v>2007</v>
      </c>
      <c r="J56" s="135">
        <f t="shared" si="19"/>
        <v>-7.5184673038285466E-3</v>
      </c>
      <c r="K56" s="135">
        <f t="shared" si="19"/>
        <v>3.560817659681903E-2</v>
      </c>
      <c r="L56" s="135">
        <f t="shared" si="19"/>
        <v>6.0228541125559865E-3</v>
      </c>
      <c r="M56" s="135">
        <f t="shared" si="19"/>
        <v>1.2546174350275718E-2</v>
      </c>
      <c r="N56" s="135">
        <f t="shared" si="19"/>
        <v>-6.2580696464313856E-3</v>
      </c>
      <c r="O56" s="135">
        <f t="shared" si="19"/>
        <v>2.2901045249298368E-2</v>
      </c>
      <c r="P56" s="135">
        <f t="shared" si="19"/>
        <v>3.1261165748369457E-2</v>
      </c>
      <c r="Q56" s="135">
        <f t="shared" si="19"/>
        <v>2.6682266993892867E-2</v>
      </c>
      <c r="R56" s="135">
        <f t="shared" si="19"/>
        <v>2.5182755649442612E-2</v>
      </c>
      <c r="S56" s="135">
        <f t="shared" si="19"/>
        <v>3.1342352845484367E-2</v>
      </c>
      <c r="T56" s="135">
        <f t="shared" si="19"/>
        <v>3.3161146299891309E-2</v>
      </c>
      <c r="U56" s="135">
        <f t="shared" si="19"/>
        <v>2.9209694147830145E-2</v>
      </c>
      <c r="V56" s="160">
        <f t="shared" si="18"/>
        <v>0.26686001807188364</v>
      </c>
    </row>
    <row r="57" spans="1:23" ht="18" customHeight="1" x14ac:dyDescent="0.25">
      <c r="A57" s="118">
        <f t="shared" si="0"/>
        <v>43799</v>
      </c>
      <c r="B57" s="139"/>
      <c r="C57" s="140">
        <v>448.96628500000003</v>
      </c>
      <c r="D57" s="140">
        <v>147.26908274274999</v>
      </c>
      <c r="E57" s="141">
        <v>156.97701546949099</v>
      </c>
      <c r="F57" s="167">
        <f t="shared" si="13"/>
        <v>6.9234121103887158E-3</v>
      </c>
      <c r="G57" s="168">
        <f t="shared" si="12"/>
        <v>1.160847520538355E-2</v>
      </c>
      <c r="I57" s="134">
        <v>2008</v>
      </c>
      <c r="J57" s="135">
        <f t="shared" si="19"/>
        <v>-1.4588968603679198E-2</v>
      </c>
      <c r="K57" s="135">
        <f t="shared" si="19"/>
        <v>3.1555057457335778E-2</v>
      </c>
      <c r="L57" s="135">
        <f t="shared" si="19"/>
        <v>1.0555501507928833E-2</v>
      </c>
      <c r="M57" s="135">
        <f t="shared" si="19"/>
        <v>-8.7123947051744866E-3</v>
      </c>
      <c r="N57" s="135">
        <f t="shared" si="19"/>
        <v>1.4324560551617349E-3</v>
      </c>
      <c r="O57" s="135">
        <f t="shared" si="19"/>
        <v>-8.7521516716367875E-3</v>
      </c>
      <c r="P57" s="135">
        <f t="shared" si="19"/>
        <v>1.271828987917667E-3</v>
      </c>
      <c r="Q57" s="135">
        <f t="shared" si="19"/>
        <v>-3.9132346475157509E-2</v>
      </c>
      <c r="R57" s="135">
        <f t="shared" si="19"/>
        <v>-1.1897498474679691E-2</v>
      </c>
      <c r="S57" s="135">
        <f t="shared" si="19"/>
        <v>-7.7132859936194342E-2</v>
      </c>
      <c r="T57" s="135">
        <f t="shared" si="19"/>
        <v>3.1474770002787977E-2</v>
      </c>
      <c r="U57" s="135">
        <f t="shared" si="19"/>
        <v>6.5677450741912002E-2</v>
      </c>
      <c r="V57" s="160">
        <f t="shared" ref="V57:V67" si="20">(1+J57)*(1+K57)*(1+L57)*(1+M57)*(1+N57)*(1+O57)*(1+P57)*(1+Q57)*(1+R57)*(1+S57)*(1+T57)*(1+U57)-1</f>
        <v>-2.520175720307094E-2</v>
      </c>
      <c r="W57" s="42"/>
    </row>
    <row r="58" spans="1:23" ht="18" customHeight="1" x14ac:dyDescent="0.25">
      <c r="A58" s="118">
        <f t="shared" si="0"/>
        <v>43769</v>
      </c>
      <c r="B58" s="139"/>
      <c r="C58" s="140">
        <v>445.879279</v>
      </c>
      <c r="D58" s="140">
        <v>147.8672</v>
      </c>
      <c r="E58" s="141">
        <v>156.88460000000001</v>
      </c>
      <c r="F58" s="167">
        <f t="shared" si="13"/>
        <v>2.0497548279226008E-2</v>
      </c>
      <c r="G58" s="168">
        <f t="shared" si="12"/>
        <v>1.0942728261983614E-2</v>
      </c>
      <c r="I58" s="134">
        <v>2009</v>
      </c>
      <c r="J58" s="135">
        <f t="shared" si="19"/>
        <v>-2.1608460777600369E-2</v>
      </c>
      <c r="K58" s="135">
        <f t="shared" si="19"/>
        <v>-3.8779583689763308E-2</v>
      </c>
      <c r="L58" s="135">
        <f t="shared" si="19"/>
        <v>4.6115261184973555E-2</v>
      </c>
      <c r="M58" s="135">
        <f t="shared" si="19"/>
        <v>8.7391405222860818E-3</v>
      </c>
      <c r="N58" s="135">
        <f t="shared" si="19"/>
        <v>6.6598517761308429E-2</v>
      </c>
      <c r="O58" s="135">
        <f t="shared" si="19"/>
        <v>-2.3960130343109176E-3</v>
      </c>
      <c r="P58" s="135">
        <f t="shared" si="19"/>
        <v>2.4498030550485161E-2</v>
      </c>
      <c r="Q58" s="135">
        <f t="shared" si="19"/>
        <v>2.7381845461365462E-2</v>
      </c>
      <c r="R58" s="135">
        <f t="shared" si="19"/>
        <v>3.1831872946330719E-2</v>
      </c>
      <c r="S58" s="135">
        <f t="shared" si="19"/>
        <v>9.0006413233374438E-3</v>
      </c>
      <c r="T58" s="135">
        <f t="shared" si="19"/>
        <v>3.5330732477096394E-2</v>
      </c>
      <c r="U58" s="135">
        <f t="shared" si="19"/>
        <v>-2.2206697997375069E-2</v>
      </c>
      <c r="V58" s="160">
        <f t="shared" si="20"/>
        <v>0.17144741180349476</v>
      </c>
      <c r="W58" s="42"/>
    </row>
    <row r="59" spans="1:23" ht="18" customHeight="1" x14ac:dyDescent="0.25">
      <c r="A59" s="118">
        <f t="shared" si="0"/>
        <v>43738</v>
      </c>
      <c r="B59" s="139"/>
      <c r="C59" s="140">
        <v>436.92342010213201</v>
      </c>
      <c r="D59" s="140">
        <v>146.371693287998</v>
      </c>
      <c r="E59" s="141">
        <v>156.765674530269</v>
      </c>
      <c r="F59" s="167">
        <f t="shared" si="13"/>
        <v>9.8886170427769926E-3</v>
      </c>
      <c r="G59" s="168">
        <f t="shared" si="12"/>
        <v>1.2409511688237673E-2</v>
      </c>
      <c r="I59" s="134">
        <v>2010</v>
      </c>
      <c r="J59" s="135">
        <f t="shared" si="19"/>
        <v>4.6331377600727919E-3</v>
      </c>
      <c r="K59" s="135">
        <f t="shared" si="19"/>
        <v>-1.9610801025795599E-3</v>
      </c>
      <c r="L59" s="135">
        <f t="shared" si="19"/>
        <v>6.0027638624977619E-3</v>
      </c>
      <c r="M59" s="135">
        <f t="shared" si="19"/>
        <v>1.2212921227731321E-2</v>
      </c>
      <c r="N59" s="135">
        <f t="shared" si="19"/>
        <v>-1.9444856761169582E-2</v>
      </c>
      <c r="O59" s="135">
        <f t="shared" si="19"/>
        <v>2.0954975995847835E-2</v>
      </c>
      <c r="P59" s="135">
        <f t="shared" si="19"/>
        <v>-1.213700196987999E-2</v>
      </c>
      <c r="Q59" s="135">
        <f t="shared" si="19"/>
        <v>1.674600111497071E-2</v>
      </c>
      <c r="R59" s="135">
        <f t="shared" si="19"/>
        <v>3.2265547565321961E-2</v>
      </c>
      <c r="S59" s="135">
        <f t="shared" si="19"/>
        <v>6.0471102576149516E-3</v>
      </c>
      <c r="T59" s="135">
        <f t="shared" si="19"/>
        <v>1.1351406234135553E-2</v>
      </c>
      <c r="U59" s="135">
        <f t="shared" si="19"/>
        <v>1.6912095414022943E-2</v>
      </c>
      <c r="V59" s="160">
        <f t="shared" si="20"/>
        <v>9.6501114984087311E-2</v>
      </c>
    </row>
    <row r="60" spans="1:23" ht="18" customHeight="1" x14ac:dyDescent="0.25">
      <c r="A60" s="118">
        <f t="shared" si="0"/>
        <v>43708</v>
      </c>
      <c r="B60" s="139"/>
      <c r="C60" s="140">
        <v>432.64515782102802</v>
      </c>
      <c r="D60" s="140">
        <v>146.6404</v>
      </c>
      <c r="E60" s="141">
        <v>156.66239999999999</v>
      </c>
      <c r="F60" s="167">
        <f t="shared" si="13"/>
        <v>-7.3054832248969914E-3</v>
      </c>
      <c r="G60" s="168">
        <f t="shared" si="12"/>
        <v>-9.2525448881281003E-3</v>
      </c>
      <c r="I60" s="134">
        <v>2011</v>
      </c>
      <c r="J60" s="135">
        <f t="shared" si="19"/>
        <v>-1.7792616201502631E-2</v>
      </c>
      <c r="K60" s="135">
        <f t="shared" si="19"/>
        <v>1.0953025379755621E-2</v>
      </c>
      <c r="L60" s="135">
        <f t="shared" si="19"/>
        <v>-5.6903934418797153E-3</v>
      </c>
      <c r="M60" s="135">
        <f t="shared" si="19"/>
        <v>3.2413304175578528E-2</v>
      </c>
      <c r="N60" s="135">
        <f t="shared" si="19"/>
        <v>-3.3247689475414122E-3</v>
      </c>
      <c r="O60" s="135">
        <f t="shared" si="19"/>
        <v>4.9929061473579228E-3</v>
      </c>
      <c r="P60" s="135">
        <f t="shared" si="19"/>
        <v>3.2065426543079534E-2</v>
      </c>
      <c r="Q60" s="135">
        <f t="shared" si="19"/>
        <v>1.2437603058012225E-2</v>
      </c>
      <c r="R60" s="135">
        <f t="shared" si="19"/>
        <v>-3.9878945294592349E-2</v>
      </c>
      <c r="S60" s="135">
        <f t="shared" si="19"/>
        <v>3.2616163142692889E-2</v>
      </c>
      <c r="T60" s="135">
        <f t="shared" si="19"/>
        <v>-2.5964609801887306E-3</v>
      </c>
      <c r="U60" s="135">
        <f t="shared" si="19"/>
        <v>-3.3492619686550373E-2</v>
      </c>
      <c r="V60" s="160">
        <f t="shared" si="20"/>
        <v>1.9629868248987492E-2</v>
      </c>
    </row>
    <row r="61" spans="1:23" ht="18" customHeight="1" x14ac:dyDescent="0.25">
      <c r="A61" s="118">
        <f t="shared" si="0"/>
        <v>43677</v>
      </c>
      <c r="B61" s="139"/>
      <c r="C61" s="140">
        <v>435.82909999999998</v>
      </c>
      <c r="D61" s="140">
        <v>146.25556127271599</v>
      </c>
      <c r="E61" s="141">
        <v>156.55833186807001</v>
      </c>
      <c r="F61" s="167">
        <f t="shared" si="13"/>
        <v>-4.1748623430305498E-3</v>
      </c>
      <c r="G61" s="168">
        <f t="shared" si="12"/>
        <v>9.0590802749499488E-3</v>
      </c>
      <c r="I61" s="134">
        <v>2012</v>
      </c>
      <c r="J61" s="135">
        <f t="shared" si="19"/>
        <v>2.2333452813268373E-2</v>
      </c>
      <c r="K61" s="135">
        <f t="shared" si="19"/>
        <v>9.5325623586717256E-3</v>
      </c>
      <c r="L61" s="135">
        <f t="shared" si="19"/>
        <v>-1.4811891992500992E-2</v>
      </c>
      <c r="M61" s="135">
        <f t="shared" si="19"/>
        <v>-2.2861448083430269E-2</v>
      </c>
      <c r="N61" s="135">
        <f t="shared" si="19"/>
        <v>-2.0609384139188225E-2</v>
      </c>
      <c r="O61" s="135">
        <f t="shared" si="19"/>
        <v>-3.8497665662351466E-3</v>
      </c>
      <c r="P61" s="135">
        <f t="shared" si="19"/>
        <v>-5.243091036401859E-3</v>
      </c>
      <c r="Q61" s="135">
        <f t="shared" si="19"/>
        <v>2.5318362289357133E-3</v>
      </c>
      <c r="R61" s="135">
        <f t="shared" si="19"/>
        <v>1.7336148238871196E-2</v>
      </c>
      <c r="S61" s="135">
        <f t="shared" si="19"/>
        <v>2.4028564120508467E-3</v>
      </c>
      <c r="T61" s="135">
        <f t="shared" si="19"/>
        <v>-3.1844080882511561E-3</v>
      </c>
      <c r="U61" s="135">
        <f t="shared" si="19"/>
        <v>1.6330573209621946E-3</v>
      </c>
      <c r="V61" s="160">
        <f t="shared" si="20"/>
        <v>-1.5729717409620814E-2</v>
      </c>
    </row>
    <row r="62" spans="1:23" ht="18" customHeight="1" x14ac:dyDescent="0.25">
      <c r="A62" s="118">
        <f t="shared" si="0"/>
        <v>43646</v>
      </c>
      <c r="B62" s="139"/>
      <c r="C62" s="140">
        <v>437.65625461659056</v>
      </c>
      <c r="D62" s="140">
        <v>148.059811132595</v>
      </c>
      <c r="E62" s="141">
        <v>156.411066608765</v>
      </c>
      <c r="F62" s="167">
        <f t="shared" si="13"/>
        <v>-5.1793181520558562E-3</v>
      </c>
      <c r="G62" s="168">
        <f t="shared" si="12"/>
        <v>-1.5924254169214169E-2</v>
      </c>
      <c r="I62" s="134">
        <v>2013</v>
      </c>
      <c r="J62" s="135">
        <f t="shared" si="19"/>
        <v>-1.1757257489841688E-3</v>
      </c>
      <c r="K62" s="135">
        <f t="shared" si="19"/>
        <v>-1.7498082469377563E-2</v>
      </c>
      <c r="L62" s="135">
        <f t="shared" si="19"/>
        <v>1.2771834522285141E-2</v>
      </c>
      <c r="M62" s="135">
        <f t="shared" si="19"/>
        <v>-1.9444889288049327E-2</v>
      </c>
      <c r="N62" s="135">
        <f t="shared" si="19"/>
        <v>-2.2764789946790986E-2</v>
      </c>
      <c r="O62" s="135">
        <f t="shared" si="19"/>
        <v>-2.6497308870295666E-2</v>
      </c>
      <c r="P62" s="135">
        <f t="shared" si="19"/>
        <v>2.4355685744915645E-2</v>
      </c>
      <c r="Q62" s="135">
        <f t="shared" si="19"/>
        <v>9.1810474212214999E-3</v>
      </c>
      <c r="R62" s="135">
        <f t="shared" si="19"/>
        <v>4.1403694022390525E-4</v>
      </c>
      <c r="S62" s="135">
        <f t="shared" si="19"/>
        <v>1.158577410407946E-2</v>
      </c>
      <c r="T62" s="135">
        <f t="shared" si="19"/>
        <v>-2.0680819800784067E-2</v>
      </c>
      <c r="U62" s="135">
        <f t="shared" si="19"/>
        <v>3.3578634941084928E-3</v>
      </c>
      <c r="V62" s="160">
        <f t="shared" si="20"/>
        <v>-4.6929872366077041E-2</v>
      </c>
    </row>
    <row r="63" spans="1:23" ht="18" customHeight="1" x14ac:dyDescent="0.25">
      <c r="A63" s="118">
        <f t="shared" si="0"/>
        <v>43616</v>
      </c>
      <c r="B63" s="139"/>
      <c r="C63" s="140">
        <v>439.93481700000001</v>
      </c>
      <c r="D63" s="140">
        <v>146.34440431920299</v>
      </c>
      <c r="E63" s="141">
        <v>156.28693898339799</v>
      </c>
      <c r="F63" s="167">
        <f t="shared" si="13"/>
        <v>-1.3487631959464674E-2</v>
      </c>
      <c r="G63" s="168">
        <f t="shared" si="12"/>
        <v>-1.2143534778312759E-2</v>
      </c>
      <c r="I63" s="134">
        <v>2014</v>
      </c>
      <c r="J63" s="135">
        <f t="shared" si="19"/>
        <v>1.5434898298654076E-2</v>
      </c>
      <c r="K63" s="135">
        <f t="shared" si="19"/>
        <v>7.8419179464015443E-3</v>
      </c>
      <c r="L63" s="135">
        <f t="shared" si="19"/>
        <v>-4.8958515907631117E-3</v>
      </c>
      <c r="M63" s="135">
        <f t="shared" si="19"/>
        <v>1.9779436148536611E-2</v>
      </c>
      <c r="N63" s="135">
        <f t="shared" si="19"/>
        <v>-2.7902169278672839E-2</v>
      </c>
      <c r="O63" s="135">
        <f t="shared" si="19"/>
        <v>1.6305695808722209E-2</v>
      </c>
      <c r="P63" s="135">
        <f t="shared" si="19"/>
        <v>3.1144969976690806E-3</v>
      </c>
      <c r="Q63" s="135">
        <f t="shared" si="19"/>
        <v>1.7505768900984986E-3</v>
      </c>
      <c r="R63" s="135">
        <f t="shared" si="19"/>
        <v>-3.2042363289473852E-2</v>
      </c>
      <c r="S63" s="135">
        <f t="shared" si="19"/>
        <v>-4.6874563680828429E-2</v>
      </c>
      <c r="T63" s="135">
        <f t="shared" si="19"/>
        <v>1.7081671047944891E-3</v>
      </c>
      <c r="U63" s="135">
        <f t="shared" si="19"/>
        <v>-1.0477206875439515E-2</v>
      </c>
      <c r="V63" s="160">
        <f t="shared" si="20"/>
        <v>-5.7161825013490208E-2</v>
      </c>
    </row>
    <row r="64" spans="1:23" ht="18" customHeight="1" x14ac:dyDescent="0.25">
      <c r="A64" s="118">
        <f t="shared" si="0"/>
        <v>43585</v>
      </c>
      <c r="B64" s="139"/>
      <c r="C64" s="140">
        <v>445.94962136543967</v>
      </c>
      <c r="D64" s="140">
        <v>146.38205961378301</v>
      </c>
      <c r="E64" s="141">
        <v>156.114450714649</v>
      </c>
      <c r="F64" s="167">
        <f t="shared" si="13"/>
        <v>3.0917641708669841E-3</v>
      </c>
      <c r="G64" s="168">
        <f t="shared" si="12"/>
        <v>1.0519081564320576E-2</v>
      </c>
      <c r="I64" s="134">
        <v>2015</v>
      </c>
      <c r="J64" s="135">
        <f t="shared" si="19"/>
        <v>3.6225848813782324E-2</v>
      </c>
      <c r="K64" s="135">
        <f t="shared" si="19"/>
        <v>-5.8935127833635859E-3</v>
      </c>
      <c r="L64" s="135">
        <f t="shared" si="19"/>
        <v>-1.9420872283545498E-2</v>
      </c>
      <c r="M64" s="135">
        <f t="shared" si="19"/>
        <v>3.1405871902936644E-2</v>
      </c>
      <c r="N64" s="135">
        <f t="shared" si="19"/>
        <v>-2.2295672735931027E-2</v>
      </c>
      <c r="O64" s="135">
        <f t="shared" si="19"/>
        <v>-1.1475886237620303E-2</v>
      </c>
      <c r="P64" s="135">
        <f t="shared" si="19"/>
        <v>-2.9909714645049101E-2</v>
      </c>
      <c r="Q64" s="135">
        <f t="shared" si="19"/>
        <v>-2.6856023418552866E-2</v>
      </c>
      <c r="R64" s="135">
        <f t="shared" si="19"/>
        <v>1.1756484469795048E-2</v>
      </c>
      <c r="S64" s="135">
        <f t="shared" si="19"/>
        <v>2.8267927804790149E-2</v>
      </c>
      <c r="T64" s="135">
        <f t="shared" si="19"/>
        <v>-1.5047764830853128E-2</v>
      </c>
      <c r="U64" s="135">
        <f t="shared" si="19"/>
        <v>-1.6296349909831198E-3</v>
      </c>
      <c r="V64" s="160">
        <f t="shared" si="20"/>
        <v>-2.7537705473648311E-2</v>
      </c>
    </row>
    <row r="65" spans="1:23" ht="18" customHeight="1" x14ac:dyDescent="0.25">
      <c r="A65" s="118">
        <f t="shared" si="0"/>
        <v>43555</v>
      </c>
      <c r="B65" s="139"/>
      <c r="C65" s="140">
        <v>444.57510000000002</v>
      </c>
      <c r="D65" s="140">
        <v>147.33410000000001</v>
      </c>
      <c r="E65" s="141">
        <v>155.97488439562699</v>
      </c>
      <c r="F65" s="167">
        <f t="shared" si="13"/>
        <v>-2.094838549838951E-2</v>
      </c>
      <c r="G65" s="168">
        <f t="shared" si="12"/>
        <v>-1.7500227273441249E-2</v>
      </c>
      <c r="I65" s="134">
        <v>2016</v>
      </c>
      <c r="J65" s="135">
        <f t="shared" ref="J65:U72" si="21">INDEX($F$1:$F$343,ROW($A$343)-(ROW(J65)-ROW(J$45))*12-J$43)</f>
        <v>1.6795753061003005E-3</v>
      </c>
      <c r="K65" s="135">
        <f t="shared" si="21"/>
        <v>2.7682707736624845E-2</v>
      </c>
      <c r="L65" s="135">
        <f t="shared" si="21"/>
        <v>5.9478752230042176E-3</v>
      </c>
      <c r="M65" s="135">
        <f t="shared" si="21"/>
        <v>4.1157399113278537E-3</v>
      </c>
      <c r="N65" s="135">
        <f t="shared" si="21"/>
        <v>-8.9289542186749005E-3</v>
      </c>
      <c r="O65" s="135">
        <f t="shared" si="21"/>
        <v>-2.0278957743851023E-2</v>
      </c>
      <c r="P65" s="135">
        <f t="shared" si="21"/>
        <v>2.3942697729183449E-2</v>
      </c>
      <c r="Q65" s="135">
        <f t="shared" si="21"/>
        <v>1.5094771907999682E-3</v>
      </c>
      <c r="R65" s="135">
        <f t="shared" si="21"/>
        <v>-2.0514997324178053E-3</v>
      </c>
      <c r="S65" s="135">
        <f t="shared" si="21"/>
        <v>-1.3891234395540963E-2</v>
      </c>
      <c r="T65" s="135">
        <f t="shared" si="21"/>
        <v>-1.3695351840410264E-2</v>
      </c>
      <c r="U65" s="135">
        <f t="shared" si="21"/>
        <v>4.8267844416409744E-3</v>
      </c>
      <c r="V65" s="160">
        <f t="shared" si="20"/>
        <v>9.7649517662443674E-3</v>
      </c>
    </row>
    <row r="66" spans="1:23" ht="18" customHeight="1" x14ac:dyDescent="0.25">
      <c r="A66" s="118">
        <f t="shared" si="0"/>
        <v>43524</v>
      </c>
      <c r="B66" s="139"/>
      <c r="C66" s="140">
        <v>454.08749999999998</v>
      </c>
      <c r="D66" s="140">
        <v>147.71860000000001</v>
      </c>
      <c r="E66" s="141">
        <v>155.8331</v>
      </c>
      <c r="F66" s="122">
        <f t="shared" si="13"/>
        <v>2.5684465678299517E-4</v>
      </c>
      <c r="G66" s="123">
        <f t="shared" si="12"/>
        <v>3.3545325709547491E-3</v>
      </c>
      <c r="I66" s="134">
        <v>2017</v>
      </c>
      <c r="J66" s="135">
        <f t="shared" si="21"/>
        <v>3.7357655155406677E-2</v>
      </c>
      <c r="K66" s="135">
        <f t="shared" si="21"/>
        <v>1.2012202421956886E-2</v>
      </c>
      <c r="L66" s="135">
        <f t="shared" si="21"/>
        <v>-5.684726423337394E-3</v>
      </c>
      <c r="M66" s="135">
        <f t="shared" si="21"/>
        <v>5.1526815389479896E-3</v>
      </c>
      <c r="N66" s="135">
        <f t="shared" si="21"/>
        <v>-2.7931708417954226E-3</v>
      </c>
      <c r="O66" s="135">
        <f t="shared" si="21"/>
        <v>-1.4371505549460872E-3</v>
      </c>
      <c r="P66" s="135">
        <f t="shared" si="21"/>
        <v>1.9606370208339108E-2</v>
      </c>
      <c r="Q66" s="135">
        <f t="shared" si="21"/>
        <v>1.7631528494177484E-2</v>
      </c>
      <c r="R66" s="135">
        <f t="shared" si="21"/>
        <v>8.0029008715984951E-3</v>
      </c>
      <c r="S66" s="135">
        <f t="shared" si="21"/>
        <v>5.3031108386893955E-3</v>
      </c>
      <c r="T66" s="135">
        <f t="shared" si="21"/>
        <v>1.0704933967432106E-2</v>
      </c>
      <c r="U66" s="135">
        <f t="shared" si="21"/>
        <v>2.0083423885594698E-2</v>
      </c>
      <c r="V66" s="160">
        <f t="shared" si="20"/>
        <v>0.13259082388715626</v>
      </c>
      <c r="W66" s="33"/>
    </row>
    <row r="67" spans="1:23" ht="18" customHeight="1" x14ac:dyDescent="0.25">
      <c r="A67" s="118">
        <f t="shared" si="0"/>
        <v>43496</v>
      </c>
      <c r="B67" s="139"/>
      <c r="C67" s="140">
        <v>453.97089999999997</v>
      </c>
      <c r="D67" s="140">
        <v>148.04</v>
      </c>
      <c r="E67" s="141">
        <v>155.69</v>
      </c>
      <c r="F67" s="122">
        <f t="shared" si="13"/>
        <v>2.8690988383883953E-2</v>
      </c>
      <c r="G67" s="123">
        <f t="shared" si="12"/>
        <v>2.2813014953826594E-2</v>
      </c>
      <c r="I67" s="134">
        <v>2018</v>
      </c>
      <c r="J67" s="135">
        <f t="shared" si="21"/>
        <v>1.1399239748824508E-2</v>
      </c>
      <c r="K67" s="135">
        <f t="shared" si="21"/>
        <v>-9.382504198020003E-3</v>
      </c>
      <c r="L67" s="135">
        <f t="shared" si="21"/>
        <v>-2.2221357669700903E-2</v>
      </c>
      <c r="M67" s="135">
        <f t="shared" si="21"/>
        <v>1.0423921968487848E-2</v>
      </c>
      <c r="N67" s="135">
        <f t="shared" si="21"/>
        <v>-2.8281555842563755E-2</v>
      </c>
      <c r="O67" s="135">
        <f t="shared" si="21"/>
        <v>-2.2768509071484089E-2</v>
      </c>
      <c r="P67" s="135">
        <f t="shared" si="21"/>
        <v>9.3493372316832968E-4</v>
      </c>
      <c r="Q67" s="135">
        <f t="shared" si="21"/>
        <v>8.1479196858675884E-3</v>
      </c>
      <c r="R67" s="135">
        <f t="shared" si="21"/>
        <v>-8.3691118069170178E-3</v>
      </c>
      <c r="S67" s="135">
        <f t="shared" si="21"/>
        <v>-3.2056086639927428E-2</v>
      </c>
      <c r="T67" s="135">
        <f t="shared" si="21"/>
        <v>-3.6222415152029508E-2</v>
      </c>
      <c r="U67" s="135">
        <f t="shared" si="21"/>
        <v>-9.8692395314332604E-3</v>
      </c>
      <c r="V67" s="160">
        <f t="shared" si="20"/>
        <v>-0.13121882528220052</v>
      </c>
    </row>
    <row r="68" spans="1:23" ht="18" customHeight="1" x14ac:dyDescent="0.25">
      <c r="A68" s="118">
        <f t="shared" si="0"/>
        <v>43465</v>
      </c>
      <c r="B68" s="139"/>
      <c r="C68" s="140">
        <v>441.30930000000001</v>
      </c>
      <c r="D68" s="140">
        <v>147.05539999999999</v>
      </c>
      <c r="E68" s="141">
        <v>155.54329999999999</v>
      </c>
      <c r="F68" s="122">
        <f t="shared" si="13"/>
        <v>-9.8692395314332604E-3</v>
      </c>
      <c r="G68" s="123">
        <f t="shared" si="12"/>
        <v>-1.4565147451511384E-2</v>
      </c>
      <c r="I68" s="134">
        <v>2019</v>
      </c>
      <c r="J68" s="135">
        <f t="shared" si="21"/>
        <v>2.8690988383883953E-2</v>
      </c>
      <c r="K68" s="135">
        <f t="shared" si="21"/>
        <v>2.5684465678299517E-4</v>
      </c>
      <c r="L68" s="135">
        <f t="shared" si="21"/>
        <v>-2.094838549838951E-2</v>
      </c>
      <c r="M68" s="135">
        <f t="shared" si="21"/>
        <v>3.0917641708669841E-3</v>
      </c>
      <c r="N68" s="135">
        <f t="shared" si="21"/>
        <v>-1.3487631959464674E-2</v>
      </c>
      <c r="O68" s="135">
        <f t="shared" si="21"/>
        <v>-5.1793181520558562E-3</v>
      </c>
      <c r="P68" s="135">
        <f t="shared" si="21"/>
        <v>-4.1748623430305498E-3</v>
      </c>
      <c r="Q68" s="135">
        <f t="shared" si="21"/>
        <v>-7.3054832248969914E-3</v>
      </c>
      <c r="R68" s="135">
        <f t="shared" si="21"/>
        <v>9.8886170427769926E-3</v>
      </c>
      <c r="S68" s="135">
        <f t="shared" si="21"/>
        <v>2.0497548279226008E-2</v>
      </c>
      <c r="T68" s="135">
        <f t="shared" si="21"/>
        <v>6.9234121103887158E-3</v>
      </c>
      <c r="U68" s="135">
        <f t="shared" si="21"/>
        <v>3.1327359024297285E-2</v>
      </c>
      <c r="V68" s="160">
        <f>(1+J68)*(1+K68)*(1+L68)*(1+M68)*(1+N68)*(1+O68)*(1+P68)*(1+Q68)*(1+R68)*(1+S68)*(1+T68)*(1+U68)-1</f>
        <v>4.9221516519138975E-2</v>
      </c>
    </row>
    <row r="69" spans="1:23" ht="18" customHeight="1" x14ac:dyDescent="0.25">
      <c r="A69" s="118">
        <f t="shared" si="0"/>
        <v>43434</v>
      </c>
      <c r="B69" s="139"/>
      <c r="C69" s="140">
        <v>445.7081</v>
      </c>
      <c r="D69" s="140">
        <v>146.2107</v>
      </c>
      <c r="E69" s="141">
        <v>155.38679999999999</v>
      </c>
      <c r="F69" s="122">
        <f t="shared" si="13"/>
        <v>-3.6222415152029508E-2</v>
      </c>
      <c r="G69" s="123">
        <f t="shared" si="12"/>
        <v>-3.9204348588148363E-2</v>
      </c>
      <c r="I69" s="134">
        <v>2020</v>
      </c>
      <c r="J69" s="135">
        <f t="shared" si="21"/>
        <v>-4.9318606087145112E-2</v>
      </c>
      <c r="K69" s="135">
        <f t="shared" si="21"/>
        <v>-5.8514024506400419E-2</v>
      </c>
      <c r="L69" s="135">
        <f t="shared" si="21"/>
        <v>-0.11244012678172299</v>
      </c>
      <c r="M69" s="135">
        <f t="shared" si="21"/>
        <v>3.3177955822341065E-2</v>
      </c>
      <c r="N69" s="135">
        <f t="shared" si="21"/>
        <v>-2.8545676598829006E-3</v>
      </c>
      <c r="O69" s="135">
        <f t="shared" si="21"/>
        <v>1.2670876677454812E-2</v>
      </c>
      <c r="P69" s="135">
        <f t="shared" si="21"/>
        <v>2.818231789375969E-2</v>
      </c>
      <c r="Q69" s="135">
        <f t="shared" si="21"/>
        <v>2.1859124807399599E-3</v>
      </c>
      <c r="R69" s="135">
        <f t="shared" si="21"/>
        <v>-3.5633452533288756E-2</v>
      </c>
      <c r="S69" s="135">
        <f t="shared" si="21"/>
        <v>2.3509466714979554E-2</v>
      </c>
      <c r="T69" s="135">
        <f t="shared" si="21"/>
        <v>4.9546747432812399E-2</v>
      </c>
      <c r="U69" s="135">
        <f t="shared" si="21"/>
        <v>4.4971950530060534E-2</v>
      </c>
      <c r="V69" s="160">
        <f>(1+J69)*(1+K69)*(1+L69)*(1+M69)*(1+N69)*(1+O69)*(1+P69)*(1+Q69)*(1+R69)*(1+S69)*(1+T69)*(1+U69)-1</f>
        <v>-7.5499159666136961E-2</v>
      </c>
    </row>
    <row r="70" spans="1:23" ht="18" customHeight="1" x14ac:dyDescent="0.25">
      <c r="A70" s="118">
        <f t="shared" si="0"/>
        <v>43404</v>
      </c>
      <c r="B70" s="139"/>
      <c r="C70" s="140">
        <v>462.45949999999999</v>
      </c>
      <c r="D70" s="140">
        <v>145.63</v>
      </c>
      <c r="E70" s="141">
        <v>155.25</v>
      </c>
      <c r="F70" s="122">
        <f t="shared" si="13"/>
        <v>-3.2056086639927428E-2</v>
      </c>
      <c r="G70" s="123">
        <f t="shared" si="12"/>
        <v>-1.7301262429528674E-2</v>
      </c>
      <c r="I70" s="134">
        <v>2021</v>
      </c>
      <c r="J70" s="135">
        <f t="shared" si="21"/>
        <v>7.5631386573542514E-3</v>
      </c>
      <c r="K70" s="135">
        <f t="shared" si="21"/>
        <v>3.5980344697314148E-2</v>
      </c>
      <c r="L70" s="135">
        <f t="shared" si="21"/>
        <v>5.000018620374691E-3</v>
      </c>
      <c r="M70" s="135">
        <f t="shared" si="21"/>
        <v>2.5293741426869021E-2</v>
      </c>
      <c r="N70" s="135">
        <f t="shared" si="21"/>
        <v>4.094283512658925E-2</v>
      </c>
      <c r="O70" s="135">
        <f t="shared" si="21"/>
        <v>-3.4686882506037686E-2</v>
      </c>
      <c r="P70" s="135">
        <f t="shared" si="21"/>
        <v>-2.1802226990942253E-2</v>
      </c>
      <c r="Q70" s="135">
        <f t="shared" si="21"/>
        <v>5.584121445663337E-3</v>
      </c>
      <c r="R70" s="135">
        <f t="shared" si="21"/>
        <v>-8.3749487163621295E-3</v>
      </c>
      <c r="S70" s="135">
        <f t="shared" si="21"/>
        <v>-6.7603648832998964E-3</v>
      </c>
      <c r="T70" s="135">
        <f t="shared" si="21"/>
        <v>-2.9894434609976428E-2</v>
      </c>
      <c r="U70" s="135">
        <f t="shared" si="21"/>
        <v>1.6995478917918305E-2</v>
      </c>
      <c r="V70" s="160">
        <f t="shared" ref="V70:V73" si="22">(1+J70)*(1+K70)*(1+L70)*(1+M70)*(1+N70)*(1+O70)*(1+P70)*(1+Q70)*(1+R70)*(1+S70)*(1+T70)*(1+U70)-1</f>
        <v>3.304175832109757E-2</v>
      </c>
    </row>
    <row r="71" spans="1:23" ht="18" customHeight="1" x14ac:dyDescent="0.25">
      <c r="A71" s="118">
        <f t="shared" si="0"/>
        <v>43373</v>
      </c>
      <c r="B71" s="139"/>
      <c r="C71" s="140">
        <v>477.77510000000001</v>
      </c>
      <c r="D71" s="140">
        <v>147.69220000000001</v>
      </c>
      <c r="E71" s="141">
        <v>155.08439999999999</v>
      </c>
      <c r="F71" s="122">
        <f t="shared" si="13"/>
        <v>-8.3691118069170178E-3</v>
      </c>
      <c r="G71" s="123">
        <f t="shared" si="12"/>
        <v>-8.8442363361329601E-3</v>
      </c>
      <c r="I71" s="134">
        <v>2022</v>
      </c>
      <c r="J71" s="135">
        <f t="shared" si="21"/>
        <v>2.6649452088352676E-2</v>
      </c>
      <c r="K71" s="135">
        <f t="shared" si="21"/>
        <v>2.3455176787909648E-2</v>
      </c>
      <c r="L71" s="135">
        <f t="shared" si="21"/>
        <v>-8.9142151782962697E-3</v>
      </c>
      <c r="M71" s="135">
        <f t="shared" si="21"/>
        <v>-5.3119889936870113E-3</v>
      </c>
      <c r="N71" s="135">
        <f t="shared" si="21"/>
        <v>1.5198271216785741E-2</v>
      </c>
      <c r="O71" s="135">
        <f t="shared" si="21"/>
        <v>-2.7613863579335485E-2</v>
      </c>
      <c r="P71" s="135">
        <f t="shared" si="21"/>
        <v>-1.5298267745721628E-2</v>
      </c>
      <c r="Q71" s="135">
        <f t="shared" si="21"/>
        <v>-2.4762464101675263E-3</v>
      </c>
      <c r="R71" s="135">
        <f t="shared" si="21"/>
        <v>9.1275731683386763E-3</v>
      </c>
      <c r="S71" s="135">
        <f t="shared" si="21"/>
        <v>8.9893670369980416E-3</v>
      </c>
      <c r="T71" s="135">
        <f t="shared" si="21"/>
        <v>2.1535459191215578E-2</v>
      </c>
      <c r="U71" s="135">
        <f t="shared" si="21"/>
        <v>2.4818903743024867E-2</v>
      </c>
      <c r="V71" s="160">
        <f t="shared" si="22"/>
        <v>7.0631334266296975E-2</v>
      </c>
    </row>
    <row r="72" spans="1:23" ht="18" customHeight="1" x14ac:dyDescent="0.25">
      <c r="A72" s="118">
        <f t="shared" ref="A72:A135" si="23">EOMONTH(A73,1)</f>
        <v>43343</v>
      </c>
      <c r="B72" s="139"/>
      <c r="C72" s="140">
        <v>481.80739999999997</v>
      </c>
      <c r="D72" s="140">
        <v>147.49950000000001</v>
      </c>
      <c r="E72" s="141">
        <v>154.9563</v>
      </c>
      <c r="F72" s="122">
        <f t="shared" si="13"/>
        <v>8.1479196858675884E-3</v>
      </c>
      <c r="G72" s="123">
        <f t="shared" ref="G72:G135" si="24">(1+F72)*(E72/E73)/(D72/D73)-1</f>
        <v>9.8925490930139581E-3</v>
      </c>
      <c r="I72" s="134">
        <v>2023</v>
      </c>
      <c r="J72" s="135">
        <f t="shared" si="21"/>
        <v>-2.083635194657707E-3</v>
      </c>
      <c r="K72" s="135">
        <f t="shared" si="21"/>
        <v>-1.8883413349859435E-3</v>
      </c>
      <c r="L72" s="135">
        <f t="shared" si="21"/>
        <v>-1.4734153676932871E-2</v>
      </c>
      <c r="M72" s="135">
        <f t="shared" si="21"/>
        <v>2.3166234238616301E-2</v>
      </c>
      <c r="N72" s="135">
        <f t="shared" si="21"/>
        <v>-3.5224062192553918E-2</v>
      </c>
      <c r="O72" s="135">
        <f t="shared" si="21"/>
        <v>-7.5893450897538406E-3</v>
      </c>
      <c r="P72" s="135">
        <f t="shared" si="21"/>
        <v>1.6865855732308255E-2</v>
      </c>
      <c r="Q72" s="135">
        <f t="shared" si="21"/>
        <v>3.5952034282338285E-3</v>
      </c>
      <c r="R72" s="135">
        <f t="shared" si="21"/>
        <v>2.0441637716362981E-2</v>
      </c>
      <c r="S72" s="135">
        <f t="shared" si="21"/>
        <v>-1.0524514760713255E-2</v>
      </c>
      <c r="T72" s="135">
        <f t="shared" si="21"/>
        <v>-1.4567721975781156E-3</v>
      </c>
      <c r="U72" s="135">
        <f t="shared" si="21"/>
        <v>1.2515401122285885E-2</v>
      </c>
      <c r="V72" s="160">
        <f t="shared" si="22"/>
        <v>1.5548607523385716E-3</v>
      </c>
    </row>
    <row r="73" spans="1:23" ht="18" customHeight="1" x14ac:dyDescent="0.25">
      <c r="A73" s="118">
        <f t="shared" si="23"/>
        <v>43312</v>
      </c>
      <c r="B73" s="139"/>
      <c r="C73" s="140">
        <v>477.91340000000002</v>
      </c>
      <c r="D73" s="140">
        <v>147.60810000000001</v>
      </c>
      <c r="E73" s="141">
        <v>154.80250000000001</v>
      </c>
      <c r="F73" s="122">
        <f t="shared" ref="F73:F136" si="25">C73/C74-1</f>
        <v>9.3493372316832968E-4</v>
      </c>
      <c r="G73" s="123">
        <f t="shared" si="24"/>
        <v>-3.8862227661041748E-3</v>
      </c>
      <c r="I73" s="134">
        <v>2024</v>
      </c>
      <c r="J73" s="135">
        <f>INDEX($F$1:$F$343,ROW($A$343)-(ROW(J73)-ROW(J$45))*12-J$43)</f>
        <v>-4.6120548618114876E-3</v>
      </c>
      <c r="K73" s="196">
        <f>INDEX($F$1:$F$343,ROW($A$343)-(ROW(K73)-ROW(K$45))*12-K$43)</f>
        <v>-1.5231701880225712E-2</v>
      </c>
      <c r="L73" s="196">
        <f>INDEX($F$1:$F$343,ROW($A$343)-(ROW(L73)-ROW(L$45))*12-L$43)</f>
        <v>1.2406142537012999E-2</v>
      </c>
      <c r="M73" s="196">
        <f>INDEX($F$1:$F$343,ROW($A$343)-(ROW(M73)-ROW(M$45))*12-M$43)</f>
        <v>1.3896865077635212E-2</v>
      </c>
      <c r="N73" s="135"/>
      <c r="O73" s="135"/>
      <c r="P73" s="135"/>
      <c r="Q73" s="135"/>
      <c r="R73" s="135"/>
      <c r="S73" s="135"/>
      <c r="T73" s="135"/>
      <c r="U73" s="135"/>
      <c r="V73" s="160">
        <f t="shared" si="22"/>
        <v>6.1783950123144304E-3</v>
      </c>
    </row>
    <row r="74" spans="1:23" ht="18" customHeight="1" x14ac:dyDescent="0.25">
      <c r="A74" s="118">
        <f t="shared" si="23"/>
        <v>43281</v>
      </c>
      <c r="B74" s="139"/>
      <c r="C74" s="140">
        <v>477.46699999999998</v>
      </c>
      <c r="D74" s="140">
        <v>146.7842</v>
      </c>
      <c r="E74" s="141">
        <v>154.68350000000001</v>
      </c>
      <c r="F74" s="122">
        <f t="shared" si="25"/>
        <v>-2.2768509071484089E-2</v>
      </c>
      <c r="G74" s="123">
        <f t="shared" si="24"/>
        <v>-1.4387967670168367E-2</v>
      </c>
      <c r="I74" s="134"/>
      <c r="J74" s="135"/>
      <c r="K74" s="135"/>
      <c r="L74" s="135"/>
      <c r="M74" s="135"/>
      <c r="N74" s="135"/>
      <c r="O74" s="135"/>
      <c r="P74" s="135"/>
      <c r="Q74" s="135"/>
      <c r="R74" s="179" t="s">
        <v>39</v>
      </c>
      <c r="S74" s="180">
        <v>35064</v>
      </c>
      <c r="T74" s="21"/>
      <c r="U74" s="179"/>
      <c r="V74" s="190">
        <f>(1+V45)*(1+V46)*(1+V47)*(1+V48)*(1+V49)*(1+V50)*(1+V51)*(1+V52)*(1+V53)*(1+V54)*(1+V55)*(1+V56)*(1+V57)*(1+V58)*(1+V59)*1*(1+V60)*1*(1+V61)*(1+V62)*(1+V63)*(1+V64)*(1+V65)*(1+V66)*(1+V67)*(1+V68)*(1+V69)*(1+V70)*(1+V71)*(1+V72)*(1+V73)-1</f>
        <v>3.7711726899999976</v>
      </c>
      <c r="W74" s="145"/>
    </row>
    <row r="75" spans="1:23" ht="18" customHeight="1" x14ac:dyDescent="0.2">
      <c r="A75" s="118">
        <f t="shared" si="23"/>
        <v>43251</v>
      </c>
      <c r="B75" s="139"/>
      <c r="C75" s="140">
        <v>488.5915</v>
      </c>
      <c r="D75" s="140">
        <v>147.9358</v>
      </c>
      <c r="E75" s="141">
        <v>154.57149999999999</v>
      </c>
      <c r="F75" s="122">
        <f t="shared" si="25"/>
        <v>-2.8281555842563755E-2</v>
      </c>
      <c r="G75" s="123">
        <f t="shared" si="24"/>
        <v>-1.8421476217977961E-2</v>
      </c>
      <c r="I75" s="191"/>
      <c r="J75" s="189"/>
      <c r="K75" s="21"/>
      <c r="L75" s="21"/>
      <c r="M75" s="21"/>
      <c r="N75" s="21"/>
      <c r="O75" s="21"/>
      <c r="P75" s="21"/>
      <c r="Q75" s="21"/>
      <c r="R75" s="179" t="s">
        <v>40</v>
      </c>
      <c r="S75" s="180">
        <f>A$7</f>
        <v>45322</v>
      </c>
      <c r="T75" s="21"/>
      <c r="U75" s="182" t="s">
        <v>42</v>
      </c>
      <c r="V75" s="192">
        <f>(1+V74)^(1/S76)-1</f>
        <v>5.7215126146533013E-2</v>
      </c>
      <c r="W75" s="145"/>
    </row>
    <row r="76" spans="1:23" ht="18" customHeight="1" thickBot="1" x14ac:dyDescent="0.25">
      <c r="A76" s="118">
        <f t="shared" si="23"/>
        <v>43220</v>
      </c>
      <c r="B76" s="139"/>
      <c r="C76" s="140">
        <v>502.81180000000001</v>
      </c>
      <c r="D76" s="140">
        <v>149.30340000000001</v>
      </c>
      <c r="E76" s="141">
        <v>154.43340000000001</v>
      </c>
      <c r="F76" s="122">
        <f t="shared" si="25"/>
        <v>1.0423921968487848E-2</v>
      </c>
      <c r="G76" s="123">
        <f t="shared" si="24"/>
        <v>2.2696673079880991E-2</v>
      </c>
      <c r="I76" s="193"/>
      <c r="J76" s="194"/>
      <c r="K76" s="184"/>
      <c r="L76" s="184"/>
      <c r="M76" s="184"/>
      <c r="N76" s="184"/>
      <c r="O76" s="184"/>
      <c r="P76" s="184"/>
      <c r="Q76" s="184"/>
      <c r="R76" s="185" t="s">
        <v>41</v>
      </c>
      <c r="S76" s="186">
        <f>(S75-S74)/365.25</f>
        <v>28.084873374401095</v>
      </c>
      <c r="T76" s="184"/>
      <c r="U76" s="185"/>
      <c r="V76" s="195"/>
    </row>
    <row r="77" spans="1:23" ht="18" customHeight="1" x14ac:dyDescent="0.2">
      <c r="A77" s="118">
        <f t="shared" si="23"/>
        <v>43190</v>
      </c>
      <c r="B77" s="139"/>
      <c r="C77" s="140">
        <v>497.62459999999999</v>
      </c>
      <c r="D77" s="140">
        <v>151.01480000000001</v>
      </c>
      <c r="E77" s="141">
        <v>154.32910000000001</v>
      </c>
      <c r="F77" s="122">
        <f t="shared" si="25"/>
        <v>-2.2221357669700903E-2</v>
      </c>
      <c r="G77" s="123">
        <f t="shared" si="24"/>
        <v>-2.5907893367941304E-2</v>
      </c>
      <c r="I77" s="37"/>
      <c r="J77" s="35"/>
      <c r="V77" s="2"/>
    </row>
    <row r="78" spans="1:23" ht="18" customHeight="1" x14ac:dyDescent="0.25">
      <c r="A78" s="118">
        <f t="shared" si="23"/>
        <v>43159</v>
      </c>
      <c r="B78" s="139"/>
      <c r="C78" s="140">
        <v>508.93380000000002</v>
      </c>
      <c r="D78" s="140">
        <v>150.34960000000001</v>
      </c>
      <c r="E78" s="141">
        <v>154.23079999999999</v>
      </c>
      <c r="F78" s="122">
        <f t="shared" si="25"/>
        <v>-9.382504198020003E-3</v>
      </c>
      <c r="G78" s="123">
        <f t="shared" si="24"/>
        <v>-1.572044872700129E-3</v>
      </c>
      <c r="I78" s="136" t="s">
        <v>33</v>
      </c>
      <c r="J78" s="136"/>
      <c r="K78" s="136"/>
      <c r="L78" s="136"/>
      <c r="M78" s="136"/>
      <c r="N78" s="136"/>
      <c r="O78" s="136"/>
      <c r="P78" s="136"/>
      <c r="Q78" s="136"/>
      <c r="R78" s="136"/>
    </row>
    <row r="79" spans="1:23" ht="18" customHeight="1" x14ac:dyDescent="0.2">
      <c r="A79" s="118">
        <f t="shared" si="23"/>
        <v>43131</v>
      </c>
      <c r="B79" s="139"/>
      <c r="C79" s="140">
        <v>513.75409999999999</v>
      </c>
      <c r="D79" s="140">
        <v>151.44630000000001</v>
      </c>
      <c r="E79" s="141">
        <v>154.1405</v>
      </c>
      <c r="F79" s="122">
        <f t="shared" si="25"/>
        <v>1.1399239748824508E-2</v>
      </c>
      <c r="G79" s="123">
        <f t="shared" si="24"/>
        <v>-8.7859101492733238E-3</v>
      </c>
      <c r="I79" s="37"/>
      <c r="J79" s="35"/>
    </row>
    <row r="80" spans="1:23" ht="18" customHeight="1" x14ac:dyDescent="0.2">
      <c r="A80" s="118">
        <f t="shared" si="23"/>
        <v>43100</v>
      </c>
      <c r="B80" s="139"/>
      <c r="C80" s="140">
        <v>507.96370000000002</v>
      </c>
      <c r="D80" s="140">
        <v>148.33779999999999</v>
      </c>
      <c r="E80" s="141">
        <v>154.05119999999999</v>
      </c>
      <c r="F80" s="122">
        <f t="shared" si="25"/>
        <v>2.0083423885594698E-2</v>
      </c>
      <c r="G80" s="123">
        <f t="shared" si="24"/>
        <v>1.4467281549057187E-2</v>
      </c>
      <c r="I80" s="37"/>
      <c r="J80" s="35"/>
    </row>
    <row r="81" spans="1:23" ht="18" customHeight="1" x14ac:dyDescent="0.2">
      <c r="A81" s="118">
        <f t="shared" si="23"/>
        <v>43069</v>
      </c>
      <c r="B81" s="139"/>
      <c r="C81" s="140">
        <v>497.96289999999999</v>
      </c>
      <c r="D81" s="140">
        <v>147.44239999999999</v>
      </c>
      <c r="E81" s="141">
        <v>153.96899999999999</v>
      </c>
      <c r="F81" s="122">
        <f t="shared" si="25"/>
        <v>1.0704933967432106E-2</v>
      </c>
      <c r="G81" s="123">
        <f t="shared" si="24"/>
        <v>6.6522138009117437E-3</v>
      </c>
      <c r="I81" s="37"/>
      <c r="J81" s="35"/>
    </row>
    <row r="82" spans="1:23" ht="18" customHeight="1" x14ac:dyDescent="0.25">
      <c r="A82" s="118">
        <f t="shared" si="23"/>
        <v>43039</v>
      </c>
      <c r="B82" s="139"/>
      <c r="C82" s="140">
        <v>492.68869999999998</v>
      </c>
      <c r="D82" s="140">
        <v>146.77250000000001</v>
      </c>
      <c r="E82" s="141">
        <v>153.88650000000001</v>
      </c>
      <c r="F82" s="122">
        <f t="shared" si="25"/>
        <v>5.3031108386893955E-3</v>
      </c>
      <c r="G82" s="123">
        <f t="shared" si="24"/>
        <v>1.0179900475042469E-3</v>
      </c>
      <c r="I82" s="37"/>
      <c r="J82" s="35"/>
      <c r="W82" s="136"/>
    </row>
    <row r="83" spans="1:23" ht="18" customHeight="1" x14ac:dyDescent="0.2">
      <c r="A83" s="118">
        <f t="shared" si="23"/>
        <v>43008</v>
      </c>
      <c r="B83" s="139"/>
      <c r="C83" s="140">
        <v>490.08969999999999</v>
      </c>
      <c r="D83" s="140">
        <v>147.09819999999999</v>
      </c>
      <c r="E83" s="141">
        <v>154.88820000000001</v>
      </c>
      <c r="F83" s="122">
        <f t="shared" si="25"/>
        <v>8.0029008715984951E-3</v>
      </c>
      <c r="G83" s="123">
        <f t="shared" si="24"/>
        <v>9.5069898081254767E-3</v>
      </c>
      <c r="I83" s="34"/>
      <c r="J83" s="35"/>
    </row>
    <row r="84" spans="1:23" ht="18" customHeight="1" x14ac:dyDescent="0.2">
      <c r="A84" s="118">
        <f t="shared" si="23"/>
        <v>42978</v>
      </c>
      <c r="B84" s="139"/>
      <c r="C84" s="140">
        <v>486.19869999999997</v>
      </c>
      <c r="D84" s="140">
        <v>147.26499999999999</v>
      </c>
      <c r="E84" s="141">
        <v>154.83279999999999</v>
      </c>
      <c r="F84" s="122">
        <f t="shared" si="25"/>
        <v>1.7631528494177484E-2</v>
      </c>
      <c r="G84" s="123">
        <f t="shared" si="24"/>
        <v>1.7224719844516123E-2</v>
      </c>
      <c r="H84" s="36"/>
      <c r="I84" s="37"/>
      <c r="J84" s="35"/>
    </row>
    <row r="85" spans="1:23" ht="18" customHeight="1" x14ac:dyDescent="0.2">
      <c r="A85" s="118">
        <f t="shared" si="23"/>
        <v>42947</v>
      </c>
      <c r="B85" s="139"/>
      <c r="C85" s="140">
        <v>477.77480000000003</v>
      </c>
      <c r="D85" s="140">
        <v>147.143</v>
      </c>
      <c r="E85" s="141">
        <v>154.7664</v>
      </c>
      <c r="F85" s="122">
        <f t="shared" si="25"/>
        <v>1.9606370208339108E-2</v>
      </c>
      <c r="G85" s="123">
        <f t="shared" si="24"/>
        <v>5.93441407776929E-3</v>
      </c>
      <c r="H85" s="36"/>
      <c r="I85" s="37"/>
      <c r="J85" s="35"/>
    </row>
    <row r="86" spans="1:23" ht="18" customHeight="1" x14ac:dyDescent="0.2">
      <c r="A86" s="118">
        <f t="shared" si="23"/>
        <v>42916</v>
      </c>
      <c r="B86" s="139"/>
      <c r="C86" s="140">
        <v>468.58749999999998</v>
      </c>
      <c r="D86" s="140">
        <v>145.11930000000001</v>
      </c>
      <c r="E86" s="141">
        <v>154.7124</v>
      </c>
      <c r="F86" s="122">
        <f t="shared" si="25"/>
        <v>-1.4371505549460872E-3</v>
      </c>
      <c r="G86" s="123">
        <f t="shared" si="24"/>
        <v>-4.8054041384139046E-3</v>
      </c>
      <c r="H86" s="36"/>
      <c r="I86" s="37"/>
      <c r="J86" s="35"/>
    </row>
    <row r="87" spans="1:23" ht="18" customHeight="1" x14ac:dyDescent="0.2">
      <c r="A87" s="118">
        <f t="shared" si="23"/>
        <v>42886</v>
      </c>
      <c r="B87" s="139"/>
      <c r="C87" s="140">
        <v>469.26190000000003</v>
      </c>
      <c r="D87" s="140">
        <v>144.58529999999999</v>
      </c>
      <c r="E87" s="141">
        <v>154.66480000000001</v>
      </c>
      <c r="F87" s="122">
        <f t="shared" si="25"/>
        <v>-2.7931708417954226E-3</v>
      </c>
      <c r="G87" s="123">
        <f t="shared" si="24"/>
        <v>-1.1862434473022931E-2</v>
      </c>
      <c r="H87" s="36"/>
      <c r="I87" s="37"/>
      <c r="J87" s="35"/>
    </row>
    <row r="88" spans="1:23" ht="18" customHeight="1" x14ac:dyDescent="0.2">
      <c r="A88" s="118">
        <f t="shared" si="23"/>
        <v>42855</v>
      </c>
      <c r="B88" s="139"/>
      <c r="C88" s="140">
        <v>470.5763</v>
      </c>
      <c r="D88" s="140">
        <v>143.21809999999999</v>
      </c>
      <c r="E88" s="141">
        <v>154.60839999999999</v>
      </c>
      <c r="F88" s="122">
        <f t="shared" si="25"/>
        <v>5.1526815389479896E-3</v>
      </c>
      <c r="G88" s="123">
        <f t="shared" si="24"/>
        <v>3.9324788221151152E-4</v>
      </c>
      <c r="H88" s="36"/>
      <c r="I88" s="37"/>
      <c r="J88" s="35"/>
    </row>
    <row r="89" spans="1:23" ht="18" customHeight="1" x14ac:dyDescent="0.2">
      <c r="A89" s="118">
        <f t="shared" si="23"/>
        <v>42825</v>
      </c>
      <c r="B89" s="139"/>
      <c r="C89" s="140">
        <v>468.16399999999999</v>
      </c>
      <c r="D89" s="140">
        <v>142.5052</v>
      </c>
      <c r="E89" s="141">
        <v>154.57069999999999</v>
      </c>
      <c r="F89" s="122">
        <f t="shared" si="25"/>
        <v>-5.684726423337394E-3</v>
      </c>
      <c r="G89" s="123">
        <f t="shared" si="24"/>
        <v>-1.3066501603126279E-2</v>
      </c>
      <c r="H89" s="36"/>
      <c r="I89" s="37"/>
      <c r="J89" s="35"/>
    </row>
    <row r="90" spans="1:23" ht="18" customHeight="1" x14ac:dyDescent="0.2">
      <c r="A90" s="118">
        <f t="shared" si="23"/>
        <v>42794</v>
      </c>
      <c r="B90" s="139"/>
      <c r="C90" s="140">
        <v>470.84059999999999</v>
      </c>
      <c r="D90" s="140">
        <v>141.41</v>
      </c>
      <c r="E90" s="141">
        <v>154.53</v>
      </c>
      <c r="F90" s="122">
        <f t="shared" si="25"/>
        <v>1.2012202421956886E-2</v>
      </c>
      <c r="G90" s="123">
        <f t="shared" si="24"/>
        <v>1.7379201412798473E-2</v>
      </c>
      <c r="H90" s="36"/>
      <c r="I90" s="37"/>
      <c r="J90" s="35"/>
    </row>
    <row r="91" spans="1:23" ht="18" customHeight="1" x14ac:dyDescent="0.2">
      <c r="A91" s="118">
        <f t="shared" si="23"/>
        <v>42766</v>
      </c>
      <c r="B91" s="139"/>
      <c r="C91" s="140">
        <v>465.25189999999998</v>
      </c>
      <c r="D91" s="140">
        <v>142.1397</v>
      </c>
      <c r="E91" s="141">
        <v>154.50800000000001</v>
      </c>
      <c r="F91" s="122">
        <f t="shared" si="25"/>
        <v>3.7357655155406677E-2</v>
      </c>
      <c r="G91" s="123">
        <f t="shared" si="24"/>
        <v>2.1561989757862499E-2</v>
      </c>
      <c r="H91" s="36"/>
      <c r="I91" s="37"/>
      <c r="J91" s="35"/>
    </row>
    <row r="92" spans="1:23" ht="18" customHeight="1" x14ac:dyDescent="0.2">
      <c r="A92" s="118">
        <f t="shared" si="23"/>
        <v>42735</v>
      </c>
      <c r="B92" s="139"/>
      <c r="C92" s="140">
        <v>448.49709999999999</v>
      </c>
      <c r="D92" s="140">
        <v>139.95959999999999</v>
      </c>
      <c r="E92" s="141">
        <v>154.4906</v>
      </c>
      <c r="F92" s="122">
        <f t="shared" si="25"/>
        <v>4.8267844416409744E-3</v>
      </c>
      <c r="G92" s="123">
        <f t="shared" si="24"/>
        <v>1.1344976418063091E-2</v>
      </c>
      <c r="H92" s="36"/>
      <c r="I92" s="37"/>
      <c r="J92" s="35"/>
    </row>
    <row r="93" spans="1:23" ht="18" customHeight="1" x14ac:dyDescent="0.2">
      <c r="A93" s="118">
        <f t="shared" si="23"/>
        <v>42704</v>
      </c>
      <c r="B93" s="139"/>
      <c r="C93" s="140">
        <v>446.34269999999998</v>
      </c>
      <c r="D93" s="140">
        <v>140.8458</v>
      </c>
      <c r="E93" s="141">
        <v>154.46680000000001</v>
      </c>
      <c r="F93" s="122">
        <f t="shared" si="25"/>
        <v>-1.3695351840410264E-2</v>
      </c>
      <c r="G93" s="123">
        <f t="shared" si="24"/>
        <v>4.2099332008385115E-3</v>
      </c>
      <c r="H93" s="36"/>
      <c r="I93" s="37"/>
      <c r="J93" s="35"/>
    </row>
    <row r="94" spans="1:23" ht="18" customHeight="1" x14ac:dyDescent="0.2">
      <c r="A94" s="118">
        <f t="shared" si="23"/>
        <v>42674</v>
      </c>
      <c r="B94" s="139"/>
      <c r="C94" s="140">
        <v>452.54039999999998</v>
      </c>
      <c r="D94" s="140">
        <v>143.37809999999999</v>
      </c>
      <c r="E94" s="141">
        <v>154.44030000000001</v>
      </c>
      <c r="F94" s="122">
        <f t="shared" si="25"/>
        <v>-1.3891234395540963E-2</v>
      </c>
      <c r="G94" s="123">
        <f t="shared" si="24"/>
        <v>1.0698585116841741E-4</v>
      </c>
      <c r="H94" s="36"/>
      <c r="I94" s="37"/>
      <c r="J94" s="35"/>
    </row>
    <row r="95" spans="1:23" ht="18" customHeight="1" x14ac:dyDescent="0.2">
      <c r="A95" s="118">
        <f t="shared" si="23"/>
        <v>42643</v>
      </c>
      <c r="B95" s="139"/>
      <c r="C95" s="140">
        <v>458.9153</v>
      </c>
      <c r="D95" s="140">
        <v>146.16909999999999</v>
      </c>
      <c r="E95" s="141">
        <v>155.24289999999999</v>
      </c>
      <c r="F95" s="122">
        <f t="shared" si="25"/>
        <v>-2.0514997324178053E-3</v>
      </c>
      <c r="G95" s="123">
        <f t="shared" si="24"/>
        <v>-1.2255102775818871E-3</v>
      </c>
      <c r="H95" s="36"/>
      <c r="I95" s="34"/>
      <c r="J95" s="35"/>
    </row>
    <row r="96" spans="1:23" ht="18" customHeight="1" x14ac:dyDescent="0.2">
      <c r="A96" s="118">
        <f t="shared" si="23"/>
        <v>42613</v>
      </c>
      <c r="B96" s="139"/>
      <c r="C96" s="140">
        <v>459.8587</v>
      </c>
      <c r="D96" s="140">
        <v>145.50219999999999</v>
      </c>
      <c r="E96" s="141">
        <v>154.4068</v>
      </c>
      <c r="F96" s="122">
        <f t="shared" si="25"/>
        <v>1.5094771907999682E-3</v>
      </c>
      <c r="G96" s="123">
        <f t="shared" si="24"/>
        <v>-1.337863562645758E-3</v>
      </c>
      <c r="H96" s="36"/>
      <c r="I96" s="37"/>
      <c r="J96" s="35"/>
    </row>
    <row r="97" spans="1:10" ht="18" customHeight="1" x14ac:dyDescent="0.2">
      <c r="A97" s="118">
        <f t="shared" si="23"/>
        <v>42582</v>
      </c>
      <c r="B97" s="139"/>
      <c r="C97" s="140">
        <v>459.16559999999998</v>
      </c>
      <c r="D97" s="140">
        <v>145.06720000000001</v>
      </c>
      <c r="E97" s="141">
        <v>154.38409999999999</v>
      </c>
      <c r="F97" s="122">
        <f t="shared" si="25"/>
        <v>2.3942697729183449E-2</v>
      </c>
      <c r="G97" s="123">
        <f t="shared" si="24"/>
        <v>3.0153914130258253E-2</v>
      </c>
      <c r="H97" s="36"/>
      <c r="I97" s="37"/>
      <c r="J97" s="35"/>
    </row>
    <row r="98" spans="1:10" ht="18" customHeight="1" x14ac:dyDescent="0.2">
      <c r="A98" s="118">
        <f t="shared" si="23"/>
        <v>42551</v>
      </c>
      <c r="B98" s="139"/>
      <c r="C98" s="140">
        <v>448.42899999999997</v>
      </c>
      <c r="D98" s="140">
        <v>145.93289999999999</v>
      </c>
      <c r="E98" s="141">
        <v>154.369</v>
      </c>
      <c r="F98" s="122">
        <f t="shared" si="25"/>
        <v>-2.0278957743851023E-2</v>
      </c>
      <c r="G98" s="123">
        <f t="shared" si="24"/>
        <v>-2.1949027487339179E-2</v>
      </c>
      <c r="H98" s="36"/>
      <c r="I98" s="37"/>
      <c r="J98" s="35"/>
    </row>
    <row r="99" spans="1:10" ht="18" customHeight="1" x14ac:dyDescent="0.2">
      <c r="A99" s="118">
        <f t="shared" si="23"/>
        <v>42521</v>
      </c>
      <c r="B99" s="139"/>
      <c r="C99" s="140">
        <v>457.71089999999998</v>
      </c>
      <c r="D99" s="140">
        <v>145.65960000000001</v>
      </c>
      <c r="E99" s="141">
        <v>154.34299999999999</v>
      </c>
      <c r="F99" s="122">
        <f t="shared" si="25"/>
        <v>-8.9289542186749005E-3</v>
      </c>
      <c r="G99" s="123">
        <f t="shared" si="24"/>
        <v>-3.0797782915769067E-3</v>
      </c>
      <c r="H99" s="36"/>
      <c r="I99" s="37"/>
      <c r="J99" s="35"/>
    </row>
    <row r="100" spans="1:10" ht="18" customHeight="1" x14ac:dyDescent="0.2">
      <c r="A100" s="118">
        <f t="shared" si="23"/>
        <v>42490</v>
      </c>
      <c r="B100" s="119"/>
      <c r="C100" s="120">
        <v>461.83460000000002</v>
      </c>
      <c r="D100" s="120">
        <v>146.49799999999999</v>
      </c>
      <c r="E100" s="121">
        <v>154.32060000000001</v>
      </c>
      <c r="F100" s="122">
        <f t="shared" si="25"/>
        <v>4.1157399113278537E-3</v>
      </c>
      <c r="G100" s="123">
        <f t="shared" si="24"/>
        <v>2.0477396605063092E-3</v>
      </c>
      <c r="H100" s="36"/>
      <c r="I100" s="37"/>
      <c r="J100" s="35"/>
    </row>
    <row r="101" spans="1:10" ht="18" customHeight="1" x14ac:dyDescent="0.2">
      <c r="A101" s="118">
        <f t="shared" si="23"/>
        <v>42460</v>
      </c>
      <c r="B101" s="139"/>
      <c r="C101" s="140">
        <v>459.94159999999999</v>
      </c>
      <c r="D101" s="140">
        <v>146.17439999999999</v>
      </c>
      <c r="E101" s="141">
        <v>154.29750000000001</v>
      </c>
      <c r="F101" s="122">
        <f t="shared" si="25"/>
        <v>5.9478752230042176E-3</v>
      </c>
      <c r="G101" s="123">
        <f t="shared" si="24"/>
        <v>-1.1115471280162548E-2</v>
      </c>
      <c r="H101" s="36"/>
      <c r="I101" s="37"/>
      <c r="J101" s="35"/>
    </row>
    <row r="102" spans="1:10" ht="18" customHeight="1" x14ac:dyDescent="0.2">
      <c r="A102" s="118">
        <f t="shared" si="23"/>
        <v>42429</v>
      </c>
      <c r="B102" s="139"/>
      <c r="C102" s="140">
        <v>457.22210000000001</v>
      </c>
      <c r="D102" s="140">
        <v>143.66</v>
      </c>
      <c r="E102" s="141">
        <v>154.26</v>
      </c>
      <c r="F102" s="122">
        <f t="shared" si="25"/>
        <v>2.7682707736624845E-2</v>
      </c>
      <c r="G102" s="123">
        <f t="shared" si="24"/>
        <v>1.7046102158970733E-2</v>
      </c>
      <c r="H102" s="36"/>
      <c r="I102" s="37"/>
      <c r="J102" s="35"/>
    </row>
    <row r="103" spans="1:10" ht="18" customHeight="1" x14ac:dyDescent="0.2">
      <c r="A103" s="118">
        <f t="shared" si="23"/>
        <v>42400</v>
      </c>
      <c r="B103" s="139"/>
      <c r="C103" s="140">
        <v>444.90589999999997</v>
      </c>
      <c r="D103" s="140">
        <v>142.14259999999999</v>
      </c>
      <c r="E103" s="141">
        <v>154.2269</v>
      </c>
      <c r="F103" s="122">
        <f t="shared" si="25"/>
        <v>1.6795753061003005E-3</v>
      </c>
      <c r="G103" s="123">
        <f t="shared" si="24"/>
        <v>6.1826572707261995E-3</v>
      </c>
      <c r="H103" s="36"/>
      <c r="I103" s="37"/>
      <c r="J103" s="35"/>
    </row>
    <row r="104" spans="1:10" ht="18" customHeight="1" x14ac:dyDescent="0.2">
      <c r="A104" s="118">
        <f t="shared" si="23"/>
        <v>42369</v>
      </c>
      <c r="B104" s="139"/>
      <c r="C104" s="140">
        <v>444.15989999999999</v>
      </c>
      <c r="D104" s="140">
        <v>142.75049999999999</v>
      </c>
      <c r="E104" s="141">
        <v>154.19329999999999</v>
      </c>
      <c r="F104" s="122">
        <f t="shared" si="25"/>
        <v>-1.6296349909831198E-3</v>
      </c>
      <c r="G104" s="123">
        <f t="shared" si="24"/>
        <v>-4.7603945344437681E-3</v>
      </c>
      <c r="H104" s="36"/>
      <c r="I104" s="37"/>
      <c r="J104" s="35"/>
    </row>
    <row r="105" spans="1:10" ht="18" customHeight="1" x14ac:dyDescent="0.2">
      <c r="A105" s="118">
        <f t="shared" si="23"/>
        <v>42338</v>
      </c>
      <c r="B105" s="139"/>
      <c r="C105" s="140">
        <v>444.88490000000002</v>
      </c>
      <c r="D105" s="140">
        <v>142.26159999999999</v>
      </c>
      <c r="E105" s="141">
        <v>154.14859999999999</v>
      </c>
      <c r="F105" s="122">
        <f t="shared" si="25"/>
        <v>-1.5047764830853128E-2</v>
      </c>
      <c r="G105" s="123">
        <f t="shared" si="24"/>
        <v>-6.1567234606859644E-3</v>
      </c>
      <c r="H105" s="36"/>
      <c r="I105" s="37"/>
      <c r="J105" s="35"/>
    </row>
    <row r="106" spans="1:10" ht="18" customHeight="1" x14ac:dyDescent="0.2">
      <c r="A106" s="118">
        <f t="shared" si="23"/>
        <v>42308</v>
      </c>
      <c r="B106" s="139"/>
      <c r="C106" s="140">
        <v>451.68169999999998</v>
      </c>
      <c r="D106" s="140">
        <v>143.51840000000001</v>
      </c>
      <c r="E106" s="141">
        <v>154.11920000000001</v>
      </c>
      <c r="F106" s="122">
        <f t="shared" si="25"/>
        <v>2.8267927804790149E-2</v>
      </c>
      <c r="G106" s="123">
        <f t="shared" si="24"/>
        <v>3.2018472085298066E-2</v>
      </c>
      <c r="H106" s="36"/>
      <c r="I106" s="37"/>
      <c r="J106" s="35"/>
    </row>
    <row r="107" spans="1:10" ht="18" customHeight="1" x14ac:dyDescent="0.2">
      <c r="A107" s="118">
        <f t="shared" si="23"/>
        <v>42277</v>
      </c>
      <c r="B107" s="139"/>
      <c r="C107" s="140">
        <v>439.26459999999997</v>
      </c>
      <c r="D107" s="140">
        <v>144.0215</v>
      </c>
      <c r="E107" s="141">
        <v>154.09739999999999</v>
      </c>
      <c r="F107" s="122">
        <f t="shared" si="25"/>
        <v>1.1756484469795048E-2</v>
      </c>
      <c r="G107" s="123">
        <f t="shared" si="24"/>
        <v>1.8878925955233994E-2</v>
      </c>
      <c r="H107" s="36"/>
      <c r="I107" s="37"/>
      <c r="J107" s="35"/>
    </row>
    <row r="108" spans="1:10" ht="18" customHeight="1" x14ac:dyDescent="0.2">
      <c r="A108" s="118">
        <f t="shared" si="23"/>
        <v>42247</v>
      </c>
      <c r="B108" s="139"/>
      <c r="C108" s="140">
        <v>434.16039999999998</v>
      </c>
      <c r="D108" s="140">
        <v>145.006</v>
      </c>
      <c r="E108" s="141">
        <v>154.06620000000001</v>
      </c>
      <c r="F108" s="122">
        <f t="shared" si="25"/>
        <v>-2.6856023418552866E-2</v>
      </c>
      <c r="G108" s="123">
        <f t="shared" si="24"/>
        <v>-3.1934136748412056E-2</v>
      </c>
      <c r="H108" s="36"/>
      <c r="I108" s="37"/>
      <c r="J108" s="35"/>
    </row>
    <row r="109" spans="1:10" ht="18" customHeight="1" x14ac:dyDescent="0.2">
      <c r="A109" s="118">
        <f t="shared" si="23"/>
        <v>42216</v>
      </c>
      <c r="B109" s="139"/>
      <c r="C109" s="140">
        <v>446.142</v>
      </c>
      <c r="D109" s="140">
        <v>144.2276</v>
      </c>
      <c r="E109" s="141">
        <v>154.04300000000001</v>
      </c>
      <c r="F109" s="122">
        <f t="shared" si="25"/>
        <v>-2.9909714645049101E-2</v>
      </c>
      <c r="G109" s="123">
        <f t="shared" si="24"/>
        <v>-1.9908522004856821E-2</v>
      </c>
      <c r="H109" s="36"/>
      <c r="I109" s="37"/>
      <c r="J109" s="35"/>
    </row>
    <row r="110" spans="1:10" ht="18" customHeight="1" x14ac:dyDescent="0.2">
      <c r="A110" s="118">
        <f t="shared" si="23"/>
        <v>42185</v>
      </c>
      <c r="B110" s="139"/>
      <c r="C110" s="140">
        <v>459.8974</v>
      </c>
      <c r="D110" s="140">
        <v>145.69739999999999</v>
      </c>
      <c r="E110" s="141">
        <v>154.0249</v>
      </c>
      <c r="F110" s="122">
        <f t="shared" si="25"/>
        <v>-1.1475886237620303E-2</v>
      </c>
      <c r="G110" s="123">
        <f t="shared" si="24"/>
        <v>-1.998929723777132E-2</v>
      </c>
      <c r="H110" s="36"/>
      <c r="I110" s="37"/>
      <c r="J110" s="35"/>
    </row>
    <row r="111" spans="1:10" ht="18" customHeight="1" x14ac:dyDescent="0.2">
      <c r="A111" s="118">
        <f t="shared" si="23"/>
        <v>42155</v>
      </c>
      <c r="B111" s="139"/>
      <c r="C111" s="140">
        <v>465.2364</v>
      </c>
      <c r="D111" s="140">
        <v>144.42330000000001</v>
      </c>
      <c r="E111" s="141">
        <v>154.0043</v>
      </c>
      <c r="F111" s="122">
        <f t="shared" si="25"/>
        <v>-2.2295672735931027E-2</v>
      </c>
      <c r="G111" s="123">
        <f t="shared" si="24"/>
        <v>-9.7020896146925439E-3</v>
      </c>
      <c r="H111" s="36"/>
      <c r="I111" s="37"/>
      <c r="J111" s="35"/>
    </row>
    <row r="112" spans="1:10" ht="18" customHeight="1" x14ac:dyDescent="0.2">
      <c r="A112" s="118">
        <f t="shared" si="23"/>
        <v>42124</v>
      </c>
      <c r="B112" s="139"/>
      <c r="C112" s="140">
        <v>475.84570000000002</v>
      </c>
      <c r="D112" s="140">
        <v>146.27000000000001</v>
      </c>
      <c r="E112" s="141">
        <v>153.99</v>
      </c>
      <c r="F112" s="122">
        <f t="shared" si="25"/>
        <v>3.1405871902936644E-2</v>
      </c>
      <c r="G112" s="123">
        <f t="shared" si="24"/>
        <v>1.0338684662702269E-2</v>
      </c>
      <c r="H112" s="36"/>
      <c r="I112" s="37"/>
      <c r="J112" s="35"/>
    </row>
    <row r="113" spans="1:10" ht="18" customHeight="1" x14ac:dyDescent="0.2">
      <c r="A113" s="118">
        <f t="shared" si="23"/>
        <v>42094</v>
      </c>
      <c r="B113" s="139"/>
      <c r="C113" s="140">
        <v>461.35640000000001</v>
      </c>
      <c r="D113" s="140">
        <v>143.2627</v>
      </c>
      <c r="E113" s="141">
        <v>153.96889999999999</v>
      </c>
      <c r="F113" s="122">
        <f t="shared" si="25"/>
        <v>-1.9420872283545498E-2</v>
      </c>
      <c r="G113" s="123">
        <f t="shared" si="24"/>
        <v>1.242884738091643E-3</v>
      </c>
      <c r="H113" s="36"/>
      <c r="I113" s="37"/>
      <c r="J113" s="35"/>
    </row>
    <row r="114" spans="1:10" ht="18" customHeight="1" x14ac:dyDescent="0.2">
      <c r="A114" s="118">
        <f t="shared" si="23"/>
        <v>42063</v>
      </c>
      <c r="B114" s="139"/>
      <c r="C114" s="140">
        <v>470.49380000000002</v>
      </c>
      <c r="D114" s="140">
        <v>146.25839999999999</v>
      </c>
      <c r="E114" s="141">
        <v>153.9444</v>
      </c>
      <c r="F114" s="122">
        <f t="shared" si="25"/>
        <v>-5.8935127833635859E-3</v>
      </c>
      <c r="G114" s="123">
        <f t="shared" si="24"/>
        <v>-6.5396498095786626E-3</v>
      </c>
      <c r="H114" s="36"/>
      <c r="I114" s="37"/>
      <c r="J114" s="35"/>
    </row>
    <row r="115" spans="1:10" ht="18" customHeight="1" x14ac:dyDescent="0.2">
      <c r="A115" s="118">
        <f t="shared" si="23"/>
        <v>42035</v>
      </c>
      <c r="B115" s="139"/>
      <c r="C115" s="140">
        <v>473.28309999999999</v>
      </c>
      <c r="D115" s="140">
        <v>146.149</v>
      </c>
      <c r="E115" s="141">
        <v>153.92930000000001</v>
      </c>
      <c r="F115" s="122">
        <f t="shared" si="25"/>
        <v>3.6225848813782324E-2</v>
      </c>
      <c r="G115" s="123">
        <f t="shared" si="24"/>
        <v>5.0915479464648028E-2</v>
      </c>
      <c r="H115" s="36"/>
      <c r="I115" s="37"/>
      <c r="J115" s="35"/>
    </row>
    <row r="116" spans="1:10" ht="18" customHeight="1" x14ac:dyDescent="0.2">
      <c r="A116" s="118">
        <f t="shared" si="23"/>
        <v>42004</v>
      </c>
      <c r="B116" s="139"/>
      <c r="C116" s="140">
        <v>456.73739999999998</v>
      </c>
      <c r="D116" s="140">
        <v>148.20320000000001</v>
      </c>
      <c r="E116" s="141">
        <v>153.911</v>
      </c>
      <c r="F116" s="122">
        <f t="shared" si="25"/>
        <v>-1.0477206875439515E-2</v>
      </c>
      <c r="G116" s="123">
        <f t="shared" si="24"/>
        <v>4.7512106620846151E-3</v>
      </c>
      <c r="H116" s="36"/>
      <c r="I116" s="37"/>
      <c r="J116" s="34"/>
    </row>
    <row r="117" spans="1:10" ht="18" customHeight="1" x14ac:dyDescent="0.2">
      <c r="A117" s="118">
        <f t="shared" si="23"/>
        <v>41973</v>
      </c>
      <c r="B117" s="139"/>
      <c r="C117" s="140">
        <v>461.57339999999999</v>
      </c>
      <c r="D117" s="140">
        <v>150.45750000000001</v>
      </c>
      <c r="E117" s="141">
        <v>153.88390000000001</v>
      </c>
      <c r="F117" s="122">
        <f t="shared" si="25"/>
        <v>1.7081671047944891E-3</v>
      </c>
      <c r="G117" s="123">
        <f t="shared" si="24"/>
        <v>1.5568342553480496E-2</v>
      </c>
      <c r="H117" s="36"/>
    </row>
    <row r="118" spans="1:10" ht="18" customHeight="1" x14ac:dyDescent="0.2">
      <c r="A118" s="118">
        <f t="shared" si="23"/>
        <v>41943</v>
      </c>
      <c r="B118" s="139"/>
      <c r="C118" s="140">
        <v>460.78629999999998</v>
      </c>
      <c r="D118" s="140">
        <v>152.5179</v>
      </c>
      <c r="E118" s="141">
        <v>153.8623</v>
      </c>
      <c r="F118" s="122">
        <f t="shared" si="25"/>
        <v>-4.6874563680828429E-2</v>
      </c>
      <c r="G118" s="123">
        <f t="shared" si="24"/>
        <v>-4.1135080390043988E-2</v>
      </c>
      <c r="H118" s="36"/>
    </row>
    <row r="119" spans="1:10" ht="18" customHeight="1" x14ac:dyDescent="0.2">
      <c r="A119" s="118">
        <f t="shared" si="23"/>
        <v>41912</v>
      </c>
      <c r="B119" s="139"/>
      <c r="C119" s="140">
        <v>483.4477</v>
      </c>
      <c r="D119" s="140">
        <v>153.4092</v>
      </c>
      <c r="E119" s="141">
        <v>153.83510000000001</v>
      </c>
      <c r="F119" s="122">
        <f t="shared" si="25"/>
        <v>-3.2042363289473852E-2</v>
      </c>
      <c r="G119" s="123">
        <f t="shared" si="24"/>
        <v>-1.4989104689216659E-2</v>
      </c>
      <c r="H119" s="36"/>
    </row>
    <row r="120" spans="1:10" ht="18" customHeight="1" x14ac:dyDescent="0.2">
      <c r="A120" s="118">
        <f t="shared" si="23"/>
        <v>41882</v>
      </c>
      <c r="B120" s="139"/>
      <c r="C120" s="140">
        <v>499.4513</v>
      </c>
      <c r="D120" s="140">
        <v>156.08940000000001</v>
      </c>
      <c r="E120" s="141">
        <v>153.81290000000001</v>
      </c>
      <c r="F120" s="122">
        <f t="shared" si="25"/>
        <v>1.7505768900984986E-3</v>
      </c>
      <c r="G120" s="123">
        <f t="shared" si="24"/>
        <v>8.3917820742762661E-3</v>
      </c>
      <c r="H120" s="36"/>
    </row>
    <row r="121" spans="1:10" ht="18" customHeight="1" x14ac:dyDescent="0.2">
      <c r="A121" s="118">
        <f t="shared" si="23"/>
        <v>41851</v>
      </c>
      <c r="B121" s="139"/>
      <c r="C121" s="140">
        <v>498.57850000000002</v>
      </c>
      <c r="D121" s="140">
        <v>157.1</v>
      </c>
      <c r="E121" s="141">
        <v>153.78919999999999</v>
      </c>
      <c r="F121" s="122">
        <f t="shared" si="25"/>
        <v>3.1144969976690806E-3</v>
      </c>
      <c r="G121" s="123">
        <f t="shared" si="24"/>
        <v>8.949567030265948E-3</v>
      </c>
      <c r="H121" s="36"/>
    </row>
    <row r="122" spans="1:10" ht="18" customHeight="1" x14ac:dyDescent="0.2">
      <c r="A122" s="118">
        <f t="shared" si="23"/>
        <v>41820</v>
      </c>
      <c r="B122" s="139"/>
      <c r="C122" s="140">
        <v>497.03050000000002</v>
      </c>
      <c r="D122" s="140">
        <v>157.98230000000001</v>
      </c>
      <c r="E122" s="141">
        <v>153.7585</v>
      </c>
      <c r="F122" s="122">
        <f t="shared" si="25"/>
        <v>1.6305695808722209E-2</v>
      </c>
      <c r="G122" s="123">
        <f t="shared" si="24"/>
        <v>1.9870475162327761E-2</v>
      </c>
      <c r="H122" s="36"/>
    </row>
    <row r="123" spans="1:10" ht="18" customHeight="1" x14ac:dyDescent="0.2">
      <c r="A123" s="118">
        <f t="shared" si="23"/>
        <v>41790</v>
      </c>
      <c r="B123" s="139"/>
      <c r="C123" s="140">
        <v>489.05610000000001</v>
      </c>
      <c r="D123" s="140">
        <v>158.512</v>
      </c>
      <c r="E123" s="141">
        <v>153.73480000000001</v>
      </c>
      <c r="F123" s="122">
        <f t="shared" si="25"/>
        <v>-2.7902169278672839E-2</v>
      </c>
      <c r="G123" s="123">
        <f t="shared" si="24"/>
        <v>-2.7747476560001982E-2</v>
      </c>
      <c r="H123" s="36"/>
    </row>
    <row r="124" spans="1:10" ht="18" customHeight="1" x14ac:dyDescent="0.2">
      <c r="A124" s="118">
        <f t="shared" si="23"/>
        <v>41759</v>
      </c>
      <c r="B124" s="139"/>
      <c r="C124" s="140">
        <v>503.09350000000001</v>
      </c>
      <c r="D124" s="140">
        <v>158.49019999999999</v>
      </c>
      <c r="E124" s="141">
        <v>153.6892</v>
      </c>
      <c r="F124" s="122">
        <f t="shared" si="25"/>
        <v>1.9779436148536611E-2</v>
      </c>
      <c r="G124" s="123">
        <f t="shared" si="24"/>
        <v>1.5014390933918653E-2</v>
      </c>
      <c r="H124" s="36"/>
    </row>
    <row r="125" spans="1:10" ht="18" customHeight="1" x14ac:dyDescent="0.2">
      <c r="A125" s="118">
        <f t="shared" si="23"/>
        <v>41729</v>
      </c>
      <c r="B125" s="139"/>
      <c r="C125" s="140">
        <v>493.3356</v>
      </c>
      <c r="D125" s="140">
        <v>157.69</v>
      </c>
      <c r="E125" s="141">
        <v>153.6311</v>
      </c>
      <c r="F125" s="122">
        <f t="shared" si="25"/>
        <v>-4.8958515907631117E-3</v>
      </c>
      <c r="G125" s="123">
        <f t="shared" si="24"/>
        <v>-7.1280394132781089E-3</v>
      </c>
      <c r="H125" s="36"/>
    </row>
    <row r="126" spans="1:10" ht="18" customHeight="1" x14ac:dyDescent="0.2">
      <c r="A126" s="118">
        <f t="shared" si="23"/>
        <v>41698</v>
      </c>
      <c r="B126" s="139"/>
      <c r="C126" s="140">
        <v>495.76278100000002</v>
      </c>
      <c r="D126" s="140">
        <v>157.28639999999999</v>
      </c>
      <c r="E126" s="141">
        <v>153.58240000000001</v>
      </c>
      <c r="F126" s="122">
        <f t="shared" si="25"/>
        <v>7.8419179464015443E-3</v>
      </c>
      <c r="G126" s="123">
        <f t="shared" si="24"/>
        <v>5.0779248093348883E-3</v>
      </c>
      <c r="H126" s="36"/>
    </row>
    <row r="127" spans="1:10" ht="18" customHeight="1" x14ac:dyDescent="0.2">
      <c r="A127" s="118">
        <f t="shared" si="23"/>
        <v>41670</v>
      </c>
      <c r="B127" s="139"/>
      <c r="C127" s="140">
        <v>491.90530000000001</v>
      </c>
      <c r="D127" s="140">
        <v>156.80500000000001</v>
      </c>
      <c r="E127" s="141">
        <v>153.5334</v>
      </c>
      <c r="F127" s="122">
        <f t="shared" si="25"/>
        <v>1.5434898298654076E-2</v>
      </c>
      <c r="G127" s="123">
        <f t="shared" si="24"/>
        <v>1.6588284894118788E-2</v>
      </c>
      <c r="H127" s="36"/>
    </row>
    <row r="128" spans="1:10" ht="18" customHeight="1" x14ac:dyDescent="0.2">
      <c r="A128" s="118">
        <f t="shared" si="23"/>
        <v>41639</v>
      </c>
      <c r="B128" s="139"/>
      <c r="C128" s="140">
        <v>484.4282</v>
      </c>
      <c r="D128" s="140">
        <v>156.93270000000001</v>
      </c>
      <c r="E128" s="141">
        <v>153.48410000000001</v>
      </c>
      <c r="F128" s="122">
        <f t="shared" si="25"/>
        <v>3.3578634941084928E-3</v>
      </c>
      <c r="G128" s="123">
        <f t="shared" si="24"/>
        <v>2.583385386058179E-3</v>
      </c>
      <c r="H128" s="36"/>
    </row>
    <row r="129" spans="1:8" ht="18" customHeight="1" x14ac:dyDescent="0.2">
      <c r="A129" s="118">
        <f t="shared" si="23"/>
        <v>41608</v>
      </c>
      <c r="B129" s="139"/>
      <c r="C129" s="140">
        <v>482.80700000000002</v>
      </c>
      <c r="D129" s="140">
        <v>156.74719999999999</v>
      </c>
      <c r="E129" s="141">
        <v>153.4211</v>
      </c>
      <c r="F129" s="122">
        <f t="shared" si="25"/>
        <v>-2.0680819800784067E-2</v>
      </c>
      <c r="G129" s="123">
        <f t="shared" si="24"/>
        <v>-1.339970320516759E-2</v>
      </c>
      <c r="H129" s="36"/>
    </row>
    <row r="130" spans="1:8" ht="18" customHeight="1" x14ac:dyDescent="0.2">
      <c r="A130" s="118">
        <f t="shared" si="23"/>
        <v>41578</v>
      </c>
      <c r="B130" s="139"/>
      <c r="C130" s="140">
        <v>493.0027</v>
      </c>
      <c r="D130" s="140">
        <v>157.86000000000001</v>
      </c>
      <c r="E130" s="141">
        <v>153.37</v>
      </c>
      <c r="F130" s="122">
        <f t="shared" si="25"/>
        <v>1.158577410407946E-2</v>
      </c>
      <c r="G130" s="123">
        <f t="shared" si="24"/>
        <v>7.0519384159002385E-3</v>
      </c>
      <c r="H130" s="36"/>
    </row>
    <row r="131" spans="1:8" ht="18" customHeight="1" x14ac:dyDescent="0.2">
      <c r="A131" s="118">
        <f t="shared" si="23"/>
        <v>41547</v>
      </c>
      <c r="B131" s="139"/>
      <c r="C131" s="140">
        <v>487.35629999999998</v>
      </c>
      <c r="D131" s="140">
        <v>157.0866</v>
      </c>
      <c r="E131" s="141">
        <v>153.3057</v>
      </c>
      <c r="F131" s="122">
        <f t="shared" si="25"/>
        <v>4.1403694022390525E-4</v>
      </c>
      <c r="G131" s="123">
        <f t="shared" si="24"/>
        <v>-9.1436728092121333E-3</v>
      </c>
      <c r="H131" s="36"/>
    </row>
    <row r="132" spans="1:8" ht="18" customHeight="1" x14ac:dyDescent="0.2">
      <c r="A132" s="118">
        <f t="shared" si="23"/>
        <v>41517</v>
      </c>
      <c r="B132" s="139"/>
      <c r="C132" s="140">
        <v>487.15460000000002</v>
      </c>
      <c r="D132" s="140">
        <v>155.53579999999999</v>
      </c>
      <c r="E132" s="141">
        <v>153.25640000000001</v>
      </c>
      <c r="F132" s="122">
        <f t="shared" si="25"/>
        <v>9.1810474212214999E-3</v>
      </c>
      <c r="G132" s="123">
        <f t="shared" si="24"/>
        <v>7.0044385917076291E-3</v>
      </c>
      <c r="H132" s="36"/>
    </row>
    <row r="133" spans="1:8" ht="18" customHeight="1" x14ac:dyDescent="0.2">
      <c r="A133" s="118">
        <f t="shared" si="23"/>
        <v>41486</v>
      </c>
      <c r="B133" s="139"/>
      <c r="C133" s="140">
        <v>482.72269999999997</v>
      </c>
      <c r="D133" s="140">
        <v>155.14930000000001</v>
      </c>
      <c r="E133" s="141">
        <v>153.20599999999999</v>
      </c>
      <c r="F133" s="122">
        <f t="shared" si="25"/>
        <v>2.4355685744915645E-2</v>
      </c>
      <c r="G133" s="123">
        <f t="shared" si="24"/>
        <v>1.9728064433484294E-2</v>
      </c>
      <c r="H133" s="36"/>
    </row>
    <row r="134" spans="1:8" ht="18" customHeight="1" x14ac:dyDescent="0.2">
      <c r="A134" s="118">
        <f t="shared" si="23"/>
        <v>41455</v>
      </c>
      <c r="B134" s="139"/>
      <c r="C134" s="140">
        <v>471.24520000000001</v>
      </c>
      <c r="D134" s="140">
        <v>154.38640000000001</v>
      </c>
      <c r="E134" s="141">
        <v>153.14449999999999</v>
      </c>
      <c r="F134" s="122">
        <f t="shared" si="25"/>
        <v>-2.6497308870295666E-2</v>
      </c>
      <c r="G134" s="123">
        <f t="shared" si="24"/>
        <v>-3.1284619702453442E-2</v>
      </c>
      <c r="H134" s="36"/>
    </row>
    <row r="135" spans="1:8" ht="18" customHeight="1" x14ac:dyDescent="0.2">
      <c r="A135" s="118">
        <f t="shared" si="23"/>
        <v>41425</v>
      </c>
      <c r="B135" s="139"/>
      <c r="C135" s="140">
        <v>484.0718</v>
      </c>
      <c r="D135" s="140">
        <v>153.5676</v>
      </c>
      <c r="E135" s="141">
        <v>153.08510000000001</v>
      </c>
      <c r="F135" s="122">
        <f t="shared" si="25"/>
        <v>-2.2764789946790986E-2</v>
      </c>
      <c r="G135" s="123">
        <f t="shared" si="24"/>
        <v>-6.2296910483568002E-3</v>
      </c>
      <c r="H135" s="36"/>
    </row>
    <row r="136" spans="1:8" ht="18" customHeight="1" x14ac:dyDescent="0.2">
      <c r="A136" s="118">
        <f t="shared" ref="A136:A199" si="26">EOMONTH(A137,1)</f>
        <v>41394</v>
      </c>
      <c r="B136" s="139"/>
      <c r="C136" s="140">
        <v>495.34829999999999</v>
      </c>
      <c r="D136" s="140">
        <v>156.12</v>
      </c>
      <c r="E136" s="141">
        <v>153.04</v>
      </c>
      <c r="F136" s="122">
        <f t="shared" si="25"/>
        <v>-1.9444889288049327E-2</v>
      </c>
      <c r="G136" s="123">
        <f t="shared" ref="G136:G199" si="27">(1+F136)*(E136/E137)/(D136/D137)-1</f>
        <v>-2.7439215799721861E-2</v>
      </c>
      <c r="H136" s="36"/>
    </row>
    <row r="137" spans="1:8" ht="18" customHeight="1" x14ac:dyDescent="0.2">
      <c r="A137" s="118">
        <f t="shared" si="26"/>
        <v>41364</v>
      </c>
      <c r="B137" s="139"/>
      <c r="C137" s="140">
        <v>505.17129999999997</v>
      </c>
      <c r="D137" s="140">
        <v>154.7807</v>
      </c>
      <c r="E137" s="141">
        <v>152.9743</v>
      </c>
      <c r="F137" s="122">
        <f t="shared" ref="F137:F200" si="28">C137/C138-1</f>
        <v>1.2771834522285141E-2</v>
      </c>
      <c r="G137" s="123">
        <f t="shared" si="27"/>
        <v>2.2035757560913805E-2</v>
      </c>
      <c r="H137" s="36"/>
    </row>
    <row r="138" spans="1:8" ht="18" customHeight="1" x14ac:dyDescent="0.2">
      <c r="A138" s="118">
        <f t="shared" si="26"/>
        <v>41333</v>
      </c>
      <c r="B138" s="139"/>
      <c r="C138" s="140">
        <v>498.80070000000001</v>
      </c>
      <c r="D138" s="140">
        <v>156.14830000000001</v>
      </c>
      <c r="E138" s="141">
        <v>152.9271</v>
      </c>
      <c r="F138" s="122">
        <f t="shared" si="28"/>
        <v>-1.7498082469377563E-2</v>
      </c>
      <c r="G138" s="123">
        <f t="shared" si="27"/>
        <v>-3.9042512676454866E-3</v>
      </c>
      <c r="H138" s="36"/>
    </row>
    <row r="139" spans="1:8" ht="18" customHeight="1" x14ac:dyDescent="0.2">
      <c r="A139" s="118">
        <f t="shared" si="26"/>
        <v>41305</v>
      </c>
      <c r="B139" s="139"/>
      <c r="C139" s="140">
        <v>507.68419999999998</v>
      </c>
      <c r="D139" s="140">
        <v>158.26</v>
      </c>
      <c r="E139" s="141">
        <v>152.88</v>
      </c>
      <c r="F139" s="122">
        <f t="shared" si="28"/>
        <v>-1.1757257489841688E-3</v>
      </c>
      <c r="G139" s="123">
        <f t="shared" si="27"/>
        <v>1.9902135393266018E-3</v>
      </c>
      <c r="H139" s="36"/>
    </row>
    <row r="140" spans="1:8" ht="18" customHeight="1" x14ac:dyDescent="0.2">
      <c r="A140" s="118">
        <f t="shared" si="26"/>
        <v>41274</v>
      </c>
      <c r="B140" s="139"/>
      <c r="C140" s="140">
        <v>508.28179999999998</v>
      </c>
      <c r="D140" s="140">
        <v>158.70679999999999</v>
      </c>
      <c r="E140" s="141">
        <v>152.8272</v>
      </c>
      <c r="F140" s="122">
        <f t="shared" si="28"/>
        <v>1.6330573209621946E-3</v>
      </c>
      <c r="G140" s="123">
        <f t="shared" si="27"/>
        <v>1.6685874138313572E-3</v>
      </c>
      <c r="H140" s="36"/>
    </row>
    <row r="141" spans="1:8" ht="18" customHeight="1" x14ac:dyDescent="0.2">
      <c r="A141" s="118">
        <f t="shared" si="26"/>
        <v>41243</v>
      </c>
      <c r="B141" s="139"/>
      <c r="C141" s="140">
        <v>507.45310000000001</v>
      </c>
      <c r="D141" s="140">
        <v>158.6523</v>
      </c>
      <c r="E141" s="141">
        <v>152.76929999999999</v>
      </c>
      <c r="F141" s="122">
        <f t="shared" si="28"/>
        <v>-3.1844080882511561E-3</v>
      </c>
      <c r="G141" s="123">
        <f t="shared" si="27"/>
        <v>1.4043566057830859E-5</v>
      </c>
      <c r="H141" s="36"/>
    </row>
    <row r="142" spans="1:8" ht="18" customHeight="1" x14ac:dyDescent="0.2">
      <c r="A142" s="118">
        <f t="shared" si="26"/>
        <v>41213</v>
      </c>
      <c r="B142" s="139"/>
      <c r="C142" s="140">
        <v>509.07420000000002</v>
      </c>
      <c r="D142" s="140">
        <v>159.11000000000001</v>
      </c>
      <c r="E142" s="141">
        <v>152.72</v>
      </c>
      <c r="F142" s="122">
        <f t="shared" si="28"/>
        <v>2.4028564120508467E-3</v>
      </c>
      <c r="G142" s="123">
        <f t="shared" si="27"/>
        <v>2.8631805932948229E-3</v>
      </c>
      <c r="H142" s="36"/>
    </row>
    <row r="143" spans="1:8" ht="18" customHeight="1" x14ac:dyDescent="0.2">
      <c r="A143" s="118">
        <f t="shared" si="26"/>
        <v>41182</v>
      </c>
      <c r="B143" s="139"/>
      <c r="C143" s="140">
        <v>507.85390000000001</v>
      </c>
      <c r="D143" s="140">
        <v>159.11000000000001</v>
      </c>
      <c r="E143" s="141">
        <v>152.6499</v>
      </c>
      <c r="F143" s="122">
        <f t="shared" si="28"/>
        <v>1.7336148238871196E-2</v>
      </c>
      <c r="G143" s="123">
        <f t="shared" si="27"/>
        <v>5.4274731630628015E-3</v>
      </c>
      <c r="H143" s="36"/>
    </row>
    <row r="144" spans="1:8" ht="18" customHeight="1" x14ac:dyDescent="0.2">
      <c r="A144" s="118">
        <f t="shared" si="26"/>
        <v>41152</v>
      </c>
      <c r="B144" s="139"/>
      <c r="C144" s="140">
        <v>499.19970000000001</v>
      </c>
      <c r="D144" s="140">
        <v>157.19280000000001</v>
      </c>
      <c r="E144" s="141">
        <v>152.5968</v>
      </c>
      <c r="F144" s="122">
        <f t="shared" si="28"/>
        <v>2.5318362289357133E-3</v>
      </c>
      <c r="G144" s="123">
        <f t="shared" si="27"/>
        <v>-7.3834067632795319E-3</v>
      </c>
      <c r="H144" s="36"/>
    </row>
    <row r="145" spans="1:8" ht="18" customHeight="1" x14ac:dyDescent="0.2">
      <c r="A145" s="118">
        <f t="shared" si="26"/>
        <v>41121</v>
      </c>
      <c r="B145" s="139"/>
      <c r="C145" s="140">
        <v>497.93900000000002</v>
      </c>
      <c r="D145" s="140">
        <v>155.57</v>
      </c>
      <c r="E145" s="141">
        <v>152.53</v>
      </c>
      <c r="F145" s="122">
        <f t="shared" si="28"/>
        <v>-5.243091036401859E-3</v>
      </c>
      <c r="G145" s="123">
        <f t="shared" si="27"/>
        <v>-3.0143059241449777E-3</v>
      </c>
      <c r="H145" s="36"/>
    </row>
    <row r="146" spans="1:8" ht="18" customHeight="1" x14ac:dyDescent="0.2">
      <c r="A146" s="118">
        <f t="shared" si="26"/>
        <v>41090</v>
      </c>
      <c r="B146" s="139"/>
      <c r="C146" s="140">
        <v>500.56349999999998</v>
      </c>
      <c r="D146" s="140">
        <v>155.86060000000001</v>
      </c>
      <c r="E146" s="141">
        <v>152.47329999999999</v>
      </c>
      <c r="F146" s="122">
        <f t="shared" si="28"/>
        <v>-3.8497665662351466E-3</v>
      </c>
      <c r="G146" s="123">
        <f t="shared" si="27"/>
        <v>-7.6423866131668516E-3</v>
      </c>
      <c r="H146" s="36"/>
    </row>
    <row r="147" spans="1:8" ht="18" customHeight="1" x14ac:dyDescent="0.2">
      <c r="A147" s="118">
        <f t="shared" si="26"/>
        <v>41060</v>
      </c>
      <c r="B147" s="139"/>
      <c r="C147" s="140">
        <v>502.49799999999999</v>
      </c>
      <c r="D147" s="140">
        <v>155.1952</v>
      </c>
      <c r="E147" s="141">
        <v>152.40260000000001</v>
      </c>
      <c r="F147" s="122">
        <f t="shared" si="28"/>
        <v>-2.0609384139188225E-2</v>
      </c>
      <c r="G147" s="123">
        <f t="shared" si="27"/>
        <v>3.3739187817412031E-3</v>
      </c>
      <c r="H147" s="36"/>
    </row>
    <row r="148" spans="1:8" ht="18" customHeight="1" x14ac:dyDescent="0.2">
      <c r="A148" s="118">
        <f t="shared" si="26"/>
        <v>41029</v>
      </c>
      <c r="B148" s="139"/>
      <c r="C148" s="140">
        <v>513.07209999999998</v>
      </c>
      <c r="D148" s="140">
        <v>158.9349</v>
      </c>
      <c r="E148" s="141">
        <v>152.34440000000001</v>
      </c>
      <c r="F148" s="122">
        <f t="shared" si="28"/>
        <v>-2.2861448083430269E-2</v>
      </c>
      <c r="G148" s="123">
        <f t="shared" si="27"/>
        <v>-2.6551221910995348E-2</v>
      </c>
      <c r="H148" s="36"/>
    </row>
    <row r="149" spans="1:8" ht="18" customHeight="1" x14ac:dyDescent="0.2">
      <c r="A149" s="118">
        <f t="shared" si="26"/>
        <v>40999</v>
      </c>
      <c r="B149" s="139"/>
      <c r="C149" s="140">
        <v>525.0761</v>
      </c>
      <c r="D149" s="140">
        <v>158.27010000000001</v>
      </c>
      <c r="E149" s="141">
        <v>152.28219999999999</v>
      </c>
      <c r="F149" s="122">
        <f t="shared" si="28"/>
        <v>-1.4811891992500992E-2</v>
      </c>
      <c r="G149" s="123">
        <f t="shared" si="27"/>
        <v>-1.0555949849255231E-2</v>
      </c>
      <c r="H149" s="36"/>
    </row>
    <row r="150" spans="1:8" ht="18" customHeight="1" x14ac:dyDescent="0.2">
      <c r="A150" s="118">
        <f t="shared" si="26"/>
        <v>40968</v>
      </c>
      <c r="B150" s="139"/>
      <c r="C150" s="140">
        <v>532.97040000000004</v>
      </c>
      <c r="D150" s="140">
        <v>158.89150000000001</v>
      </c>
      <c r="E150" s="141">
        <v>152.2225</v>
      </c>
      <c r="F150" s="122">
        <f t="shared" si="28"/>
        <v>9.5325623586717256E-3</v>
      </c>
      <c r="G150" s="123">
        <f t="shared" si="27"/>
        <v>6.4143999533430307E-3</v>
      </c>
      <c r="H150" s="36"/>
    </row>
    <row r="151" spans="1:8" ht="18" customHeight="1" x14ac:dyDescent="0.2">
      <c r="A151" s="118">
        <f t="shared" si="26"/>
        <v>40939</v>
      </c>
      <c r="B151" s="139"/>
      <c r="C151" s="140">
        <v>527.93780000000004</v>
      </c>
      <c r="D151" s="140">
        <v>158.30000000000001</v>
      </c>
      <c r="E151" s="141">
        <v>152.12569999999999</v>
      </c>
      <c r="F151" s="122">
        <f t="shared" si="28"/>
        <v>2.2333452813268373E-2</v>
      </c>
      <c r="G151" s="123">
        <f t="shared" si="27"/>
        <v>1.5120551908023749E-2</v>
      </c>
      <c r="H151" s="36"/>
    </row>
    <row r="152" spans="1:8" ht="18" customHeight="1" x14ac:dyDescent="0.2">
      <c r="A152" s="118">
        <f t="shared" si="26"/>
        <v>40908</v>
      </c>
      <c r="B152" s="139"/>
      <c r="C152" s="140">
        <v>516.40470000000005</v>
      </c>
      <c r="D152" s="140">
        <v>157.15700000000001</v>
      </c>
      <c r="E152" s="141">
        <v>152.10040000000001</v>
      </c>
      <c r="F152" s="122">
        <f t="shared" si="28"/>
        <v>-3.3492619686550373E-2</v>
      </c>
      <c r="G152" s="123">
        <f t="shared" si="27"/>
        <v>-2.367435441612642E-2</v>
      </c>
      <c r="H152" s="36"/>
    </row>
    <row r="153" spans="1:8" ht="18" customHeight="1" x14ac:dyDescent="0.2">
      <c r="A153" s="118">
        <f t="shared" si="26"/>
        <v>40877</v>
      </c>
      <c r="B153" s="139"/>
      <c r="C153" s="140">
        <v>534.2998</v>
      </c>
      <c r="D153" s="140">
        <v>158.68</v>
      </c>
      <c r="E153" s="141">
        <v>152.03</v>
      </c>
      <c r="F153" s="122">
        <f t="shared" si="28"/>
        <v>-2.5964609801887306E-3</v>
      </c>
      <c r="G153" s="123">
        <f t="shared" si="27"/>
        <v>1.0883872997666133E-2</v>
      </c>
      <c r="H153" s="36"/>
    </row>
    <row r="154" spans="1:8" ht="18" customHeight="1" x14ac:dyDescent="0.2">
      <c r="A154" s="118">
        <f t="shared" si="26"/>
        <v>40847</v>
      </c>
      <c r="B154" s="139"/>
      <c r="C154" s="140">
        <v>535.69069999999999</v>
      </c>
      <c r="D154" s="140">
        <v>160.74</v>
      </c>
      <c r="E154" s="141">
        <v>151.94999999999999</v>
      </c>
      <c r="F154" s="122">
        <f t="shared" si="28"/>
        <v>3.2616163142692889E-2</v>
      </c>
      <c r="G154" s="123">
        <f t="shared" si="27"/>
        <v>1.8374026335457927E-2</v>
      </c>
      <c r="H154" s="36"/>
    </row>
    <row r="155" spans="1:8" ht="18" customHeight="1" x14ac:dyDescent="0.2">
      <c r="A155" s="118">
        <f t="shared" si="26"/>
        <v>40816</v>
      </c>
      <c r="B155" s="139"/>
      <c r="C155" s="140">
        <v>518.7704</v>
      </c>
      <c r="D155" s="140">
        <v>158.44999999999999</v>
      </c>
      <c r="E155" s="141">
        <v>151.88</v>
      </c>
      <c r="F155" s="122">
        <f t="shared" si="28"/>
        <v>-3.9878945294592349E-2</v>
      </c>
      <c r="G155" s="123">
        <f t="shared" si="27"/>
        <v>-8.4581251138837743E-3</v>
      </c>
      <c r="H155" s="36"/>
    </row>
    <row r="156" spans="1:8" ht="18" customHeight="1" x14ac:dyDescent="0.2">
      <c r="A156" s="118">
        <f t="shared" si="26"/>
        <v>40786</v>
      </c>
      <c r="B156" s="139"/>
      <c r="C156" s="140">
        <v>540.31769999999995</v>
      </c>
      <c r="D156" s="140">
        <v>163.56</v>
      </c>
      <c r="E156" s="141">
        <v>151.81</v>
      </c>
      <c r="F156" s="122">
        <f t="shared" si="28"/>
        <v>1.2437603058012225E-2</v>
      </c>
      <c r="G156" s="123">
        <f t="shared" si="27"/>
        <v>1.2480747882546828E-2</v>
      </c>
      <c r="H156" s="36"/>
    </row>
    <row r="157" spans="1:8" ht="18" customHeight="1" x14ac:dyDescent="0.2">
      <c r="A157" s="118">
        <f t="shared" si="26"/>
        <v>40755</v>
      </c>
      <c r="B157" s="139"/>
      <c r="C157" s="140">
        <v>533.67999999999995</v>
      </c>
      <c r="D157" s="140">
        <v>163.47</v>
      </c>
      <c r="E157" s="141">
        <v>151.72</v>
      </c>
      <c r="F157" s="122">
        <f t="shared" si="28"/>
        <v>3.2065426543079534E-2</v>
      </c>
      <c r="G157" s="123">
        <f t="shared" si="27"/>
        <v>2.1744984947672519E-2</v>
      </c>
      <c r="H157" s="36"/>
    </row>
    <row r="158" spans="1:8" ht="18" customHeight="1" x14ac:dyDescent="0.2">
      <c r="A158" s="118">
        <f t="shared" si="26"/>
        <v>40724</v>
      </c>
      <c r="B158" s="139"/>
      <c r="C158" s="140">
        <v>517.09900000000005</v>
      </c>
      <c r="D158" s="140">
        <v>161.75</v>
      </c>
      <c r="E158" s="141">
        <v>151.63999999999999</v>
      </c>
      <c r="F158" s="122">
        <f t="shared" si="28"/>
        <v>4.9929061473579228E-3</v>
      </c>
      <c r="G158" s="123">
        <f t="shared" si="27"/>
        <v>-4.2259543178738701E-3</v>
      </c>
      <c r="H158" s="36"/>
    </row>
    <row r="159" spans="1:8" ht="18" customHeight="1" x14ac:dyDescent="0.2">
      <c r="A159" s="118">
        <f t="shared" si="26"/>
        <v>40694</v>
      </c>
      <c r="B159" s="139"/>
      <c r="C159" s="140">
        <v>514.53</v>
      </c>
      <c r="D159" s="140">
        <v>160.15</v>
      </c>
      <c r="E159" s="141">
        <v>151.53</v>
      </c>
      <c r="F159" s="122">
        <f t="shared" si="28"/>
        <v>-3.3247689475414122E-3</v>
      </c>
      <c r="G159" s="123">
        <f t="shared" si="27"/>
        <v>1.1054406250136539E-2</v>
      </c>
      <c r="H159" s="36"/>
    </row>
    <row r="160" spans="1:8" ht="18" customHeight="1" x14ac:dyDescent="0.2">
      <c r="A160" s="118">
        <f t="shared" si="26"/>
        <v>40663</v>
      </c>
      <c r="B160" s="139"/>
      <c r="C160" s="140">
        <v>516.24639999999999</v>
      </c>
      <c r="D160" s="141">
        <v>162.3742</v>
      </c>
      <c r="E160" s="141">
        <v>151.4495</v>
      </c>
      <c r="F160" s="122">
        <f t="shared" si="28"/>
        <v>3.2413304175578528E-2</v>
      </c>
      <c r="G160" s="123">
        <f t="shared" si="27"/>
        <v>1.148710060630731E-2</v>
      </c>
      <c r="H160" s="36"/>
    </row>
    <row r="161" spans="1:8" ht="18" customHeight="1" x14ac:dyDescent="0.2">
      <c r="A161" s="118">
        <f t="shared" si="26"/>
        <v>40633</v>
      </c>
      <c r="B161" s="139"/>
      <c r="C161" s="140">
        <v>500.0385</v>
      </c>
      <c r="D161" s="141">
        <v>159.01</v>
      </c>
      <c r="E161" s="141">
        <v>151.38</v>
      </c>
      <c r="F161" s="122">
        <f t="shared" si="28"/>
        <v>-5.6903934418797153E-3</v>
      </c>
      <c r="G161" s="123">
        <f t="shared" si="27"/>
        <v>-1.3170226094620929E-2</v>
      </c>
      <c r="H161" s="36"/>
    </row>
    <row r="162" spans="1:8" ht="18" customHeight="1" x14ac:dyDescent="0.2">
      <c r="A162" s="118">
        <f t="shared" si="26"/>
        <v>40602</v>
      </c>
      <c r="B162" s="139"/>
      <c r="C162" s="140">
        <v>502.90019999999998</v>
      </c>
      <c r="D162" s="141">
        <v>157.72</v>
      </c>
      <c r="E162" s="141">
        <v>151.29</v>
      </c>
      <c r="F162" s="122">
        <f t="shared" si="28"/>
        <v>1.0953025379755621E-2</v>
      </c>
      <c r="G162" s="123">
        <f t="shared" si="27"/>
        <v>8.2787433641682284E-3</v>
      </c>
      <c r="H162" s="36"/>
    </row>
    <row r="163" spans="1:8" ht="18" customHeight="1" x14ac:dyDescent="0.2">
      <c r="A163" s="118">
        <f t="shared" si="26"/>
        <v>40574</v>
      </c>
      <c r="B163" s="139"/>
      <c r="C163" s="140">
        <v>497.45159999999998</v>
      </c>
      <c r="D163" s="141">
        <v>157.22999999999999</v>
      </c>
      <c r="E163" s="141">
        <v>151.22</v>
      </c>
      <c r="F163" s="122">
        <f t="shared" si="28"/>
        <v>-1.7792616201502631E-2</v>
      </c>
      <c r="G163" s="123">
        <f t="shared" si="27"/>
        <v>-2.3402197197933683E-2</v>
      </c>
      <c r="H163" s="36"/>
    </row>
    <row r="164" spans="1:8" ht="18" customHeight="1" x14ac:dyDescent="0.2">
      <c r="A164" s="118">
        <f t="shared" si="26"/>
        <v>40543</v>
      </c>
      <c r="B164" s="139"/>
      <c r="C164" s="140">
        <v>506.46289999999999</v>
      </c>
      <c r="D164" s="141">
        <v>156.27000000000001</v>
      </c>
      <c r="E164" s="141">
        <v>151.16</v>
      </c>
      <c r="F164" s="122">
        <f t="shared" si="28"/>
        <v>1.6912095414022943E-2</v>
      </c>
      <c r="G164" s="123">
        <f t="shared" si="27"/>
        <v>1.2429599550021653E-2</v>
      </c>
      <c r="H164" s="36"/>
    </row>
    <row r="165" spans="1:8" ht="18" customHeight="1" x14ac:dyDescent="0.2">
      <c r="A165" s="118">
        <f t="shared" si="26"/>
        <v>40512</v>
      </c>
      <c r="B165" s="139"/>
      <c r="C165" s="140">
        <v>498.04</v>
      </c>
      <c r="D165" s="141">
        <v>155.54</v>
      </c>
      <c r="E165" s="141">
        <v>151.12</v>
      </c>
      <c r="F165" s="122">
        <f t="shared" si="28"/>
        <v>1.1351406234135553E-2</v>
      </c>
      <c r="G165" s="123">
        <f t="shared" si="27"/>
        <v>2.5602592498473298E-2</v>
      </c>
      <c r="H165" s="36"/>
    </row>
    <row r="166" spans="1:8" ht="18" customHeight="1" x14ac:dyDescent="0.2">
      <c r="A166" s="118">
        <f t="shared" si="26"/>
        <v>40482</v>
      </c>
      <c r="B166" s="139"/>
      <c r="C166" s="140">
        <v>492.45</v>
      </c>
      <c r="D166" s="141">
        <v>157.69</v>
      </c>
      <c r="E166" s="141">
        <v>151.08000000000001</v>
      </c>
      <c r="F166" s="122">
        <f t="shared" si="28"/>
        <v>6.0471102576149516E-3</v>
      </c>
      <c r="G166" s="123">
        <f t="shared" si="27"/>
        <v>-3.0035848698701795E-3</v>
      </c>
      <c r="H166" s="36"/>
    </row>
    <row r="167" spans="1:8" ht="18" customHeight="1" x14ac:dyDescent="0.2">
      <c r="A167" s="118">
        <f t="shared" si="26"/>
        <v>40451</v>
      </c>
      <c r="B167" s="139"/>
      <c r="C167" s="140">
        <v>489.49</v>
      </c>
      <c r="D167" s="141">
        <v>156.22999999999999</v>
      </c>
      <c r="E167" s="141">
        <v>151.04</v>
      </c>
      <c r="F167" s="122">
        <f t="shared" si="28"/>
        <v>3.2265547565321961E-2</v>
      </c>
      <c r="G167" s="123">
        <f t="shared" si="27"/>
        <v>9.5393429315950851E-3</v>
      </c>
      <c r="H167" s="36"/>
    </row>
    <row r="168" spans="1:8" ht="18" customHeight="1" x14ac:dyDescent="0.2">
      <c r="A168" s="118">
        <f t="shared" si="26"/>
        <v>40421</v>
      </c>
      <c r="B168" s="139"/>
      <c r="C168" s="140">
        <v>474.19</v>
      </c>
      <c r="D168" s="141">
        <v>152.75</v>
      </c>
      <c r="E168" s="141">
        <v>151</v>
      </c>
      <c r="F168" s="122">
        <f t="shared" si="28"/>
        <v>1.674600111497071E-2</v>
      </c>
      <c r="G168" s="123">
        <f t="shared" si="27"/>
        <v>1.9078475026403918E-2</v>
      </c>
      <c r="H168" s="36"/>
    </row>
    <row r="169" spans="1:8" ht="18" customHeight="1" x14ac:dyDescent="0.2">
      <c r="A169" s="118">
        <f t="shared" si="26"/>
        <v>40390</v>
      </c>
      <c r="B169" s="139"/>
      <c r="C169" s="140">
        <v>466.38</v>
      </c>
      <c r="D169" s="141">
        <v>153.07</v>
      </c>
      <c r="E169" s="141">
        <v>150.97</v>
      </c>
      <c r="F169" s="122">
        <f t="shared" si="28"/>
        <v>-1.213700196987999E-2</v>
      </c>
      <c r="G169" s="123">
        <f t="shared" si="27"/>
        <v>-3.2790151313995652E-2</v>
      </c>
      <c r="H169" s="36"/>
    </row>
    <row r="170" spans="1:8" ht="18" customHeight="1" x14ac:dyDescent="0.2">
      <c r="A170" s="118">
        <f t="shared" si="26"/>
        <v>40359</v>
      </c>
      <c r="B170" s="139"/>
      <c r="C170" s="140">
        <v>472.11</v>
      </c>
      <c r="D170" s="141">
        <v>149.84</v>
      </c>
      <c r="E170" s="141">
        <v>150.94</v>
      </c>
      <c r="F170" s="122">
        <f t="shared" si="28"/>
        <v>2.0954975995847835E-2</v>
      </c>
      <c r="G170" s="123">
        <f t="shared" si="27"/>
        <v>1.3115232657193054E-2</v>
      </c>
      <c r="H170" s="36"/>
    </row>
    <row r="171" spans="1:8" ht="18" customHeight="1" x14ac:dyDescent="0.2">
      <c r="A171" s="118">
        <f t="shared" si="26"/>
        <v>40329</v>
      </c>
      <c r="B171" s="139"/>
      <c r="C171" s="140">
        <v>462.42</v>
      </c>
      <c r="D171" s="141">
        <v>148.65</v>
      </c>
      <c r="E171" s="141">
        <v>150.9</v>
      </c>
      <c r="F171" s="122">
        <f t="shared" si="28"/>
        <v>-1.9444856761169582E-2</v>
      </c>
      <c r="G171" s="123">
        <f t="shared" si="27"/>
        <v>-6.4484903099382151E-4</v>
      </c>
      <c r="H171" s="36"/>
    </row>
    <row r="172" spans="1:8" ht="18" customHeight="1" x14ac:dyDescent="0.2">
      <c r="A172" s="118">
        <f t="shared" si="26"/>
        <v>40298</v>
      </c>
      <c r="B172" s="119"/>
      <c r="C172" s="120">
        <v>471.59</v>
      </c>
      <c r="D172" s="121">
        <v>151.49</v>
      </c>
      <c r="E172" s="121">
        <v>150.88999999999999</v>
      </c>
      <c r="F172" s="122">
        <f t="shared" si="28"/>
        <v>1.2212921227731321E-2</v>
      </c>
      <c r="G172" s="123">
        <f t="shared" si="27"/>
        <v>1.8362118178652631E-2</v>
      </c>
      <c r="H172" s="36"/>
    </row>
    <row r="173" spans="1:8" ht="18" customHeight="1" x14ac:dyDescent="0.2">
      <c r="A173" s="118">
        <f t="shared" si="26"/>
        <v>40268</v>
      </c>
      <c r="B173" s="119"/>
      <c r="C173" s="120">
        <v>465.9</v>
      </c>
      <c r="D173" s="121">
        <v>152.38</v>
      </c>
      <c r="E173" s="121">
        <v>150.86000000000001</v>
      </c>
      <c r="F173" s="122">
        <f t="shared" si="28"/>
        <v>6.0027638624977619E-3</v>
      </c>
      <c r="G173" s="123">
        <f t="shared" si="27"/>
        <v>1.7156174105275257E-2</v>
      </c>
    </row>
    <row r="174" spans="1:8" ht="18" customHeight="1" x14ac:dyDescent="0.2">
      <c r="A174" s="118">
        <f t="shared" si="26"/>
        <v>40237</v>
      </c>
      <c r="B174" s="119"/>
      <c r="C174" s="120">
        <f>'Vantage Global Investment Fund'!B624</f>
        <v>463.12</v>
      </c>
      <c r="D174" s="121">
        <f>'Vantage Global Investment Fund'!H624</f>
        <v>153.435</v>
      </c>
      <c r="E174" s="121">
        <f>'Vantage Global Investment Fund'!I624</f>
        <v>150.2388</v>
      </c>
      <c r="F174" s="122">
        <f t="shared" si="28"/>
        <v>-1.9610801025795599E-3</v>
      </c>
      <c r="G174" s="123">
        <f t="shared" si="27"/>
        <v>1.1843261482077816E-2</v>
      </c>
    </row>
    <row r="175" spans="1:8" ht="18" customHeight="1" x14ac:dyDescent="0.2">
      <c r="A175" s="118">
        <f t="shared" si="26"/>
        <v>40209</v>
      </c>
      <c r="B175" s="119"/>
      <c r="C175" s="120">
        <f>'Vantage Global Investment Fund'!B628</f>
        <v>464.03</v>
      </c>
      <c r="D175" s="121">
        <f>'Vantage Global Investment Fund'!H628</f>
        <v>155.53</v>
      </c>
      <c r="E175" s="121">
        <f>'Vantage Global Investment Fund'!I628</f>
        <v>150.21250000000001</v>
      </c>
      <c r="F175" s="122">
        <f t="shared" si="28"/>
        <v>4.6331377600727919E-3</v>
      </c>
      <c r="G175" s="123">
        <f t="shared" si="27"/>
        <v>4.7996985489142663E-3</v>
      </c>
    </row>
    <row r="176" spans="1:8" ht="18" customHeight="1" x14ac:dyDescent="0.2">
      <c r="A176" s="118">
        <f t="shared" si="26"/>
        <v>40178</v>
      </c>
      <c r="B176" s="124"/>
      <c r="C176" s="120">
        <f>'Vantage Global Investment Fund'!B632</f>
        <v>461.89</v>
      </c>
      <c r="D176" s="121">
        <f>'Vantage Global Investment Fund'!H632</f>
        <v>155.53</v>
      </c>
      <c r="E176" s="121">
        <f>'Vantage Global Investment Fund'!I632</f>
        <v>150.1876</v>
      </c>
      <c r="F176" s="122">
        <f t="shared" si="28"/>
        <v>-2.2206697997375069E-2</v>
      </c>
      <c r="G176" s="123">
        <f t="shared" si="27"/>
        <v>2.2241421972259978E-3</v>
      </c>
    </row>
    <row r="177" spans="1:7" ht="18" customHeight="1" x14ac:dyDescent="0.2">
      <c r="A177" s="118">
        <f t="shared" si="26"/>
        <v>40147</v>
      </c>
      <c r="B177" s="125"/>
      <c r="C177" s="120">
        <v>472.38</v>
      </c>
      <c r="D177" s="121">
        <f>'Vantage Global Investment Fund'!H637</f>
        <v>159.3776</v>
      </c>
      <c r="E177" s="121">
        <f>'Vantage Global Investment Fund'!I637</f>
        <v>150.1514</v>
      </c>
      <c r="F177" s="122">
        <f t="shared" si="28"/>
        <v>3.5330732477096394E-2</v>
      </c>
      <c r="G177" s="123">
        <f t="shared" si="27"/>
        <v>2.3495381489504474E-2</v>
      </c>
    </row>
    <row r="178" spans="1:7" ht="18" customHeight="1" x14ac:dyDescent="0.2">
      <c r="A178" s="118">
        <f t="shared" si="26"/>
        <v>40117</v>
      </c>
      <c r="B178" s="125"/>
      <c r="C178" s="120">
        <f>'Vantage Global Investment Fund'!B641</f>
        <v>456.26</v>
      </c>
      <c r="D178" s="121">
        <f>'Vantage Global Investment Fund'!H641</f>
        <v>157.53270000000001</v>
      </c>
      <c r="E178" s="121">
        <f>'Vantage Global Investment Fund'!I640</f>
        <v>150.12950000000001</v>
      </c>
      <c r="F178" s="122">
        <f t="shared" si="28"/>
        <v>9.0006413233374438E-3</v>
      </c>
      <c r="G178" s="123">
        <f t="shared" si="27"/>
        <v>3.4608742697064265E-3</v>
      </c>
    </row>
    <row r="179" spans="1:7" ht="18" customHeight="1" x14ac:dyDescent="0.2">
      <c r="A179" s="118">
        <f t="shared" si="26"/>
        <v>40086</v>
      </c>
      <c r="B179" s="125"/>
      <c r="C179" s="120">
        <f>'Vantage Global Investment Fund'!B646</f>
        <v>452.19</v>
      </c>
      <c r="D179" s="121">
        <f>'Vantage Global Investment Fund'!H646</f>
        <v>156.62010000000001</v>
      </c>
      <c r="E179" s="121">
        <f>'Vantage Global Investment Fund'!I646</f>
        <v>150.0838</v>
      </c>
      <c r="F179" s="122">
        <f t="shared" si="28"/>
        <v>3.1831872946330719E-2</v>
      </c>
      <c r="G179" s="123">
        <f t="shared" si="27"/>
        <v>2.3630657147635237E-2</v>
      </c>
    </row>
    <row r="180" spans="1:7" ht="18" customHeight="1" x14ac:dyDescent="0.2">
      <c r="A180" s="118">
        <f t="shared" si="26"/>
        <v>40056</v>
      </c>
      <c r="B180" s="125"/>
      <c r="C180" s="120">
        <f>'Vantage Global Investment Fund'!B650</f>
        <v>438.24</v>
      </c>
      <c r="D180" s="121">
        <f>'Vantage Global Investment Fund'!H650</f>
        <v>155.34440000000001</v>
      </c>
      <c r="E180" s="121">
        <f>'Vantage Global Investment Fund'!I650</f>
        <v>150.054</v>
      </c>
      <c r="F180" s="122">
        <f t="shared" si="28"/>
        <v>2.7381845461365462E-2</v>
      </c>
      <c r="G180" s="123">
        <f t="shared" si="27"/>
        <v>2.1871731184837984E-2</v>
      </c>
    </row>
    <row r="181" spans="1:7" ht="18" customHeight="1" x14ac:dyDescent="0.2">
      <c r="A181" s="118">
        <f t="shared" si="26"/>
        <v>40025</v>
      </c>
      <c r="B181" s="125"/>
      <c r="C181" s="120">
        <v>426.56</v>
      </c>
      <c r="D181" s="121">
        <v>154.26</v>
      </c>
      <c r="E181" s="121">
        <v>149.81</v>
      </c>
      <c r="F181" s="122">
        <f t="shared" si="28"/>
        <v>2.4498030550485161E-2</v>
      </c>
      <c r="G181" s="123">
        <f t="shared" si="27"/>
        <v>2.1179095825987648E-2</v>
      </c>
    </row>
    <row r="182" spans="1:7" ht="18" customHeight="1" x14ac:dyDescent="0.2">
      <c r="A182" s="118">
        <f t="shared" si="26"/>
        <v>39994</v>
      </c>
      <c r="B182" s="124"/>
      <c r="C182" s="120">
        <v>416.36</v>
      </c>
      <c r="D182" s="121">
        <v>153.75</v>
      </c>
      <c r="E182" s="121">
        <v>149.80000000000001</v>
      </c>
      <c r="F182" s="122">
        <f t="shared" si="28"/>
        <v>-2.3960130343109176E-3</v>
      </c>
      <c r="G182" s="123">
        <f t="shared" si="27"/>
        <v>-7.3203478219115992E-3</v>
      </c>
    </row>
    <row r="183" spans="1:7" ht="18" customHeight="1" x14ac:dyDescent="0.2">
      <c r="A183" s="118">
        <f t="shared" si="26"/>
        <v>39964</v>
      </c>
      <c r="B183" s="125"/>
      <c r="C183" s="120">
        <v>417.36</v>
      </c>
      <c r="D183" s="121">
        <v>152.94</v>
      </c>
      <c r="E183" s="121">
        <v>149.75</v>
      </c>
      <c r="F183" s="122">
        <f t="shared" si="28"/>
        <v>6.6598517761308429E-2</v>
      </c>
      <c r="G183" s="123">
        <f t="shared" si="27"/>
        <v>4.0515624908257442E-2</v>
      </c>
    </row>
    <row r="184" spans="1:7" ht="18" customHeight="1" x14ac:dyDescent="0.2">
      <c r="A184" s="118">
        <f t="shared" si="26"/>
        <v>39933</v>
      </c>
      <c r="B184" s="124"/>
      <c r="C184" s="120">
        <v>391.3</v>
      </c>
      <c r="D184" s="121">
        <v>149.19</v>
      </c>
      <c r="E184" s="121">
        <v>149.74</v>
      </c>
      <c r="F184" s="122">
        <f t="shared" si="28"/>
        <v>8.7391405222860818E-3</v>
      </c>
      <c r="G184" s="123">
        <f t="shared" si="27"/>
        <v>1.2525560121983137E-2</v>
      </c>
    </row>
    <row r="185" spans="1:7" ht="18" customHeight="1" x14ac:dyDescent="0.2">
      <c r="A185" s="118">
        <f t="shared" si="26"/>
        <v>39903</v>
      </c>
      <c r="B185" s="124"/>
      <c r="C185" s="120">
        <v>387.91</v>
      </c>
      <c r="D185" s="121">
        <v>149.72</v>
      </c>
      <c r="E185" s="121">
        <v>149.71</v>
      </c>
      <c r="F185" s="122">
        <f t="shared" si="28"/>
        <v>4.6115261184973555E-2</v>
      </c>
      <c r="G185" s="123">
        <f t="shared" si="27"/>
        <v>2.9272882155496172E-2</v>
      </c>
    </row>
    <row r="186" spans="1:7" ht="18" customHeight="1" x14ac:dyDescent="0.2">
      <c r="A186" s="118">
        <f t="shared" si="26"/>
        <v>39872</v>
      </c>
      <c r="B186" s="119"/>
      <c r="C186" s="120">
        <v>370.81</v>
      </c>
      <c r="D186" s="121">
        <v>147.28</v>
      </c>
      <c r="E186" s="121">
        <v>149.68</v>
      </c>
      <c r="F186" s="122">
        <f t="shared" si="28"/>
        <v>-3.8779583689763308E-2</v>
      </c>
      <c r="G186" s="123">
        <f t="shared" si="27"/>
        <v>-2.2332689526631588E-2</v>
      </c>
    </row>
    <row r="187" spans="1:7" ht="18" customHeight="1" x14ac:dyDescent="0.2">
      <c r="A187" s="118">
        <f t="shared" si="26"/>
        <v>39844</v>
      </c>
      <c r="B187" s="125"/>
      <c r="C187" s="120">
        <v>385.77</v>
      </c>
      <c r="D187" s="121">
        <v>149.77000000000001</v>
      </c>
      <c r="E187" s="121">
        <v>149.65</v>
      </c>
      <c r="F187" s="122">
        <f t="shared" si="28"/>
        <v>-2.1608460777600369E-2</v>
      </c>
      <c r="G187" s="123">
        <f t="shared" si="27"/>
        <v>-2.8545991543534877E-3</v>
      </c>
    </row>
    <row r="188" spans="1:7" ht="18" customHeight="1" x14ac:dyDescent="0.2">
      <c r="A188" s="118">
        <f t="shared" si="26"/>
        <v>39813</v>
      </c>
      <c r="B188" s="124"/>
      <c r="C188" s="120">
        <v>394.29</v>
      </c>
      <c r="D188" s="121">
        <v>152.6</v>
      </c>
      <c r="E188" s="121">
        <v>149.61000000000001</v>
      </c>
      <c r="F188" s="122">
        <f t="shared" si="28"/>
        <v>6.5677450741912002E-2</v>
      </c>
      <c r="G188" s="123">
        <f t="shared" si="27"/>
        <v>4.1775978486619403E-2</v>
      </c>
    </row>
    <row r="189" spans="1:7" ht="18" customHeight="1" x14ac:dyDescent="0.2">
      <c r="A189" s="118">
        <f t="shared" si="26"/>
        <v>39782</v>
      </c>
      <c r="B189" s="126"/>
      <c r="C189" s="120">
        <v>369.99</v>
      </c>
      <c r="D189" s="121">
        <v>149.0814</v>
      </c>
      <c r="E189" s="121">
        <v>149.5137</v>
      </c>
      <c r="F189" s="122">
        <f t="shared" si="28"/>
        <v>3.1474770002787977E-2</v>
      </c>
      <c r="G189" s="123">
        <f t="shared" si="27"/>
        <v>3.2345371673298651E-2</v>
      </c>
    </row>
    <row r="190" spans="1:7" ht="18" customHeight="1" x14ac:dyDescent="0.2">
      <c r="A190" s="118">
        <f t="shared" si="26"/>
        <v>39752</v>
      </c>
      <c r="B190" s="126"/>
      <c r="C190" s="120">
        <v>358.7</v>
      </c>
      <c r="D190" s="127">
        <v>149.07579999999999</v>
      </c>
      <c r="E190" s="127">
        <v>149.38200000000001</v>
      </c>
      <c r="F190" s="122">
        <f t="shared" si="28"/>
        <v>-7.7132859936194342E-2</v>
      </c>
      <c r="G190" s="123">
        <f t="shared" si="27"/>
        <v>-5.0059346935588556E-2</v>
      </c>
    </row>
    <row r="191" spans="1:7" ht="18" customHeight="1" x14ac:dyDescent="0.2">
      <c r="A191" s="118">
        <f t="shared" si="26"/>
        <v>39721</v>
      </c>
      <c r="B191" s="126"/>
      <c r="C191" s="120">
        <v>388.68</v>
      </c>
      <c r="D191" s="127">
        <v>153.18</v>
      </c>
      <c r="E191" s="127">
        <v>149.12</v>
      </c>
      <c r="F191" s="122">
        <f t="shared" si="28"/>
        <v>-1.1897498474679691E-2</v>
      </c>
      <c r="G191" s="123">
        <f t="shared" si="27"/>
        <v>-1.5245906922757846E-2</v>
      </c>
    </row>
    <row r="192" spans="1:7" ht="18" customHeight="1" x14ac:dyDescent="0.2">
      <c r="A192" s="118">
        <f t="shared" si="26"/>
        <v>39691</v>
      </c>
      <c r="B192" s="126"/>
      <c r="C192" s="120">
        <v>393.36</v>
      </c>
      <c r="D192" s="127">
        <v>152.4059</v>
      </c>
      <c r="E192" s="127">
        <v>148.87090000000001</v>
      </c>
      <c r="F192" s="122">
        <f t="shared" si="28"/>
        <v>-3.9132346475157509E-2</v>
      </c>
      <c r="G192" s="123">
        <f t="shared" si="27"/>
        <v>-1.4919906380993275E-2</v>
      </c>
    </row>
    <row r="193" spans="1:7" ht="18" customHeight="1" x14ac:dyDescent="0.2">
      <c r="A193" s="118">
        <f t="shared" si="26"/>
        <v>39660</v>
      </c>
      <c r="B193" s="126"/>
      <c r="C193" s="120">
        <v>409.38</v>
      </c>
      <c r="D193" s="127">
        <v>155.91999999999999</v>
      </c>
      <c r="E193" s="127">
        <v>148.56</v>
      </c>
      <c r="F193" s="122">
        <f t="shared" si="28"/>
        <v>1.271828987917667E-3</v>
      </c>
      <c r="G193" s="123">
        <f t="shared" si="27"/>
        <v>5.9511437347312679E-3</v>
      </c>
    </row>
    <row r="194" spans="1:7" ht="18" customHeight="1" x14ac:dyDescent="0.2">
      <c r="A194" s="118">
        <f t="shared" si="26"/>
        <v>39629</v>
      </c>
      <c r="B194" s="126"/>
      <c r="C194" s="127">
        <v>408.86</v>
      </c>
      <c r="D194" s="127">
        <v>156.1728</v>
      </c>
      <c r="E194" s="127">
        <v>148.1087</v>
      </c>
      <c r="F194" s="122">
        <f t="shared" si="28"/>
        <v>-8.7521516716367875E-3</v>
      </c>
      <c r="G194" s="123">
        <f t="shared" si="27"/>
        <v>-6.3261606291126204E-3</v>
      </c>
    </row>
    <row r="195" spans="1:7" ht="18" customHeight="1" x14ac:dyDescent="0.2">
      <c r="A195" s="118">
        <f t="shared" si="26"/>
        <v>39599</v>
      </c>
      <c r="B195" s="126"/>
      <c r="C195" s="127">
        <v>412.47</v>
      </c>
      <c r="D195" s="127">
        <v>156.31</v>
      </c>
      <c r="E195" s="127">
        <v>147.87690000000001</v>
      </c>
      <c r="F195" s="122">
        <f t="shared" si="28"/>
        <v>1.4324560551617349E-3</v>
      </c>
      <c r="G195" s="123">
        <f t="shared" si="27"/>
        <v>2.1133782301825388E-3</v>
      </c>
    </row>
    <row r="196" spans="1:7" ht="18" customHeight="1" x14ac:dyDescent="0.2">
      <c r="A196" s="118">
        <f t="shared" si="26"/>
        <v>39568</v>
      </c>
      <c r="B196" s="126"/>
      <c r="C196" s="127">
        <v>411.88</v>
      </c>
      <c r="D196" s="127">
        <v>156.11619999999999</v>
      </c>
      <c r="E196" s="127">
        <v>147.5932</v>
      </c>
      <c r="F196" s="122">
        <f t="shared" si="28"/>
        <v>-8.7123947051744866E-3</v>
      </c>
      <c r="G196" s="123">
        <f t="shared" si="27"/>
        <v>-8.4390192396199826E-4</v>
      </c>
    </row>
    <row r="197" spans="1:7" ht="18" customHeight="1" x14ac:dyDescent="0.2">
      <c r="A197" s="118">
        <f t="shared" si="26"/>
        <v>39538</v>
      </c>
      <c r="B197" s="126"/>
      <c r="C197" s="127">
        <v>415.5</v>
      </c>
      <c r="D197" s="127">
        <v>157.00729999999999</v>
      </c>
      <c r="E197" s="127">
        <v>147.26669999999999</v>
      </c>
      <c r="F197" s="122">
        <f t="shared" si="28"/>
        <v>1.0555501507928833E-2</v>
      </c>
      <c r="G197" s="123">
        <f t="shared" si="27"/>
        <v>-8.4508461019190406E-3</v>
      </c>
    </row>
    <row r="198" spans="1:7" ht="18" customHeight="1" x14ac:dyDescent="0.2">
      <c r="A198" s="118">
        <f t="shared" si="26"/>
        <v>39507</v>
      </c>
      <c r="B198" s="126"/>
      <c r="C198" s="127">
        <v>411.16</v>
      </c>
      <c r="D198" s="127">
        <v>153.78800000000001</v>
      </c>
      <c r="E198" s="127">
        <v>147.0121</v>
      </c>
      <c r="F198" s="122">
        <f t="shared" si="28"/>
        <v>3.1555057457335778E-2</v>
      </c>
      <c r="G198" s="123">
        <f t="shared" si="27"/>
        <v>2.4029257062185172E-2</v>
      </c>
    </row>
    <row r="199" spans="1:7" ht="18" customHeight="1" x14ac:dyDescent="0.2">
      <c r="A199" s="118">
        <f t="shared" si="26"/>
        <v>39478</v>
      </c>
      <c r="B199" s="126"/>
      <c r="C199" s="127">
        <v>398.58269999999999</v>
      </c>
      <c r="D199" s="127">
        <v>152.3629</v>
      </c>
      <c r="E199" s="127">
        <v>146.72020000000001</v>
      </c>
      <c r="F199" s="122">
        <f t="shared" si="28"/>
        <v>-1.4588968603679198E-2</v>
      </c>
      <c r="G199" s="123">
        <f t="shared" si="27"/>
        <v>-2.6253328682248167E-2</v>
      </c>
    </row>
    <row r="200" spans="1:7" ht="18" customHeight="1" x14ac:dyDescent="0.2">
      <c r="A200" s="118">
        <f t="shared" ref="A200:A263" si="29">EOMONTH(A201,1)</f>
        <v>39447</v>
      </c>
      <c r="B200" s="126"/>
      <c r="C200" s="127">
        <v>404.4837</v>
      </c>
      <c r="D200" s="127">
        <f>'Vantage Global Investment Fund'!H738</f>
        <v>150.1722</v>
      </c>
      <c r="E200" s="127">
        <f>'Vantage Global Investment Fund'!I738</f>
        <v>146.34289999999999</v>
      </c>
      <c r="F200" s="122">
        <f t="shared" si="28"/>
        <v>2.9209694147830145E-2</v>
      </c>
      <c r="G200" s="123">
        <f t="shared" ref="G200:G263" si="30">(1+F200)*(E200/E201)/(D200/D201)-1</f>
        <v>3.7865631864665072E-2</v>
      </c>
    </row>
    <row r="201" spans="1:7" x14ac:dyDescent="0.2">
      <c r="A201" s="118">
        <f t="shared" si="29"/>
        <v>39416</v>
      </c>
      <c r="B201" s="126"/>
      <c r="C201" s="127">
        <v>393.00416844101562</v>
      </c>
      <c r="D201" s="127">
        <v>151.00436973535699</v>
      </c>
      <c r="E201" s="127">
        <v>145.92656718811401</v>
      </c>
      <c r="F201" s="122">
        <f t="shared" ref="F201:F264" si="31">C201/C202-1</f>
        <v>3.3161146299891309E-2</v>
      </c>
      <c r="G201" s="123">
        <f t="shared" si="30"/>
        <v>2.1787607817437937E-2</v>
      </c>
    </row>
    <row r="202" spans="1:7" x14ac:dyDescent="0.2">
      <c r="A202" s="118">
        <f t="shared" si="29"/>
        <v>39386</v>
      </c>
      <c r="B202" s="126"/>
      <c r="C202" s="127">
        <v>380.39</v>
      </c>
      <c r="D202" s="127">
        <v>148.9570490358484</v>
      </c>
      <c r="E202" s="127">
        <v>145.55038056255404</v>
      </c>
      <c r="F202" s="122">
        <f t="shared" si="31"/>
        <v>3.1342352845484367E-2</v>
      </c>
      <c r="G202" s="123">
        <f t="shared" si="30"/>
        <v>2.2532979845999446E-2</v>
      </c>
    </row>
    <row r="203" spans="1:7" x14ac:dyDescent="0.2">
      <c r="A203" s="118">
        <f t="shared" si="29"/>
        <v>39355</v>
      </c>
      <c r="B203" s="126"/>
      <c r="C203" s="120">
        <v>368.83</v>
      </c>
      <c r="D203" s="127">
        <v>147.15613368213153</v>
      </c>
      <c r="E203" s="127">
        <v>145.02944421366271</v>
      </c>
      <c r="F203" s="122">
        <f t="shared" si="31"/>
        <v>2.5182755649442612E-2</v>
      </c>
      <c r="G203" s="123">
        <f t="shared" si="30"/>
        <v>1.4348345061707235E-2</v>
      </c>
    </row>
    <row r="204" spans="1:7" x14ac:dyDescent="0.2">
      <c r="A204" s="118">
        <f t="shared" si="29"/>
        <v>39325</v>
      </c>
      <c r="B204" s="126"/>
      <c r="C204" s="120">
        <v>359.77</v>
      </c>
      <c r="D204" s="127">
        <v>145.17243385362977</v>
      </c>
      <c r="E204" s="127">
        <v>144.6026124606048</v>
      </c>
      <c r="F204" s="122">
        <f t="shared" si="31"/>
        <v>2.6682266993892867E-2</v>
      </c>
      <c r="G204" s="123">
        <f t="shared" si="30"/>
        <v>2.6875197284380148E-2</v>
      </c>
    </row>
    <row r="205" spans="1:7" x14ac:dyDescent="0.2">
      <c r="A205" s="118">
        <f t="shared" si="29"/>
        <v>39294</v>
      </c>
      <c r="B205" s="126"/>
      <c r="C205" s="120">
        <v>350.42</v>
      </c>
      <c r="D205" s="127">
        <v>144.64143298349327</v>
      </c>
      <c r="E205" s="127">
        <v>144.04662713728897</v>
      </c>
      <c r="F205" s="122">
        <f t="shared" si="31"/>
        <v>3.1261165748369457E-2</v>
      </c>
      <c r="G205" s="123">
        <f t="shared" si="30"/>
        <v>1.7542974739542139E-2</v>
      </c>
    </row>
    <row r="206" spans="1:7" x14ac:dyDescent="0.2">
      <c r="A206" s="118">
        <f t="shared" si="29"/>
        <v>39263</v>
      </c>
      <c r="B206" s="126"/>
      <c r="C206" s="120">
        <v>339.79753299999999</v>
      </c>
      <c r="D206" s="127">
        <v>142.25034715287921</v>
      </c>
      <c r="E206" s="127">
        <v>143.57526166977354</v>
      </c>
      <c r="F206" s="122">
        <f t="shared" si="31"/>
        <v>2.2901045249298368E-2</v>
      </c>
      <c r="G206" s="123">
        <f t="shared" si="30"/>
        <v>2.3642983183855382E-2</v>
      </c>
    </row>
    <row r="207" spans="1:7" x14ac:dyDescent="0.2">
      <c r="A207" s="118">
        <f t="shared" si="29"/>
        <v>39233</v>
      </c>
      <c r="B207" s="126"/>
      <c r="C207" s="120">
        <v>332.19003400000003</v>
      </c>
      <c r="D207" s="127">
        <v>141.89480616455955</v>
      </c>
      <c r="E207" s="127">
        <v>143.11260572243782</v>
      </c>
      <c r="F207" s="122">
        <f t="shared" si="31"/>
        <v>-6.2580696464313856E-3</v>
      </c>
      <c r="G207" s="123">
        <f t="shared" si="30"/>
        <v>-2.5194051755828006E-4</v>
      </c>
    </row>
    <row r="208" spans="1:7" x14ac:dyDescent="0.2">
      <c r="A208" s="118">
        <f t="shared" si="29"/>
        <v>39202</v>
      </c>
      <c r="B208" s="126"/>
      <c r="C208" s="120">
        <v>334.281994</v>
      </c>
      <c r="D208" s="127">
        <v>142.18300225454146</v>
      </c>
      <c r="E208" s="127">
        <v>142.541759590509</v>
      </c>
      <c r="F208" s="122">
        <f t="shared" si="31"/>
        <v>1.2546174350275718E-2</v>
      </c>
      <c r="G208" s="123">
        <f t="shared" si="30"/>
        <v>7.8650425591486606E-3</v>
      </c>
    </row>
    <row r="209" spans="1:7" x14ac:dyDescent="0.2">
      <c r="A209" s="118">
        <f t="shared" si="29"/>
        <v>39172</v>
      </c>
      <c r="B209" s="126"/>
      <c r="C209" s="120">
        <v>330.14</v>
      </c>
      <c r="D209" s="127">
        <v>141.17438399167401</v>
      </c>
      <c r="E209" s="127">
        <v>142.18794963635099</v>
      </c>
      <c r="F209" s="122">
        <f t="shared" si="31"/>
        <v>6.0228541125559865E-3</v>
      </c>
      <c r="G209" s="123">
        <f t="shared" si="30"/>
        <v>-2.7290758590807762E-3</v>
      </c>
    </row>
    <row r="210" spans="1:7" x14ac:dyDescent="0.2">
      <c r="A210" s="118">
        <f t="shared" si="29"/>
        <v>39141</v>
      </c>
      <c r="B210" s="126"/>
      <c r="C210" s="120">
        <v>328.16351900000001</v>
      </c>
      <c r="D210" s="127">
        <v>139.30389940684483</v>
      </c>
      <c r="E210" s="127">
        <v>141.53532723650611</v>
      </c>
      <c r="F210" s="122">
        <f t="shared" si="31"/>
        <v>3.560817659681903E-2</v>
      </c>
      <c r="G210" s="123">
        <f t="shared" si="30"/>
        <v>3.2582500951043425E-2</v>
      </c>
    </row>
    <row r="211" spans="1:7" x14ac:dyDescent="0.2">
      <c r="A211" s="118">
        <f t="shared" si="29"/>
        <v>39113</v>
      </c>
      <c r="B211" s="126"/>
      <c r="C211" s="120">
        <v>316.88</v>
      </c>
      <c r="D211" s="127">
        <v>138.45344853831244</v>
      </c>
      <c r="E211" s="127">
        <v>141.08344872620398</v>
      </c>
      <c r="F211" s="122">
        <f t="shared" si="31"/>
        <v>-7.5184673038285466E-3</v>
      </c>
      <c r="G211" s="123">
        <f t="shared" si="30"/>
        <v>7.3473736324847216E-4</v>
      </c>
    </row>
    <row r="212" spans="1:7" x14ac:dyDescent="0.2">
      <c r="A212" s="118">
        <f t="shared" si="29"/>
        <v>39082</v>
      </c>
      <c r="B212" s="126"/>
      <c r="C212" s="120">
        <v>319.28050000000002</v>
      </c>
      <c r="D212" s="127">
        <v>139.17672648130491</v>
      </c>
      <c r="E212" s="127">
        <v>140.65085176500804</v>
      </c>
      <c r="F212" s="122">
        <f t="shared" si="31"/>
        <v>-7.5000905341982005E-4</v>
      </c>
      <c r="G212" s="123">
        <f t="shared" si="30"/>
        <v>3.9274951662839896E-3</v>
      </c>
    </row>
    <row r="213" spans="1:7" x14ac:dyDescent="0.2">
      <c r="A213" s="118">
        <f t="shared" si="29"/>
        <v>39051</v>
      </c>
      <c r="B213" s="126"/>
      <c r="C213" s="120">
        <v>319.52014300000002</v>
      </c>
      <c r="D213" s="128">
        <v>139.38</v>
      </c>
      <c r="E213" s="128">
        <v>140.19999999999999</v>
      </c>
      <c r="F213" s="122">
        <f t="shared" si="31"/>
        <v>2.0831127795527316E-2</v>
      </c>
      <c r="G213" s="123">
        <f t="shared" si="30"/>
        <v>2.7209901304143802E-3</v>
      </c>
    </row>
    <row r="214" spans="1:7" x14ac:dyDescent="0.2">
      <c r="A214" s="118">
        <f t="shared" si="29"/>
        <v>39021</v>
      </c>
      <c r="B214" s="126"/>
      <c r="C214" s="120">
        <v>313</v>
      </c>
      <c r="D214" s="128">
        <v>136.38</v>
      </c>
      <c r="E214" s="128">
        <v>139.66</v>
      </c>
      <c r="F214" s="122">
        <f t="shared" si="31"/>
        <v>2.4019215372297342E-3</v>
      </c>
      <c r="G214" s="123">
        <f t="shared" si="30"/>
        <v>2.7149032951157004E-3</v>
      </c>
    </row>
    <row r="215" spans="1:7" x14ac:dyDescent="0.2">
      <c r="A215" s="118">
        <f t="shared" si="29"/>
        <v>38990</v>
      </c>
      <c r="B215" s="126"/>
      <c r="C215" s="120">
        <v>312.25</v>
      </c>
      <c r="D215" s="128">
        <v>136.11000000000001</v>
      </c>
      <c r="E215" s="128">
        <v>139.34</v>
      </c>
      <c r="F215" s="122">
        <f t="shared" si="31"/>
        <v>1.2811889433406165E-4</v>
      </c>
      <c r="G215" s="123">
        <f t="shared" si="30"/>
        <v>2.2674103866220374E-3</v>
      </c>
    </row>
    <row r="216" spans="1:7" x14ac:dyDescent="0.2">
      <c r="A216" s="118">
        <f t="shared" si="29"/>
        <v>38960</v>
      </c>
      <c r="B216" s="126"/>
      <c r="C216" s="120">
        <v>312.20999999999998</v>
      </c>
      <c r="D216" s="128">
        <v>135.99</v>
      </c>
      <c r="E216" s="128">
        <v>138.91999999999999</v>
      </c>
      <c r="F216" s="122">
        <f t="shared" si="31"/>
        <v>-3.0017563467986674E-3</v>
      </c>
      <c r="G216" s="123">
        <f t="shared" si="30"/>
        <v>-7.1706632708474771E-3</v>
      </c>
    </row>
    <row r="217" spans="1:7" x14ac:dyDescent="0.2">
      <c r="A217" s="118">
        <f t="shared" si="29"/>
        <v>38929</v>
      </c>
      <c r="B217" s="126"/>
      <c r="C217" s="120">
        <v>313.14999999999998</v>
      </c>
      <c r="D217" s="128">
        <v>134.69999999999999</v>
      </c>
      <c r="E217" s="128">
        <v>138.18</v>
      </c>
      <c r="F217" s="122">
        <f t="shared" si="31"/>
        <v>-1.1926923926419142E-2</v>
      </c>
      <c r="G217" s="123">
        <f t="shared" si="30"/>
        <v>-1.2814100011663387E-2</v>
      </c>
    </row>
    <row r="218" spans="1:7" x14ac:dyDescent="0.2">
      <c r="A218" s="118">
        <f t="shared" si="29"/>
        <v>38898</v>
      </c>
      <c r="B218" s="126"/>
      <c r="C218" s="120">
        <v>316.93</v>
      </c>
      <c r="D218" s="128">
        <v>134.16999999999999</v>
      </c>
      <c r="E218" s="128">
        <v>137.76</v>
      </c>
      <c r="F218" s="122">
        <f t="shared" si="31"/>
        <v>-9.6164421632689567E-3</v>
      </c>
      <c r="G218" s="123">
        <f t="shared" si="30"/>
        <v>6.1403190263318308E-3</v>
      </c>
    </row>
    <row r="219" spans="1:7" x14ac:dyDescent="0.2">
      <c r="A219" s="118">
        <f t="shared" si="29"/>
        <v>38868</v>
      </c>
      <c r="B219" s="126"/>
      <c r="C219" s="120">
        <v>320.00733200000002</v>
      </c>
      <c r="D219" s="128">
        <v>135.80000000000001</v>
      </c>
      <c r="E219" s="128">
        <v>137.25</v>
      </c>
      <c r="F219" s="122">
        <f t="shared" si="31"/>
        <v>-1.4233303987628454E-2</v>
      </c>
      <c r="G219" s="123">
        <f t="shared" si="30"/>
        <v>-3.9232479377269369E-2</v>
      </c>
    </row>
    <row r="220" spans="1:7" x14ac:dyDescent="0.2">
      <c r="A220" s="118">
        <f t="shared" si="29"/>
        <v>38837</v>
      </c>
      <c r="B220" s="126"/>
      <c r="C220" s="120">
        <v>324.627859</v>
      </c>
      <c r="D220" s="128">
        <v>131.97999999999999</v>
      </c>
      <c r="E220" s="128">
        <v>136.86000000000001</v>
      </c>
      <c r="F220" s="122">
        <f t="shared" si="31"/>
        <v>3.857476723856279E-2</v>
      </c>
      <c r="G220" s="123">
        <f t="shared" si="30"/>
        <v>2.8212997945047613E-2</v>
      </c>
    </row>
    <row r="221" spans="1:7" x14ac:dyDescent="0.2">
      <c r="A221" s="118">
        <f t="shared" si="29"/>
        <v>38807</v>
      </c>
      <c r="B221" s="126"/>
      <c r="C221" s="126">
        <v>312.57052379882469</v>
      </c>
      <c r="D221" s="126">
        <v>130.31</v>
      </c>
      <c r="E221" s="126">
        <v>136.49</v>
      </c>
      <c r="F221" s="122">
        <f t="shared" si="31"/>
        <v>9.3664991727473446E-3</v>
      </c>
      <c r="G221" s="123">
        <f t="shared" si="30"/>
        <v>1.0013074718790982E-2</v>
      </c>
    </row>
    <row r="222" spans="1:7" x14ac:dyDescent="0.2">
      <c r="A222" s="118">
        <f t="shared" si="29"/>
        <v>38776</v>
      </c>
      <c r="B222" s="126"/>
      <c r="C222" s="126">
        <v>309.67</v>
      </c>
      <c r="D222" s="126">
        <v>130.04</v>
      </c>
      <c r="E222" s="126">
        <v>136.12</v>
      </c>
      <c r="F222" s="122">
        <f t="shared" si="31"/>
        <v>-1.2909600918016073E-2</v>
      </c>
      <c r="G222" s="123">
        <f t="shared" si="30"/>
        <v>-4.5078905227390331E-3</v>
      </c>
    </row>
    <row r="223" spans="1:7" x14ac:dyDescent="0.2">
      <c r="A223" s="118">
        <f t="shared" si="29"/>
        <v>38748</v>
      </c>
      <c r="B223" s="126"/>
      <c r="C223" s="126">
        <v>313.72000000000003</v>
      </c>
      <c r="D223" s="126">
        <v>130.80000000000001</v>
      </c>
      <c r="E223" s="126">
        <v>135.76</v>
      </c>
      <c r="F223" s="122">
        <f t="shared" si="31"/>
        <v>1.8439163744968123E-2</v>
      </c>
      <c r="G223" s="123">
        <f t="shared" si="30"/>
        <v>1.2969555650960141E-2</v>
      </c>
    </row>
    <row r="224" spans="1:7" x14ac:dyDescent="0.2">
      <c r="A224" s="118">
        <f t="shared" si="29"/>
        <v>38717</v>
      </c>
      <c r="B224" s="126"/>
      <c r="C224" s="126">
        <v>308.04000000000002</v>
      </c>
      <c r="D224" s="126">
        <v>129.7739</v>
      </c>
      <c r="E224" s="126">
        <v>135.42228588505586</v>
      </c>
      <c r="F224" s="122">
        <f t="shared" si="31"/>
        <v>1.8684480306888629E-2</v>
      </c>
      <c r="G224" s="123">
        <f t="shared" si="30"/>
        <v>1.5095501060142791E-2</v>
      </c>
    </row>
    <row r="225" spans="1:7" x14ac:dyDescent="0.2">
      <c r="A225" s="118">
        <f t="shared" si="29"/>
        <v>38686</v>
      </c>
      <c r="B225" s="126"/>
      <c r="C225" s="126">
        <v>302.39</v>
      </c>
      <c r="D225" s="126">
        <v>128.87610000000001</v>
      </c>
      <c r="E225" s="126">
        <v>134.96089691906135</v>
      </c>
      <c r="F225" s="122">
        <f t="shared" si="31"/>
        <v>-7.385766806722649E-3</v>
      </c>
      <c r="G225" s="123">
        <f t="shared" si="30"/>
        <v>9.1691942142979599E-4</v>
      </c>
    </row>
    <row r="226" spans="1:7" x14ac:dyDescent="0.2">
      <c r="A226" s="118">
        <f t="shared" si="29"/>
        <v>38656</v>
      </c>
      <c r="B226" s="126"/>
      <c r="C226" s="126">
        <v>304.64</v>
      </c>
      <c r="D226" s="126">
        <v>129.6181</v>
      </c>
      <c r="E226" s="126">
        <v>134.61197291188842</v>
      </c>
      <c r="F226" s="122">
        <f t="shared" si="31"/>
        <v>-3.3370411568410807E-3</v>
      </c>
      <c r="G226" s="123">
        <f t="shared" si="30"/>
        <v>-1.658794646013817E-3</v>
      </c>
    </row>
    <row r="227" spans="1:7" x14ac:dyDescent="0.2">
      <c r="A227" s="118">
        <f t="shared" si="29"/>
        <v>38625</v>
      </c>
      <c r="B227" s="126"/>
      <c r="C227" s="126">
        <v>305.66000000000003</v>
      </c>
      <c r="D227" s="126">
        <v>129.52789999999999</v>
      </c>
      <c r="E227" s="126">
        <v>134.29216775636587</v>
      </c>
      <c r="F227" s="122">
        <f t="shared" si="31"/>
        <v>-3.228436328061135E-3</v>
      </c>
      <c r="G227" s="123">
        <f t="shared" si="30"/>
        <v>4.2872047424682425E-3</v>
      </c>
    </row>
    <row r="228" spans="1:7" x14ac:dyDescent="0.2">
      <c r="A228" s="118">
        <f t="shared" si="29"/>
        <v>38595</v>
      </c>
      <c r="B228" s="126">
        <v>38596</v>
      </c>
      <c r="C228" s="126">
        <v>306.64999999999998</v>
      </c>
      <c r="D228" s="126">
        <v>130.114</v>
      </c>
      <c r="E228" s="126">
        <v>133.89029495729994</v>
      </c>
      <c r="F228" s="122">
        <f t="shared" si="31"/>
        <v>1.0245766620543995E-2</v>
      </c>
      <c r="G228" s="123">
        <f t="shared" si="30"/>
        <v>6.6100736533003523E-3</v>
      </c>
    </row>
    <row r="229" spans="1:7" x14ac:dyDescent="0.2">
      <c r="A229" s="118">
        <f t="shared" si="29"/>
        <v>38564</v>
      </c>
      <c r="B229" s="126">
        <v>38565</v>
      </c>
      <c r="C229" s="126">
        <v>303.54000000000002</v>
      </c>
      <c r="D229" s="126">
        <v>129.3458</v>
      </c>
      <c r="E229" s="126">
        <v>133.58053183925611</v>
      </c>
      <c r="F229" s="122">
        <f t="shared" si="31"/>
        <v>6.8997545279640971E-3</v>
      </c>
      <c r="G229" s="123">
        <f t="shared" si="30"/>
        <v>5.7518389874324782E-3</v>
      </c>
    </row>
    <row r="230" spans="1:7" x14ac:dyDescent="0.2">
      <c r="A230" s="118">
        <f t="shared" si="29"/>
        <v>38533</v>
      </c>
      <c r="B230" s="126">
        <v>38534</v>
      </c>
      <c r="C230" s="126">
        <v>301.45999999999998</v>
      </c>
      <c r="D230" s="126">
        <v>128.90969999999999</v>
      </c>
      <c r="E230" s="126">
        <v>133.28210228393013</v>
      </c>
      <c r="F230" s="122">
        <f t="shared" si="31"/>
        <v>-1.1736165748754357E-2</v>
      </c>
      <c r="G230" s="123">
        <f t="shared" si="30"/>
        <v>3.6350548029737695E-3</v>
      </c>
    </row>
    <row r="231" spans="1:7" x14ac:dyDescent="0.2">
      <c r="A231" s="118">
        <f t="shared" si="29"/>
        <v>38503</v>
      </c>
      <c r="B231" s="126">
        <v>38504</v>
      </c>
      <c r="C231" s="126">
        <v>305.04000000000002</v>
      </c>
      <c r="D231" s="126">
        <v>130.5943</v>
      </c>
      <c r="E231" s="126">
        <v>132.95587703101154</v>
      </c>
      <c r="F231" s="122">
        <f t="shared" si="31"/>
        <v>-5.6718169372187432E-3</v>
      </c>
      <c r="G231" s="123">
        <f t="shared" si="30"/>
        <v>7.3556444034597046E-3</v>
      </c>
    </row>
    <row r="232" spans="1:7" x14ac:dyDescent="0.2">
      <c r="A232" s="118">
        <f t="shared" si="29"/>
        <v>38472</v>
      </c>
      <c r="B232" s="126">
        <v>38473</v>
      </c>
      <c r="C232" s="126">
        <v>306.77999999999997</v>
      </c>
      <c r="D232" s="126">
        <v>132.05170000000001</v>
      </c>
      <c r="E232" s="126">
        <v>132.70101320011901</v>
      </c>
      <c r="F232" s="122">
        <f t="shared" si="31"/>
        <v>6.9585767741087157E-3</v>
      </c>
      <c r="G232" s="123">
        <f t="shared" si="30"/>
        <v>7.3690079421131482E-3</v>
      </c>
    </row>
    <row r="233" spans="1:7" x14ac:dyDescent="0.2">
      <c r="A233" s="118">
        <f t="shared" si="29"/>
        <v>38442</v>
      </c>
      <c r="B233" s="126">
        <v>38443</v>
      </c>
      <c r="C233" s="126">
        <v>304.66000000000003</v>
      </c>
      <c r="D233" s="126">
        <v>131.85640000000001</v>
      </c>
      <c r="E233" s="126">
        <v>132.45076663249802</v>
      </c>
      <c r="F233" s="122">
        <f t="shared" si="31"/>
        <v>-8.4618889539802566E-3</v>
      </c>
      <c r="G233" s="123">
        <f t="shared" si="30"/>
        <v>8.8595488944687162E-5</v>
      </c>
    </row>
    <row r="234" spans="1:7" x14ac:dyDescent="0.2">
      <c r="A234" s="118">
        <f t="shared" si="29"/>
        <v>38411</v>
      </c>
      <c r="B234" s="126">
        <v>38412</v>
      </c>
      <c r="C234" s="126">
        <v>307.26</v>
      </c>
      <c r="D234" s="126">
        <v>132.684</v>
      </c>
      <c r="E234" s="126">
        <v>132.14257164784931</v>
      </c>
      <c r="F234" s="122">
        <f t="shared" si="31"/>
        <v>1.2755858795609587E-2</v>
      </c>
      <c r="G234" s="123">
        <f t="shared" si="30"/>
        <v>1.2378903932163121E-2</v>
      </c>
    </row>
    <row r="235" spans="1:7" x14ac:dyDescent="0.2">
      <c r="A235" s="118">
        <f t="shared" si="29"/>
        <v>38383</v>
      </c>
      <c r="B235" s="126">
        <v>38384</v>
      </c>
      <c r="C235" s="126">
        <v>303.39</v>
      </c>
      <c r="D235" s="126">
        <v>132.40100000000001</v>
      </c>
      <c r="E235" s="126">
        <v>131.90982421904036</v>
      </c>
      <c r="F235" s="122">
        <f t="shared" si="31"/>
        <v>-1.1501368434771342E-2</v>
      </c>
      <c r="G235" s="123">
        <f t="shared" si="30"/>
        <v>3.431578894093068E-3</v>
      </c>
    </row>
    <row r="236" spans="1:7" x14ac:dyDescent="0.2">
      <c r="A236" s="118">
        <f t="shared" si="29"/>
        <v>38352</v>
      </c>
      <c r="B236" s="126">
        <v>38353</v>
      </c>
      <c r="C236" s="126">
        <v>306.92</v>
      </c>
      <c r="D236" s="126">
        <v>134.1798</v>
      </c>
      <c r="E236" s="126">
        <v>131.69258557674971</v>
      </c>
      <c r="F236" s="122">
        <f t="shared" si="31"/>
        <v>2.133040497820371E-2</v>
      </c>
      <c r="G236" s="123">
        <f t="shared" si="30"/>
        <v>1.1438820187846588E-2</v>
      </c>
    </row>
    <row r="237" spans="1:7" x14ac:dyDescent="0.2">
      <c r="A237" s="118">
        <f t="shared" si="29"/>
        <v>38321</v>
      </c>
      <c r="B237" s="126">
        <v>38322</v>
      </c>
      <c r="C237" s="126">
        <v>300.51</v>
      </c>
      <c r="D237" s="126">
        <v>132.6</v>
      </c>
      <c r="E237" s="126">
        <v>131.41482195555193</v>
      </c>
      <c r="F237" s="122">
        <f t="shared" si="31"/>
        <v>3.8497425441476274E-2</v>
      </c>
      <c r="G237" s="123">
        <f t="shared" si="30"/>
        <v>1.9183331446337215E-2</v>
      </c>
    </row>
    <row r="238" spans="1:7" x14ac:dyDescent="0.2">
      <c r="A238" s="118">
        <f t="shared" si="29"/>
        <v>38291</v>
      </c>
      <c r="B238" s="126">
        <v>38292</v>
      </c>
      <c r="C238" s="126">
        <v>289.37</v>
      </c>
      <c r="D238" s="126">
        <v>129.93100000000001</v>
      </c>
      <c r="E238" s="126">
        <v>131.20993485028816</v>
      </c>
      <c r="F238" s="122">
        <f t="shared" si="31"/>
        <v>1.9734291856080777E-2</v>
      </c>
      <c r="G238" s="123">
        <f t="shared" si="30"/>
        <v>5.0442890197495149E-3</v>
      </c>
    </row>
    <row r="239" spans="1:7" x14ac:dyDescent="0.2">
      <c r="A239" s="118">
        <f t="shared" si="29"/>
        <v>38260</v>
      </c>
      <c r="B239" s="126">
        <v>38261</v>
      </c>
      <c r="C239" s="126">
        <v>283.77</v>
      </c>
      <c r="D239" s="126">
        <v>127.873</v>
      </c>
      <c r="E239" s="126">
        <v>131.01910157357671</v>
      </c>
      <c r="F239" s="122">
        <f t="shared" si="31"/>
        <v>1.9874928119608892E-2</v>
      </c>
      <c r="G239" s="123">
        <f t="shared" si="30"/>
        <v>1.1212158647545101E-2</v>
      </c>
    </row>
    <row r="240" spans="1:7" x14ac:dyDescent="0.2">
      <c r="A240" s="118">
        <f t="shared" si="29"/>
        <v>38230</v>
      </c>
      <c r="B240" s="126">
        <v>38231</v>
      </c>
      <c r="C240" s="126">
        <v>278.24</v>
      </c>
      <c r="D240" s="126">
        <v>126.56643460958099</v>
      </c>
      <c r="E240" s="126">
        <v>130.79132566724635</v>
      </c>
      <c r="F240" s="122">
        <f t="shared" si="31"/>
        <v>1.5400335741916793E-2</v>
      </c>
      <c r="G240" s="123">
        <f t="shared" si="30"/>
        <v>1.131423692322886E-2</v>
      </c>
    </row>
    <row r="241" spans="1:7" x14ac:dyDescent="0.2">
      <c r="A241" s="118">
        <f t="shared" si="29"/>
        <v>38199</v>
      </c>
      <c r="B241" s="126">
        <v>38200</v>
      </c>
      <c r="C241" s="126">
        <v>274.02</v>
      </c>
      <c r="D241" s="126">
        <v>125.88867898124001</v>
      </c>
      <c r="E241" s="126">
        <v>130.61656350180982</v>
      </c>
      <c r="F241" s="122">
        <f t="shared" si="31"/>
        <v>-1.0865249250983644E-2</v>
      </c>
      <c r="G241" s="123">
        <f t="shared" si="30"/>
        <v>-3.2059452456800752E-3</v>
      </c>
    </row>
    <row r="242" spans="1:7" x14ac:dyDescent="0.2">
      <c r="A242" s="118">
        <f t="shared" si="29"/>
        <v>38168</v>
      </c>
      <c r="B242" s="126">
        <v>38169</v>
      </c>
      <c r="C242" s="126">
        <v>277.02999999999997</v>
      </c>
      <c r="D242" s="126">
        <v>126.69199999999999</v>
      </c>
      <c r="E242" s="126">
        <v>130.44</v>
      </c>
      <c r="F242" s="122">
        <f t="shared" si="31"/>
        <v>1.5545914678234407E-3</v>
      </c>
      <c r="G242" s="123">
        <f t="shared" si="30"/>
        <v>7.9372019534984517E-4</v>
      </c>
    </row>
    <row r="243" spans="1:7" x14ac:dyDescent="0.2">
      <c r="A243" s="118">
        <f t="shared" si="29"/>
        <v>38138</v>
      </c>
      <c r="B243" s="126">
        <v>38139</v>
      </c>
      <c r="C243" s="126">
        <v>276.60000000000002</v>
      </c>
      <c r="D243" s="126">
        <v>126.4147</v>
      </c>
      <c r="E243" s="126">
        <v>130.2534487565855</v>
      </c>
      <c r="F243" s="122">
        <f t="shared" si="31"/>
        <v>-7.6061997703789075E-3</v>
      </c>
      <c r="G243" s="123">
        <f t="shared" si="30"/>
        <v>-1.5921782357933401E-2</v>
      </c>
    </row>
    <row r="244" spans="1:7" x14ac:dyDescent="0.2">
      <c r="A244" s="118">
        <f t="shared" si="29"/>
        <v>38107</v>
      </c>
      <c r="B244" s="126">
        <v>38108</v>
      </c>
      <c r="C244" s="126">
        <v>278.72000000000003</v>
      </c>
      <c r="D244" s="126">
        <v>125.21</v>
      </c>
      <c r="E244" s="126">
        <v>130.10233521002428</v>
      </c>
      <c r="F244" s="122">
        <f t="shared" si="31"/>
        <v>-1.7553753965456331E-2</v>
      </c>
      <c r="G244" s="123">
        <f t="shared" si="30"/>
        <v>-5.6280793981303701E-3</v>
      </c>
    </row>
    <row r="245" spans="1:7" x14ac:dyDescent="0.2">
      <c r="A245" s="118">
        <f t="shared" si="29"/>
        <v>38077</v>
      </c>
      <c r="B245" s="126">
        <v>38078</v>
      </c>
      <c r="C245" s="126">
        <v>283.7</v>
      </c>
      <c r="D245" s="126">
        <v>126.5646</v>
      </c>
      <c r="E245" s="126">
        <v>129.93264299101861</v>
      </c>
      <c r="F245" s="122">
        <f t="shared" si="31"/>
        <v>2.4258018573765527E-2</v>
      </c>
      <c r="G245" s="123">
        <f t="shared" si="30"/>
        <v>2.6034107536130335E-2</v>
      </c>
    </row>
    <row r="246" spans="1:7" x14ac:dyDescent="0.2">
      <c r="A246" s="118">
        <f t="shared" si="29"/>
        <v>38046</v>
      </c>
      <c r="B246" s="126">
        <v>38047</v>
      </c>
      <c r="C246" s="126">
        <v>276.98099000000002</v>
      </c>
      <c r="D246" s="126">
        <v>126.658</v>
      </c>
      <c r="E246" s="126">
        <v>129.80344606789589</v>
      </c>
      <c r="F246" s="122">
        <f t="shared" si="31"/>
        <v>1.1498215444960991E-2</v>
      </c>
      <c r="G246" s="123">
        <f t="shared" si="30"/>
        <v>1.5142609950268948E-2</v>
      </c>
    </row>
    <row r="247" spans="1:7" x14ac:dyDescent="0.2">
      <c r="A247" s="118">
        <f t="shared" si="29"/>
        <v>38017</v>
      </c>
      <c r="B247" s="126">
        <v>38018</v>
      </c>
      <c r="C247" s="126">
        <v>273.83240599999999</v>
      </c>
      <c r="D247" s="126">
        <v>126.985</v>
      </c>
      <c r="E247" s="126">
        <v>129.6713652149428</v>
      </c>
      <c r="F247" s="122">
        <f t="shared" si="31"/>
        <v>5.2584654919236584E-3</v>
      </c>
      <c r="G247" s="123">
        <f t="shared" si="30"/>
        <v>8.7726985587655015E-3</v>
      </c>
    </row>
    <row r="248" spans="1:7" x14ac:dyDescent="0.2">
      <c r="A248" s="118">
        <f t="shared" si="29"/>
        <v>37986</v>
      </c>
      <c r="B248" s="126">
        <v>37987</v>
      </c>
      <c r="C248" s="126">
        <v>272.39999999999998</v>
      </c>
      <c r="D248" s="126">
        <v>127.29</v>
      </c>
      <c r="E248" s="126">
        <v>129.53</v>
      </c>
      <c r="F248" s="122">
        <f t="shared" si="31"/>
        <v>4.2280466806963624E-2</v>
      </c>
      <c r="G248" s="123">
        <f t="shared" si="30"/>
        <v>1.9793654943156547E-2</v>
      </c>
    </row>
    <row r="249" spans="1:7" x14ac:dyDescent="0.2">
      <c r="A249" s="118">
        <f t="shared" si="29"/>
        <v>37955</v>
      </c>
      <c r="B249" s="126">
        <v>37956</v>
      </c>
      <c r="C249" s="126">
        <v>261.35000000000002</v>
      </c>
      <c r="D249" s="126">
        <v>124.38500000000001</v>
      </c>
      <c r="E249" s="126">
        <v>129.36487787058525</v>
      </c>
      <c r="F249" s="122">
        <f t="shared" si="31"/>
        <v>8.9564915260782474E-3</v>
      </c>
      <c r="G249" s="123">
        <f t="shared" si="30"/>
        <v>3.7990643457179729E-3</v>
      </c>
    </row>
    <row r="250" spans="1:7" x14ac:dyDescent="0.2">
      <c r="A250" s="118">
        <f t="shared" si="29"/>
        <v>37925</v>
      </c>
      <c r="B250" s="126">
        <v>37926</v>
      </c>
      <c r="C250" s="126">
        <v>259.02999999999997</v>
      </c>
      <c r="D250" s="126">
        <v>123.61499999999999</v>
      </c>
      <c r="E250" s="126">
        <v>129.22460040426566</v>
      </c>
      <c r="F250" s="122">
        <f t="shared" si="31"/>
        <v>1.8079628974570383E-2</v>
      </c>
      <c r="G250" s="123">
        <f t="shared" si="30"/>
        <v>1.0443242439538425E-2</v>
      </c>
    </row>
    <row r="251" spans="1:7" x14ac:dyDescent="0.2">
      <c r="A251" s="118">
        <f t="shared" si="29"/>
        <v>37894</v>
      </c>
      <c r="B251" s="126">
        <v>37895</v>
      </c>
      <c r="C251" s="126">
        <v>254.43</v>
      </c>
      <c r="D251" s="126">
        <v>122.56</v>
      </c>
      <c r="E251" s="126">
        <v>129.09</v>
      </c>
      <c r="F251" s="122">
        <f t="shared" si="31"/>
        <v>4.6003946719289646E-2</v>
      </c>
      <c r="G251" s="123">
        <f t="shared" si="30"/>
        <v>1.6043499467555788E-2</v>
      </c>
    </row>
    <row r="252" spans="1:7" x14ac:dyDescent="0.2">
      <c r="A252" s="118">
        <f t="shared" si="29"/>
        <v>37864</v>
      </c>
      <c r="B252" s="126">
        <v>37865</v>
      </c>
      <c r="C252" s="126">
        <v>243.24</v>
      </c>
      <c r="D252" s="126">
        <v>118.893</v>
      </c>
      <c r="E252" s="126">
        <v>128.92025495936582</v>
      </c>
      <c r="F252" s="122">
        <f t="shared" si="31"/>
        <v>1.8251841929002088E-2</v>
      </c>
      <c r="G252" s="123">
        <f t="shared" si="30"/>
        <v>2.5365987218754382E-2</v>
      </c>
    </row>
    <row r="253" spans="1:7" x14ac:dyDescent="0.2">
      <c r="A253" s="118">
        <f t="shared" si="29"/>
        <v>37833</v>
      </c>
      <c r="B253" s="126">
        <v>37834</v>
      </c>
      <c r="C253" s="126">
        <v>238.88</v>
      </c>
      <c r="D253" s="126">
        <v>119.598</v>
      </c>
      <c r="E253" s="126">
        <v>128.78494130598449</v>
      </c>
      <c r="F253" s="122">
        <f t="shared" si="31"/>
        <v>-2.1720969089390474E-3</v>
      </c>
      <c r="G253" s="123">
        <f t="shared" si="30"/>
        <v>5.192207881234312E-3</v>
      </c>
    </row>
    <row r="254" spans="1:7" x14ac:dyDescent="0.2">
      <c r="A254" s="118">
        <f t="shared" si="29"/>
        <v>37802</v>
      </c>
      <c r="B254" s="126">
        <v>37803</v>
      </c>
      <c r="C254" s="126">
        <v>239.4</v>
      </c>
      <c r="D254" s="126">
        <v>120.33</v>
      </c>
      <c r="E254" s="126">
        <v>128.62388259512875</v>
      </c>
      <c r="F254" s="122">
        <f t="shared" si="31"/>
        <v>3.7314997274748851E-3</v>
      </c>
      <c r="G254" s="123">
        <f t="shared" si="30"/>
        <v>1.2985655221386505E-2</v>
      </c>
    </row>
    <row r="255" spans="1:7" x14ac:dyDescent="0.2">
      <c r="A255" s="118">
        <f t="shared" si="29"/>
        <v>37772</v>
      </c>
      <c r="B255" s="126">
        <v>37773</v>
      </c>
      <c r="C255" s="126">
        <v>238.51</v>
      </c>
      <c r="D255" s="126">
        <v>121.29</v>
      </c>
      <c r="E255" s="126">
        <v>128.46563043875238</v>
      </c>
      <c r="F255" s="122">
        <f t="shared" si="31"/>
        <v>4.0755770825151583E-2</v>
      </c>
      <c r="G255" s="123">
        <f t="shared" si="30"/>
        <v>2.449676515113075E-2</v>
      </c>
    </row>
    <row r="256" spans="1:7" x14ac:dyDescent="0.2">
      <c r="A256" s="118">
        <f t="shared" si="29"/>
        <v>37741</v>
      </c>
      <c r="B256" s="126">
        <v>37742</v>
      </c>
      <c r="C256" s="126">
        <v>229.17</v>
      </c>
      <c r="D256" s="126">
        <v>119.265</v>
      </c>
      <c r="E256" s="126">
        <v>128.32557093958786</v>
      </c>
      <c r="F256" s="122">
        <f t="shared" si="31"/>
        <v>3.1182505399568017E-2</v>
      </c>
      <c r="G256" s="123">
        <f t="shared" si="30"/>
        <v>1.9508993894442828E-2</v>
      </c>
    </row>
    <row r="257" spans="1:7" x14ac:dyDescent="0.2">
      <c r="A257" s="118">
        <f t="shared" si="29"/>
        <v>37711</v>
      </c>
      <c r="B257" s="126">
        <v>37712</v>
      </c>
      <c r="C257" s="126">
        <v>222.24</v>
      </c>
      <c r="D257" s="126">
        <v>117.74</v>
      </c>
      <c r="E257" s="126">
        <v>128.13527317260406</v>
      </c>
      <c r="F257" s="122">
        <f t="shared" si="31"/>
        <v>4.5985335139657746E-3</v>
      </c>
      <c r="G257" s="123">
        <f t="shared" si="30"/>
        <v>2.5199468782259871E-3</v>
      </c>
    </row>
    <row r="258" spans="1:7" x14ac:dyDescent="0.2">
      <c r="A258" s="118">
        <f t="shared" si="29"/>
        <v>37680</v>
      </c>
      <c r="B258" s="126">
        <v>37681</v>
      </c>
      <c r="C258" s="126">
        <v>221.2227</v>
      </c>
      <c r="D258" s="126">
        <v>117.327</v>
      </c>
      <c r="E258" s="126">
        <v>127.95054826153219</v>
      </c>
      <c r="F258" s="122">
        <f t="shared" si="31"/>
        <v>-9.0395702934097377E-3</v>
      </c>
      <c r="G258" s="123">
        <f t="shared" si="30"/>
        <v>-1.0713894526053314E-2</v>
      </c>
    </row>
    <row r="259" spans="1:7" x14ac:dyDescent="0.2">
      <c r="A259" s="118">
        <f t="shared" si="29"/>
        <v>37652</v>
      </c>
      <c r="B259" s="126">
        <v>37653</v>
      </c>
      <c r="C259" s="126">
        <v>223.2407</v>
      </c>
      <c r="D259" s="126">
        <v>116.98699999999999</v>
      </c>
      <c r="E259" s="126">
        <v>127.79568572124793</v>
      </c>
      <c r="F259" s="122">
        <f t="shared" si="31"/>
        <v>1.4868845751693449E-2</v>
      </c>
      <c r="G259" s="123">
        <f t="shared" si="30"/>
        <v>3.519076232444629E-3</v>
      </c>
    </row>
    <row r="260" spans="1:7" x14ac:dyDescent="0.2">
      <c r="A260" s="118">
        <f t="shared" si="29"/>
        <v>37621</v>
      </c>
      <c r="B260" s="126">
        <v>37622</v>
      </c>
      <c r="C260" s="126">
        <v>219.97</v>
      </c>
      <c r="D260" s="126">
        <v>115.5</v>
      </c>
      <c r="E260" s="126">
        <v>127.59829198668338</v>
      </c>
      <c r="F260" s="122">
        <f t="shared" si="31"/>
        <v>3.5006822566225893E-2</v>
      </c>
      <c r="G260" s="123">
        <f t="shared" si="30"/>
        <v>1.5512233651461704E-2</v>
      </c>
    </row>
    <row r="261" spans="1:7" x14ac:dyDescent="0.2">
      <c r="A261" s="118">
        <f t="shared" si="29"/>
        <v>37590</v>
      </c>
      <c r="B261" s="126">
        <v>37591</v>
      </c>
      <c r="C261" s="126">
        <v>212.53</v>
      </c>
      <c r="D261" s="126">
        <v>113.169</v>
      </c>
      <c r="E261" s="126">
        <v>127.42317086303252</v>
      </c>
      <c r="F261" s="122">
        <f t="shared" si="31"/>
        <v>1.2095814086384937E-2</v>
      </c>
      <c r="G261" s="123">
        <f t="shared" si="30"/>
        <v>4.5198544965474596E-4</v>
      </c>
    </row>
    <row r="262" spans="1:7" x14ac:dyDescent="0.2">
      <c r="A262" s="118">
        <f t="shared" si="29"/>
        <v>37560</v>
      </c>
      <c r="B262" s="126">
        <v>37561</v>
      </c>
      <c r="C262" s="126">
        <v>209.99</v>
      </c>
      <c r="D262" s="126">
        <v>111.714</v>
      </c>
      <c r="E262" s="126">
        <v>127.24886294272943</v>
      </c>
      <c r="F262" s="122">
        <f t="shared" si="31"/>
        <v>-2.1857923497267118E-3</v>
      </c>
      <c r="G262" s="123">
        <f t="shared" si="30"/>
        <v>1.3171095219954854E-3</v>
      </c>
    </row>
    <row r="263" spans="1:7" x14ac:dyDescent="0.2">
      <c r="A263" s="118">
        <f t="shared" si="29"/>
        <v>37529</v>
      </c>
      <c r="B263" s="126">
        <v>37530</v>
      </c>
      <c r="C263" s="126">
        <v>210.45</v>
      </c>
      <c r="D263" s="126">
        <v>111.89400000000001</v>
      </c>
      <c r="E263" s="126">
        <v>127.00802238309301</v>
      </c>
      <c r="F263" s="122">
        <f t="shared" si="31"/>
        <v>-4.7763170339545358E-3</v>
      </c>
      <c r="G263" s="123">
        <f t="shared" si="30"/>
        <v>3.2442541228798749E-3</v>
      </c>
    </row>
    <row r="264" spans="1:7" x14ac:dyDescent="0.2">
      <c r="A264" s="118">
        <f t="shared" ref="A264:A327" si="32">EOMONTH(A265,1)</f>
        <v>37499</v>
      </c>
      <c r="B264" s="126">
        <v>37500</v>
      </c>
      <c r="C264" s="126">
        <v>211.46</v>
      </c>
      <c r="D264" s="126">
        <v>112.619</v>
      </c>
      <c r="E264" s="126">
        <v>126.80898963355129</v>
      </c>
      <c r="F264" s="122">
        <f t="shared" si="31"/>
        <v>1.3219869574175647E-2</v>
      </c>
      <c r="G264" s="123">
        <f t="shared" ref="G264:G327" si="33">(1+F264)*(E264/E265)/(D264/D265)-1</f>
        <v>1.0760688582147404E-2</v>
      </c>
    </row>
    <row r="265" spans="1:7" x14ac:dyDescent="0.2">
      <c r="A265" s="118">
        <f t="shared" si="32"/>
        <v>37468</v>
      </c>
      <c r="B265" s="126">
        <v>37469</v>
      </c>
      <c r="C265" s="126">
        <v>208.70099999999999</v>
      </c>
      <c r="D265" s="126">
        <v>112.167</v>
      </c>
      <c r="E265" s="126">
        <v>126.60732567225914</v>
      </c>
      <c r="F265" s="122">
        <f t="shared" ref="F265:F314" si="34">C265/C266-1</f>
        <v>-1.6347314928542911E-2</v>
      </c>
      <c r="G265" s="123">
        <f t="shared" si="33"/>
        <v>-1.6363034947899924E-2</v>
      </c>
    </row>
    <row r="266" spans="1:7" x14ac:dyDescent="0.2">
      <c r="A266" s="118">
        <f t="shared" si="32"/>
        <v>37437</v>
      </c>
      <c r="B266" s="126">
        <v>37438</v>
      </c>
      <c r="C266" s="126">
        <v>212.1694</v>
      </c>
      <c r="D266" s="126">
        <v>111.93170000000001</v>
      </c>
      <c r="E266" s="126">
        <v>126.34375239699185</v>
      </c>
      <c r="F266" s="122">
        <f t="shared" si="34"/>
        <v>1.467861564867734E-2</v>
      </c>
      <c r="G266" s="123">
        <f t="shared" si="33"/>
        <v>-6.3281950082362259E-3</v>
      </c>
    </row>
    <row r="267" spans="1:7" x14ac:dyDescent="0.2">
      <c r="A267" s="118">
        <f t="shared" si="32"/>
        <v>37407</v>
      </c>
      <c r="B267" s="126">
        <v>37408</v>
      </c>
      <c r="C267" s="126">
        <v>209.1001</v>
      </c>
      <c r="D267" s="126">
        <v>109.4169</v>
      </c>
      <c r="E267" s="126">
        <v>126.11612499170735</v>
      </c>
      <c r="F267" s="122">
        <f t="shared" si="34"/>
        <v>4.9857408244213586E-2</v>
      </c>
      <c r="G267" s="123">
        <f t="shared" si="33"/>
        <v>2.7886479315473611E-2</v>
      </c>
    </row>
    <row r="268" spans="1:7" x14ac:dyDescent="0.2">
      <c r="A268" s="118">
        <f t="shared" si="32"/>
        <v>37376</v>
      </c>
      <c r="B268" s="126">
        <v>37377</v>
      </c>
      <c r="C268" s="126">
        <v>199.17</v>
      </c>
      <c r="D268" s="126">
        <v>106.8886</v>
      </c>
      <c r="E268" s="126">
        <v>125.83537990616587</v>
      </c>
      <c r="F268" s="122">
        <f t="shared" si="34"/>
        <v>4.1684100418410086E-2</v>
      </c>
      <c r="G268" s="123">
        <f t="shared" si="33"/>
        <v>2.5756802077619989E-2</v>
      </c>
    </row>
    <row r="269" spans="1:7" x14ac:dyDescent="0.2">
      <c r="A269" s="118">
        <f t="shared" si="32"/>
        <v>37346</v>
      </c>
      <c r="B269" s="126">
        <v>37347</v>
      </c>
      <c r="C269" s="126">
        <v>191.2</v>
      </c>
      <c r="D269" s="126">
        <v>105.071</v>
      </c>
      <c r="E269" s="126">
        <v>125.61626357118236</v>
      </c>
      <c r="F269" s="122">
        <f t="shared" si="34"/>
        <v>2.1749585849409447E-2</v>
      </c>
      <c r="G269" s="123">
        <f t="shared" si="33"/>
        <v>1.2536113281071293E-2</v>
      </c>
    </row>
    <row r="270" spans="1:7" x14ac:dyDescent="0.2">
      <c r="A270" s="118">
        <f t="shared" si="32"/>
        <v>37315</v>
      </c>
      <c r="B270" s="126">
        <v>37316</v>
      </c>
      <c r="C270" s="126">
        <v>187.13</v>
      </c>
      <c r="D270" s="126">
        <v>104.00229999999999</v>
      </c>
      <c r="E270" s="126">
        <v>125.47</v>
      </c>
      <c r="F270" s="122">
        <f t="shared" si="34"/>
        <v>2.6490847264985851E-2</v>
      </c>
      <c r="G270" s="123">
        <f t="shared" si="33"/>
        <v>2.3878883223394043E-2</v>
      </c>
    </row>
    <row r="271" spans="1:7" x14ac:dyDescent="0.2">
      <c r="A271" s="118">
        <f t="shared" si="32"/>
        <v>37287</v>
      </c>
      <c r="B271" s="126">
        <v>37288</v>
      </c>
      <c r="C271" s="126">
        <v>182.30070000000001</v>
      </c>
      <c r="D271" s="126">
        <v>103.67325636142442</v>
      </c>
      <c r="E271" s="126">
        <v>125.39210391567099</v>
      </c>
      <c r="F271" s="122">
        <f t="shared" si="34"/>
        <v>6.3521943141042758E-3</v>
      </c>
      <c r="G271" s="123">
        <f t="shared" si="33"/>
        <v>2.3751243353690166E-2</v>
      </c>
    </row>
    <row r="272" spans="1:7" x14ac:dyDescent="0.2">
      <c r="A272" s="118">
        <f t="shared" si="32"/>
        <v>37256</v>
      </c>
      <c r="B272" s="126">
        <v>37257</v>
      </c>
      <c r="C272" s="126">
        <v>181.15</v>
      </c>
      <c r="D272" s="126">
        <v>105.28976890163328</v>
      </c>
      <c r="E272" s="126">
        <v>125.18294881492251</v>
      </c>
      <c r="F272" s="122">
        <f t="shared" si="34"/>
        <v>1.524407330605837E-2</v>
      </c>
      <c r="G272" s="123">
        <f t="shared" si="33"/>
        <v>2.7653384426042704E-2</v>
      </c>
    </row>
    <row r="273" spans="1:7" x14ac:dyDescent="0.2">
      <c r="A273" s="118">
        <f t="shared" si="32"/>
        <v>37225</v>
      </c>
      <c r="B273" s="126">
        <v>37226</v>
      </c>
      <c r="C273" s="126">
        <v>178.43</v>
      </c>
      <c r="D273" s="126">
        <v>106.39405280166815</v>
      </c>
      <c r="E273" s="126">
        <v>124.96838681714769</v>
      </c>
      <c r="F273" s="122">
        <f t="shared" si="34"/>
        <v>-1.4525571633712597E-2</v>
      </c>
      <c r="G273" s="123">
        <f t="shared" si="33"/>
        <v>-8.5671206261247468E-3</v>
      </c>
    </row>
    <row r="274" spans="1:7" x14ac:dyDescent="0.2">
      <c r="A274" s="118">
        <f t="shared" si="32"/>
        <v>37195</v>
      </c>
      <c r="B274" s="126">
        <v>37196</v>
      </c>
      <c r="C274" s="126">
        <v>181.06</v>
      </c>
      <c r="D274" s="126">
        <v>106.83167141072603</v>
      </c>
      <c r="E274" s="126">
        <v>124.72826354569042</v>
      </c>
      <c r="F274" s="122">
        <f t="shared" si="34"/>
        <v>5.0513461004717541E-3</v>
      </c>
      <c r="G274" s="123">
        <f t="shared" si="33"/>
        <v>2.0552290110821936E-2</v>
      </c>
    </row>
    <row r="275" spans="1:7" x14ac:dyDescent="0.2">
      <c r="A275" s="118">
        <f t="shared" si="32"/>
        <v>37164</v>
      </c>
      <c r="B275" s="126">
        <v>37165</v>
      </c>
      <c r="C275" s="126">
        <v>180.15</v>
      </c>
      <c r="D275" s="126">
        <v>108.3186774223076</v>
      </c>
      <c r="E275" s="126">
        <v>124.54353535664539</v>
      </c>
      <c r="F275" s="122">
        <f t="shared" si="34"/>
        <v>-1.9673997390150633E-2</v>
      </c>
      <c r="G275" s="123">
        <f t="shared" si="33"/>
        <v>-2.4772809195032774E-2</v>
      </c>
    </row>
    <row r="276" spans="1:7" x14ac:dyDescent="0.2">
      <c r="A276" s="118">
        <f t="shared" si="32"/>
        <v>37134</v>
      </c>
      <c r="B276" s="126">
        <v>37135</v>
      </c>
      <c r="C276" s="126">
        <v>183.7654</v>
      </c>
      <c r="D276" s="126">
        <v>107.53317221793883</v>
      </c>
      <c r="E276" s="126">
        <v>124.28680369644465</v>
      </c>
      <c r="F276" s="122">
        <f t="shared" si="34"/>
        <v>5.0787524266154405E-2</v>
      </c>
      <c r="G276" s="123">
        <f t="shared" si="33"/>
        <v>2.9276302431052059E-2</v>
      </c>
    </row>
    <row r="277" spans="1:7" x14ac:dyDescent="0.2">
      <c r="A277" s="118">
        <f t="shared" si="32"/>
        <v>37103</v>
      </c>
      <c r="B277" s="126">
        <v>37104</v>
      </c>
      <c r="C277" s="126">
        <v>174.8835</v>
      </c>
      <c r="D277" s="126">
        <v>105.03742317349212</v>
      </c>
      <c r="E277" s="126">
        <v>123.93944714869551</v>
      </c>
      <c r="F277" s="122">
        <f t="shared" si="34"/>
        <v>2.6838899082568757E-2</v>
      </c>
      <c r="G277" s="123">
        <f t="shared" si="33"/>
        <v>1.2769598667345061E-2</v>
      </c>
    </row>
    <row r="278" spans="1:7" x14ac:dyDescent="0.2">
      <c r="A278" s="118">
        <f t="shared" si="32"/>
        <v>37072</v>
      </c>
      <c r="B278" s="126">
        <v>37073</v>
      </c>
      <c r="C278" s="126">
        <v>170.3125</v>
      </c>
      <c r="D278" s="126">
        <v>103.35493207084238</v>
      </c>
      <c r="E278" s="126">
        <v>123.64835921816619</v>
      </c>
      <c r="F278" s="122">
        <f t="shared" si="34"/>
        <v>6.8487886777728324E-3</v>
      </c>
      <c r="G278" s="123">
        <f t="shared" si="33"/>
        <v>1.9192147776283752E-2</v>
      </c>
    </row>
    <row r="279" spans="1:7" x14ac:dyDescent="0.2">
      <c r="A279" s="118">
        <f t="shared" si="32"/>
        <v>37042</v>
      </c>
      <c r="B279" s="126">
        <v>37043</v>
      </c>
      <c r="C279" s="126">
        <v>169.154</v>
      </c>
      <c r="D279" s="126">
        <v>104.36773118876179</v>
      </c>
      <c r="E279" s="126">
        <v>123.34784811934838</v>
      </c>
      <c r="F279" s="122">
        <f t="shared" si="34"/>
        <v>3.6073238166436372E-3</v>
      </c>
      <c r="G279" s="123">
        <f t="shared" si="33"/>
        <v>1.7773077916678703E-2</v>
      </c>
    </row>
    <row r="280" spans="1:7" x14ac:dyDescent="0.2">
      <c r="A280" s="118">
        <f t="shared" si="32"/>
        <v>37011</v>
      </c>
      <c r="B280" s="126">
        <v>37012</v>
      </c>
      <c r="C280" s="126">
        <v>168.54599999999999</v>
      </c>
      <c r="D280" s="126">
        <v>105.51315103418362</v>
      </c>
      <c r="E280" s="126">
        <v>122.96592777222826</v>
      </c>
      <c r="F280" s="122">
        <f t="shared" si="34"/>
        <v>1.9532171525009412E-2</v>
      </c>
      <c r="G280" s="123">
        <f t="shared" si="33"/>
        <v>1.0153459088661165E-2</v>
      </c>
    </row>
    <row r="281" spans="1:7" x14ac:dyDescent="0.2">
      <c r="A281" s="118">
        <f t="shared" si="32"/>
        <v>36981</v>
      </c>
      <c r="B281" s="126">
        <v>36982</v>
      </c>
      <c r="C281" s="126">
        <v>165.31700000000001</v>
      </c>
      <c r="D281" s="126">
        <v>104.26051551358</v>
      </c>
      <c r="E281" s="126">
        <v>122.63421207940098</v>
      </c>
      <c r="F281" s="122">
        <f t="shared" si="34"/>
        <v>-2.9254428974920588E-2</v>
      </c>
      <c r="G281" s="123">
        <f t="shared" si="33"/>
        <v>4.8223879603037645E-4</v>
      </c>
    </row>
    <row r="282" spans="1:7" x14ac:dyDescent="0.2">
      <c r="A282" s="118">
        <f t="shared" si="32"/>
        <v>36950</v>
      </c>
      <c r="B282" s="126">
        <v>36951</v>
      </c>
      <c r="C282" s="126">
        <v>170.29900000000001</v>
      </c>
      <c r="D282" s="126">
        <v>107.1702279412102</v>
      </c>
      <c r="E282" s="126">
        <v>122.31</v>
      </c>
      <c r="F282" s="122">
        <f t="shared" si="34"/>
        <v>4.3268641721189161E-2</v>
      </c>
      <c r="G282" s="123">
        <f t="shared" si="33"/>
        <v>5.2440314003177058E-2</v>
      </c>
    </row>
    <row r="283" spans="1:7" x14ac:dyDescent="0.2">
      <c r="A283" s="118">
        <f t="shared" si="32"/>
        <v>36922</v>
      </c>
      <c r="B283" s="126">
        <v>36923</v>
      </c>
      <c r="C283" s="126">
        <v>163.23599999999999</v>
      </c>
      <c r="D283" s="126">
        <v>107.69508420171383</v>
      </c>
      <c r="E283" s="126">
        <v>121.837890236882</v>
      </c>
      <c r="F283" s="122">
        <f t="shared" si="34"/>
        <v>2.7610953729933829E-2</v>
      </c>
      <c r="G283" s="123">
        <f t="shared" si="33"/>
        <v>2.1673753724206657E-2</v>
      </c>
    </row>
    <row r="284" spans="1:7" x14ac:dyDescent="0.2">
      <c r="A284" s="118">
        <f t="shared" si="32"/>
        <v>36891</v>
      </c>
      <c r="B284" s="126">
        <v>36892</v>
      </c>
      <c r="C284" s="126">
        <v>158.85</v>
      </c>
      <c r="D284" s="126">
        <v>106.77276241763367</v>
      </c>
      <c r="E284" s="126">
        <v>121.49641323293886</v>
      </c>
      <c r="F284" s="122">
        <f t="shared" si="34"/>
        <v>5.6323979252560274E-2</v>
      </c>
      <c r="G284" s="123">
        <f t="shared" si="33"/>
        <v>4.2976756303774177E-2</v>
      </c>
    </row>
    <row r="285" spans="1:7" x14ac:dyDescent="0.2">
      <c r="A285" s="118">
        <f t="shared" si="32"/>
        <v>36860</v>
      </c>
      <c r="B285" s="126">
        <v>36861</v>
      </c>
      <c r="C285" s="126">
        <v>150.38</v>
      </c>
      <c r="D285" s="126">
        <v>105.07453373441574</v>
      </c>
      <c r="E285" s="126">
        <v>121.09409294144066</v>
      </c>
      <c r="F285" s="122">
        <f t="shared" si="34"/>
        <v>8.02384886143237E-2</v>
      </c>
      <c r="G285" s="123">
        <f t="shared" si="33"/>
        <v>6.7100687331147935E-2</v>
      </c>
    </row>
    <row r="286" spans="1:7" x14ac:dyDescent="0.2">
      <c r="A286" s="118">
        <f t="shared" si="32"/>
        <v>36830</v>
      </c>
      <c r="B286" s="126">
        <v>36831</v>
      </c>
      <c r="C286" s="126">
        <v>139.21</v>
      </c>
      <c r="D286" s="126">
        <v>103.35156553541003</v>
      </c>
      <c r="E286" s="126">
        <v>120.57486765036323</v>
      </c>
      <c r="F286" s="122">
        <f t="shared" si="34"/>
        <v>-8.4757834757834827E-3</v>
      </c>
      <c r="G286" s="123">
        <f t="shared" si="33"/>
        <v>1.5404851443729273E-2</v>
      </c>
    </row>
    <row r="287" spans="1:7" x14ac:dyDescent="0.2">
      <c r="A287" s="118">
        <f t="shared" si="32"/>
        <v>36799</v>
      </c>
      <c r="B287" s="126">
        <v>36800</v>
      </c>
      <c r="C287" s="126">
        <v>140.4</v>
      </c>
      <c r="D287" s="126">
        <v>105.47182975934268</v>
      </c>
      <c r="E287" s="126">
        <v>120.15457352368784</v>
      </c>
      <c r="F287" s="122">
        <f t="shared" si="34"/>
        <v>3.7080809573053708E-2</v>
      </c>
      <c r="G287" s="123">
        <f t="shared" si="33"/>
        <v>4.1542329954572743E-2</v>
      </c>
    </row>
    <row r="288" spans="1:7" x14ac:dyDescent="0.2">
      <c r="A288" s="118">
        <f t="shared" si="32"/>
        <v>36769</v>
      </c>
      <c r="B288" s="126">
        <v>36770</v>
      </c>
      <c r="C288" s="126">
        <v>135.38</v>
      </c>
      <c r="D288" s="126">
        <v>105.55655498843531</v>
      </c>
      <c r="E288" s="126">
        <v>119.735989279968</v>
      </c>
      <c r="F288" s="122">
        <f t="shared" si="34"/>
        <v>-3.9585698070374709E-2</v>
      </c>
      <c r="G288" s="123">
        <f t="shared" si="33"/>
        <v>-2.7025213872993947E-2</v>
      </c>
    </row>
    <row r="289" spans="1:7" x14ac:dyDescent="0.2">
      <c r="A289" s="118">
        <f t="shared" si="32"/>
        <v>36738</v>
      </c>
      <c r="B289" s="126">
        <v>36739</v>
      </c>
      <c r="C289" s="126">
        <v>140.96</v>
      </c>
      <c r="D289" s="126">
        <v>106.47259526804713</v>
      </c>
      <c r="E289" s="126">
        <v>119.21595213868885</v>
      </c>
      <c r="F289" s="122">
        <f t="shared" si="34"/>
        <v>-8.3016744055155467E-3</v>
      </c>
      <c r="G289" s="123">
        <f t="shared" si="33"/>
        <v>6.2460657869165548E-3</v>
      </c>
    </row>
    <row r="290" spans="1:7" x14ac:dyDescent="0.2">
      <c r="A290" s="118">
        <f t="shared" si="32"/>
        <v>36707</v>
      </c>
      <c r="B290" s="126">
        <v>36708</v>
      </c>
      <c r="C290" s="126">
        <v>142.13999999999999</v>
      </c>
      <c r="D290" s="126">
        <v>107.66180844586668</v>
      </c>
      <c r="E290" s="126">
        <v>118.80469036072154</v>
      </c>
      <c r="F290" s="122">
        <f t="shared" si="34"/>
        <v>5.3747497961301738E-2</v>
      </c>
      <c r="G290" s="123">
        <f t="shared" si="33"/>
        <v>4.2583017561469205E-2</v>
      </c>
    </row>
    <row r="291" spans="1:7" x14ac:dyDescent="0.2">
      <c r="A291" s="118">
        <f t="shared" si="32"/>
        <v>36677</v>
      </c>
      <c r="B291" s="126">
        <v>36678</v>
      </c>
      <c r="C291" s="126">
        <v>134.88999999999999</v>
      </c>
      <c r="D291" s="126">
        <v>106.1577646283415</v>
      </c>
      <c r="E291" s="126">
        <v>118.39942440285836</v>
      </c>
      <c r="F291" s="122">
        <f t="shared" si="34"/>
        <v>5.2348260259010626E-2</v>
      </c>
      <c r="G291" s="123">
        <f t="shared" si="33"/>
        <v>4.3278874520676691E-2</v>
      </c>
    </row>
    <row r="292" spans="1:7" x14ac:dyDescent="0.2">
      <c r="A292" s="118">
        <f t="shared" si="32"/>
        <v>36646</v>
      </c>
      <c r="B292" s="126">
        <v>36647</v>
      </c>
      <c r="C292" s="126">
        <v>128.18</v>
      </c>
      <c r="D292" s="126">
        <v>104.81710600492167</v>
      </c>
      <c r="E292" s="126">
        <v>117.92043288447749</v>
      </c>
      <c r="F292" s="122">
        <f t="shared" si="34"/>
        <v>5.6541191753406661E-2</v>
      </c>
      <c r="G292" s="123">
        <f t="shared" si="33"/>
        <v>7.667560743968127E-2</v>
      </c>
    </row>
    <row r="293" spans="1:7" x14ac:dyDescent="0.2">
      <c r="A293" s="118">
        <f t="shared" si="32"/>
        <v>36616</v>
      </c>
      <c r="B293" s="126">
        <v>36617</v>
      </c>
      <c r="C293" s="126">
        <v>121.32040000000001</v>
      </c>
      <c r="D293" s="126">
        <v>106.48019105012824</v>
      </c>
      <c r="E293" s="126">
        <v>117.55125808616047</v>
      </c>
      <c r="F293" s="122">
        <f t="shared" si="34"/>
        <v>1.8679672519410495E-3</v>
      </c>
      <c r="G293" s="123">
        <f t="shared" si="33"/>
        <v>2.7979082357802998E-3</v>
      </c>
    </row>
    <row r="294" spans="1:7" x14ac:dyDescent="0.2">
      <c r="A294" s="118">
        <f t="shared" si="32"/>
        <v>36585</v>
      </c>
      <c r="B294" s="126">
        <v>36586</v>
      </c>
      <c r="C294" s="126">
        <v>121.0942</v>
      </c>
      <c r="D294" s="126">
        <v>106.17257085722629</v>
      </c>
      <c r="E294" s="126">
        <v>117.10295789310329</v>
      </c>
      <c r="F294" s="122">
        <f t="shared" si="34"/>
        <v>-5.3552279868069319E-2</v>
      </c>
      <c r="G294" s="123">
        <f t="shared" si="33"/>
        <v>-4.293631630180228E-2</v>
      </c>
    </row>
    <row r="295" spans="1:7" x14ac:dyDescent="0.2">
      <c r="A295" s="118">
        <f t="shared" si="32"/>
        <v>36556</v>
      </c>
      <c r="B295" s="126">
        <v>36557</v>
      </c>
      <c r="C295" s="126">
        <v>127.946</v>
      </c>
      <c r="D295" s="126">
        <v>107.04501735481016</v>
      </c>
      <c r="E295" s="126">
        <v>116.75561636461504</v>
      </c>
      <c r="F295" s="122">
        <f t="shared" si="34"/>
        <v>3.0756080603697944E-2</v>
      </c>
      <c r="G295" s="123">
        <f t="shared" si="33"/>
        <v>4.2043711751453161E-2</v>
      </c>
    </row>
    <row r="296" spans="1:7" x14ac:dyDescent="0.2">
      <c r="A296" s="118">
        <f t="shared" si="32"/>
        <v>36525</v>
      </c>
      <c r="B296" s="126">
        <v>36526</v>
      </c>
      <c r="C296" s="126">
        <v>124.1283</v>
      </c>
      <c r="D296" s="126">
        <v>107.904165536718</v>
      </c>
      <c r="E296" s="126">
        <v>116.41783077348431</v>
      </c>
      <c r="F296" s="122">
        <f t="shared" si="34"/>
        <v>-4.3951270346063165E-2</v>
      </c>
      <c r="G296" s="123">
        <f t="shared" si="33"/>
        <v>-4.3003542688792695E-2</v>
      </c>
    </row>
    <row r="297" spans="1:7" x14ac:dyDescent="0.2">
      <c r="A297" s="118">
        <f t="shared" si="32"/>
        <v>36494</v>
      </c>
      <c r="B297" s="126">
        <v>36495</v>
      </c>
      <c r="C297" s="126">
        <v>129.8347</v>
      </c>
      <c r="D297" s="126">
        <v>107.62441393378326</v>
      </c>
      <c r="E297" s="126">
        <v>116.00101531211035</v>
      </c>
      <c r="F297" s="122">
        <f t="shared" si="34"/>
        <v>-5.2139562523817906E-2</v>
      </c>
      <c r="G297" s="123">
        <f t="shared" si="33"/>
        <v>-4.293674119607227E-2</v>
      </c>
    </row>
    <row r="298" spans="1:7" x14ac:dyDescent="0.2">
      <c r="A298" s="118">
        <f t="shared" si="32"/>
        <v>36464</v>
      </c>
      <c r="B298" s="126">
        <v>36465</v>
      </c>
      <c r="C298" s="126">
        <v>136.97659999999999</v>
      </c>
      <c r="D298" s="126">
        <v>108.36157000300048</v>
      </c>
      <c r="E298" s="126">
        <v>115.67247608042632</v>
      </c>
      <c r="F298" s="122">
        <f t="shared" si="34"/>
        <v>-3.5715593101020904E-2</v>
      </c>
      <c r="G298" s="123">
        <f t="shared" si="33"/>
        <v>-3.5344332477761697E-2</v>
      </c>
    </row>
    <row r="299" spans="1:7" x14ac:dyDescent="0.2">
      <c r="A299" s="118">
        <f t="shared" si="32"/>
        <v>36433</v>
      </c>
      <c r="B299" s="126">
        <v>36434</v>
      </c>
      <c r="C299" s="126">
        <v>142.05000000000001</v>
      </c>
      <c r="D299" s="126">
        <v>108.09392782520173</v>
      </c>
      <c r="E299" s="126">
        <v>115.34236855722435</v>
      </c>
      <c r="F299" s="122">
        <f t="shared" si="34"/>
        <v>3.1987620507530234E-2</v>
      </c>
      <c r="G299" s="123">
        <f t="shared" si="33"/>
        <v>1.1847852777172596E-2</v>
      </c>
    </row>
    <row r="300" spans="1:7" x14ac:dyDescent="0.2">
      <c r="A300" s="118">
        <f t="shared" si="32"/>
        <v>36403</v>
      </c>
      <c r="B300" s="126">
        <v>36404</v>
      </c>
      <c r="C300" s="126">
        <v>137.64699999999999</v>
      </c>
      <c r="D300" s="126">
        <v>105.62735166484126</v>
      </c>
      <c r="E300" s="126">
        <v>114.95377336189077</v>
      </c>
      <c r="F300" s="122">
        <f t="shared" si="34"/>
        <v>-1.3028451786841089E-2</v>
      </c>
      <c r="G300" s="123">
        <f t="shared" si="33"/>
        <v>-1.143981178609832E-2</v>
      </c>
    </row>
    <row r="301" spans="1:7" x14ac:dyDescent="0.2">
      <c r="A301" s="118">
        <f t="shared" si="32"/>
        <v>36372</v>
      </c>
      <c r="B301" s="126">
        <v>36373</v>
      </c>
      <c r="C301" s="126">
        <v>139.464</v>
      </c>
      <c r="D301" s="126">
        <v>105.51692190386265</v>
      </c>
      <c r="E301" s="126">
        <v>114.64905280166569</v>
      </c>
      <c r="F301" s="122">
        <f t="shared" si="34"/>
        <v>4.3033430558671704E-2</v>
      </c>
      <c r="G301" s="123">
        <f t="shared" si="33"/>
        <v>1.4523592263145924E-2</v>
      </c>
    </row>
    <row r="302" spans="1:7" x14ac:dyDescent="0.2">
      <c r="A302" s="118">
        <f t="shared" si="32"/>
        <v>36341</v>
      </c>
      <c r="B302" s="126">
        <v>36342</v>
      </c>
      <c r="C302" s="126">
        <v>133.71</v>
      </c>
      <c r="D302" s="126">
        <v>102.42853729677081</v>
      </c>
      <c r="E302" s="126">
        <v>114.42091222695747</v>
      </c>
      <c r="F302" s="122">
        <f t="shared" si="34"/>
        <v>4.4283036551078014E-2</v>
      </c>
      <c r="G302" s="123">
        <f t="shared" si="33"/>
        <v>4.9565223410199977E-2</v>
      </c>
    </row>
    <row r="303" spans="1:7" x14ac:dyDescent="0.2">
      <c r="A303" s="118">
        <f t="shared" si="32"/>
        <v>36311</v>
      </c>
      <c r="B303" s="126">
        <v>36312</v>
      </c>
      <c r="C303" s="126">
        <v>128.04</v>
      </c>
      <c r="D303" s="126">
        <v>102.55640493031252</v>
      </c>
      <c r="E303" s="126">
        <v>113.98718130557772</v>
      </c>
      <c r="F303" s="122">
        <f t="shared" si="34"/>
        <v>3.1831735031025765E-2</v>
      </c>
      <c r="G303" s="123">
        <f t="shared" si="33"/>
        <v>4.2410766216735007E-2</v>
      </c>
    </row>
    <row r="304" spans="1:7" x14ac:dyDescent="0.2">
      <c r="A304" s="118">
        <f t="shared" si="32"/>
        <v>36280</v>
      </c>
      <c r="B304" s="126">
        <v>36281</v>
      </c>
      <c r="C304" s="126">
        <v>124.09</v>
      </c>
      <c r="D304" s="126">
        <v>103.3459024182732</v>
      </c>
      <c r="E304" s="126">
        <v>113.69895696239433</v>
      </c>
      <c r="F304" s="122">
        <f t="shared" si="34"/>
        <v>3.4686900692070255E-2</v>
      </c>
      <c r="G304" s="123">
        <f t="shared" si="33"/>
        <v>4.5897465955911265E-2</v>
      </c>
    </row>
    <row r="305" spans="1:7" x14ac:dyDescent="0.2">
      <c r="A305" s="118">
        <f t="shared" si="32"/>
        <v>36250</v>
      </c>
      <c r="B305" s="126">
        <v>36251</v>
      </c>
      <c r="C305" s="126">
        <v>119.93</v>
      </c>
      <c r="D305" s="126">
        <v>104.20531500697095</v>
      </c>
      <c r="E305" s="126">
        <v>113.41563524929059</v>
      </c>
      <c r="F305" s="122">
        <f t="shared" si="34"/>
        <v>2.6182938307521164E-2</v>
      </c>
      <c r="G305" s="123">
        <f t="shared" si="33"/>
        <v>2.7763714083000934E-2</v>
      </c>
    </row>
    <row r="306" spans="1:7" x14ac:dyDescent="0.2">
      <c r="A306" s="118">
        <f t="shared" si="32"/>
        <v>36219</v>
      </c>
      <c r="B306" s="126">
        <v>36220</v>
      </c>
      <c r="C306" s="126">
        <v>116.87</v>
      </c>
      <c r="D306" s="126">
        <v>104.08722388981965</v>
      </c>
      <c r="E306" s="126">
        <v>113.1128626404893</v>
      </c>
      <c r="F306" s="122">
        <f t="shared" si="34"/>
        <v>-6.6298342541436517E-3</v>
      </c>
      <c r="G306" s="123">
        <f t="shared" si="33"/>
        <v>1.267616366568558E-2</v>
      </c>
    </row>
    <row r="307" spans="1:7" x14ac:dyDescent="0.2">
      <c r="A307" s="118">
        <f t="shared" si="32"/>
        <v>36191</v>
      </c>
      <c r="B307" s="126">
        <v>36192</v>
      </c>
      <c r="C307" s="126">
        <v>117.65</v>
      </c>
      <c r="D307" s="126">
        <v>105.85180195847892</v>
      </c>
      <c r="E307" s="126">
        <v>112.83747217601869</v>
      </c>
      <c r="F307" s="122">
        <f t="shared" si="34"/>
        <v>1.1173184357541999E-2</v>
      </c>
      <c r="G307" s="123">
        <f t="shared" si="33"/>
        <v>2.8274273268668715E-2</v>
      </c>
    </row>
    <row r="308" spans="1:7" x14ac:dyDescent="0.2">
      <c r="A308" s="118">
        <f t="shared" si="32"/>
        <v>36160</v>
      </c>
      <c r="B308" s="126">
        <v>36161</v>
      </c>
      <c r="C308" s="126">
        <v>116.35</v>
      </c>
      <c r="D308" s="126">
        <v>107.41470146812941</v>
      </c>
      <c r="E308" s="126">
        <v>112.59922264288579</v>
      </c>
      <c r="F308" s="122">
        <f t="shared" si="34"/>
        <v>1.502250758976853E-2</v>
      </c>
      <c r="G308" s="123">
        <f t="shared" si="33"/>
        <v>1.3170238376845056E-3</v>
      </c>
    </row>
    <row r="309" spans="1:7" x14ac:dyDescent="0.2">
      <c r="A309" s="118">
        <f t="shared" si="32"/>
        <v>36129</v>
      </c>
      <c r="B309" s="126">
        <v>36130</v>
      </c>
      <c r="C309" s="126">
        <v>114.628</v>
      </c>
      <c r="D309" s="126">
        <v>105.69557134311923</v>
      </c>
      <c r="E309" s="126">
        <v>112.31364706190641</v>
      </c>
      <c r="F309" s="122">
        <f t="shared" si="34"/>
        <v>5.7551434634191434E-2</v>
      </c>
      <c r="G309" s="123">
        <f t="shared" si="33"/>
        <v>6.8304784000367436E-2</v>
      </c>
    </row>
    <row r="310" spans="1:7" x14ac:dyDescent="0.2">
      <c r="A310" s="118">
        <f t="shared" si="32"/>
        <v>36099</v>
      </c>
      <c r="B310" s="126">
        <v>36100</v>
      </c>
      <c r="C310" s="126">
        <v>108.39</v>
      </c>
      <c r="D310" s="126">
        <v>106.36947021613817</v>
      </c>
      <c r="E310" s="126">
        <v>111.89200625528488</v>
      </c>
      <c r="F310" s="122">
        <f t="shared" si="34"/>
        <v>5.4685219422010434E-2</v>
      </c>
      <c r="G310" s="123">
        <f t="shared" si="33"/>
        <v>6.3224310381801985E-3</v>
      </c>
    </row>
    <row r="311" spans="1:7" x14ac:dyDescent="0.2">
      <c r="A311" s="118">
        <f t="shared" si="32"/>
        <v>36068</v>
      </c>
      <c r="B311" s="126">
        <v>36069</v>
      </c>
      <c r="C311" s="126">
        <v>102.77</v>
      </c>
      <c r="D311" s="126">
        <v>101.27</v>
      </c>
      <c r="E311" s="126">
        <v>111.64739160961092</v>
      </c>
      <c r="F311" s="122">
        <f t="shared" si="34"/>
        <v>4.899459018066743E-2</v>
      </c>
      <c r="G311" s="123">
        <f t="shared" si="33"/>
        <v>1.2497210547632864E-2</v>
      </c>
    </row>
    <row r="312" spans="1:7" x14ac:dyDescent="0.2">
      <c r="A312" s="118">
        <f t="shared" si="32"/>
        <v>36038</v>
      </c>
      <c r="B312" s="126">
        <v>36039</v>
      </c>
      <c r="C312" s="126">
        <v>97.97</v>
      </c>
      <c r="D312" s="126">
        <v>97.371649257863879</v>
      </c>
      <c r="E312" s="126">
        <v>111.21918552777382</v>
      </c>
      <c r="F312" s="122">
        <f t="shared" si="34"/>
        <v>-3.4492953582339614E-2</v>
      </c>
      <c r="G312" s="123">
        <f t="shared" si="33"/>
        <v>-2.9278181883023002E-2</v>
      </c>
    </row>
    <row r="313" spans="1:7" x14ac:dyDescent="0.2">
      <c r="A313" s="118">
        <f t="shared" si="32"/>
        <v>36007</v>
      </c>
      <c r="B313" s="126">
        <v>36008</v>
      </c>
      <c r="C313" s="126">
        <v>101.47</v>
      </c>
      <c r="D313" s="126">
        <v>97.574664115858823</v>
      </c>
      <c r="E313" s="126">
        <v>110.85235041535077</v>
      </c>
      <c r="F313" s="122">
        <f t="shared" si="34"/>
        <v>-9.9521904576055364E-3</v>
      </c>
      <c r="G313" s="123">
        <f t="shared" si="33"/>
        <v>-1.0555132662468214E-2</v>
      </c>
    </row>
    <row r="314" spans="1:7" x14ac:dyDescent="0.2">
      <c r="A314" s="118">
        <f t="shared" si="32"/>
        <v>35976</v>
      </c>
      <c r="B314" s="126">
        <v>35977</v>
      </c>
      <c r="C314" s="126">
        <v>102.49</v>
      </c>
      <c r="D314" s="126">
        <v>97.191333680755264</v>
      </c>
      <c r="E314" s="126">
        <v>110.48414263861139</v>
      </c>
      <c r="F314" s="122">
        <f t="shared" si="34"/>
        <v>-4.3311864090357477E-2</v>
      </c>
      <c r="G314" s="123">
        <f t="shared" si="33"/>
        <v>-3.6942015293535801E-2</v>
      </c>
    </row>
    <row r="315" spans="1:7" x14ac:dyDescent="0.2">
      <c r="A315" s="118">
        <f t="shared" si="32"/>
        <v>35946</v>
      </c>
      <c r="B315" s="126">
        <v>35947</v>
      </c>
      <c r="C315" s="126">
        <v>107.13</v>
      </c>
      <c r="D315" s="126">
        <v>97.522800372893698</v>
      </c>
      <c r="E315" s="126">
        <v>110.12768847918694</v>
      </c>
      <c r="F315" s="122">
        <f t="shared" ref="F315:F343" si="35">C315/C316-1</f>
        <v>-1.5891971339334954E-2</v>
      </c>
      <c r="G315" s="123">
        <f t="shared" si="33"/>
        <v>-6.6160631768098499E-3</v>
      </c>
    </row>
    <row r="316" spans="1:7" x14ac:dyDescent="0.2">
      <c r="A316" s="118">
        <f t="shared" si="32"/>
        <v>35915</v>
      </c>
      <c r="B316" s="126">
        <v>35916</v>
      </c>
      <c r="C316" s="126">
        <v>108.86</v>
      </c>
      <c r="D316" s="126">
        <v>98.187049695019866</v>
      </c>
      <c r="E316" s="126">
        <v>109.84245036773355</v>
      </c>
      <c r="F316" s="122">
        <f t="shared" si="35"/>
        <v>5.0569388149005912E-2</v>
      </c>
      <c r="G316" s="123">
        <f t="shared" si="33"/>
        <v>5.320243578262196E-2</v>
      </c>
    </row>
    <row r="317" spans="1:7" x14ac:dyDescent="0.2">
      <c r="A317" s="118">
        <f t="shared" si="32"/>
        <v>35885</v>
      </c>
      <c r="B317" s="126">
        <v>35886</v>
      </c>
      <c r="C317" s="126">
        <v>103.62</v>
      </c>
      <c r="D317" s="126">
        <v>98.039339899451221</v>
      </c>
      <c r="E317" s="126">
        <v>109.40300917742765</v>
      </c>
      <c r="F317" s="122">
        <f t="shared" si="35"/>
        <v>8.565310492505418E-3</v>
      </c>
      <c r="G317" s="123">
        <f t="shared" si="33"/>
        <v>1.0407344577338717E-2</v>
      </c>
    </row>
    <row r="318" spans="1:7" x14ac:dyDescent="0.2">
      <c r="A318" s="118">
        <f t="shared" si="32"/>
        <v>35854</v>
      </c>
      <c r="B318" s="126">
        <v>35855</v>
      </c>
      <c r="C318" s="126">
        <v>102.74</v>
      </c>
      <c r="D318" s="126">
        <v>97.888878860820213</v>
      </c>
      <c r="E318" s="126">
        <v>109.03596605743304</v>
      </c>
      <c r="F318" s="122">
        <f t="shared" si="35"/>
        <v>9.5312960597424556E-3</v>
      </c>
      <c r="G318" s="123">
        <f t="shared" si="33"/>
        <v>1.2450337944663881E-2</v>
      </c>
    </row>
    <row r="319" spans="1:7" x14ac:dyDescent="0.2">
      <c r="A319" s="118">
        <f t="shared" si="32"/>
        <v>35826</v>
      </c>
      <c r="B319" s="126">
        <v>35827</v>
      </c>
      <c r="C319" s="126">
        <v>101.77</v>
      </c>
      <c r="D319" s="126">
        <v>97.871759891349328</v>
      </c>
      <c r="E319" s="126">
        <v>108.70258606211259</v>
      </c>
      <c r="F319" s="122">
        <f t="shared" si="35"/>
        <v>3.2568993506493449E-2</v>
      </c>
      <c r="G319" s="123">
        <f t="shared" si="33"/>
        <v>2.6228355170091922E-2</v>
      </c>
    </row>
    <row r="320" spans="1:7" x14ac:dyDescent="0.2">
      <c r="A320" s="118">
        <f t="shared" si="32"/>
        <v>35795</v>
      </c>
      <c r="B320" s="126">
        <v>35796</v>
      </c>
      <c r="C320" s="126">
        <v>98.56</v>
      </c>
      <c r="D320" s="126">
        <v>97</v>
      </c>
      <c r="E320" s="126">
        <v>108.4</v>
      </c>
      <c r="F320" s="122">
        <f t="shared" si="35"/>
        <v>-3.4253810170514543E-2</v>
      </c>
      <c r="G320" s="123">
        <f t="shared" si="33"/>
        <v>-1.9315874369536523E-2</v>
      </c>
    </row>
    <row r="321" spans="1:7" x14ac:dyDescent="0.2">
      <c r="A321" s="118">
        <f t="shared" si="32"/>
        <v>35764</v>
      </c>
      <c r="B321" s="126">
        <v>35765</v>
      </c>
      <c r="C321" s="126">
        <v>102.0558</v>
      </c>
      <c r="D321" s="126">
        <v>98.092922366031232</v>
      </c>
      <c r="E321" s="126">
        <v>107.95159887260755</v>
      </c>
      <c r="F321" s="122">
        <f t="shared" si="35"/>
        <v>-5.275673428018246E-2</v>
      </c>
      <c r="G321" s="123">
        <f t="shared" si="33"/>
        <v>-3.3869178859716298E-2</v>
      </c>
    </row>
    <row r="322" spans="1:7" x14ac:dyDescent="0.2">
      <c r="A322" s="118">
        <f t="shared" si="32"/>
        <v>35734</v>
      </c>
      <c r="B322" s="126">
        <v>35735</v>
      </c>
      <c r="C322" s="126">
        <v>107.7398</v>
      </c>
      <c r="D322" s="126">
        <v>99.710735554751295</v>
      </c>
      <c r="E322" s="126">
        <v>107.58678142042517</v>
      </c>
      <c r="F322" s="122">
        <f t="shared" si="35"/>
        <v>1.6532122625665613E-2</v>
      </c>
      <c r="G322" s="123">
        <f t="shared" si="33"/>
        <v>4.233452874786936E-3</v>
      </c>
    </row>
    <row r="323" spans="1:7" x14ac:dyDescent="0.2">
      <c r="A323" s="118">
        <f t="shared" si="32"/>
        <v>35703</v>
      </c>
      <c r="B323" s="126">
        <v>35704</v>
      </c>
      <c r="C323" s="126">
        <v>105.9876</v>
      </c>
      <c r="D323" s="126">
        <v>98.164701637893515</v>
      </c>
      <c r="E323" s="126">
        <v>107.21579464558721</v>
      </c>
      <c r="F323" s="122">
        <f t="shared" si="35"/>
        <v>-3.2249051538767004E-2</v>
      </c>
      <c r="G323" s="123">
        <f t="shared" si="33"/>
        <v>-3.2342351359780475E-2</v>
      </c>
    </row>
    <row r="324" spans="1:7" x14ac:dyDescent="0.2">
      <c r="A324" s="118">
        <f t="shared" si="32"/>
        <v>35673</v>
      </c>
      <c r="B324" s="126">
        <v>35674</v>
      </c>
      <c r="C324" s="126">
        <v>109.51949999999999</v>
      </c>
      <c r="D324" s="126">
        <v>97.830269242257344</v>
      </c>
      <c r="E324" s="126">
        <v>106.86082887220772</v>
      </c>
      <c r="F324" s="122">
        <f t="shared" si="35"/>
        <v>2.4121002431269911E-2</v>
      </c>
      <c r="G324" s="123">
        <f t="shared" si="33"/>
        <v>1.7303696039737027E-2</v>
      </c>
    </row>
    <row r="325" spans="1:7" x14ac:dyDescent="0.2">
      <c r="A325" s="118">
        <f t="shared" si="32"/>
        <v>35642</v>
      </c>
      <c r="B325" s="126">
        <v>35643</v>
      </c>
      <c r="C325" s="126">
        <v>106.94</v>
      </c>
      <c r="D325" s="126">
        <v>96.921224758584529</v>
      </c>
      <c r="E325" s="126">
        <v>106.57732939269154</v>
      </c>
      <c r="F325" s="122">
        <f t="shared" si="35"/>
        <v>8.8127253414436169E-3</v>
      </c>
      <c r="G325" s="123">
        <f t="shared" si="33"/>
        <v>3.8814366794922783E-2</v>
      </c>
    </row>
    <row r="326" spans="1:7" x14ac:dyDescent="0.2">
      <c r="A326" s="118">
        <f t="shared" si="32"/>
        <v>35611</v>
      </c>
      <c r="B326" s="126">
        <v>35612</v>
      </c>
      <c r="C326" s="126">
        <v>106.00579999999999</v>
      </c>
      <c r="D326" s="126">
        <v>99.388273236626333</v>
      </c>
      <c r="E326" s="126">
        <v>106.13379411519001</v>
      </c>
      <c r="F326" s="122">
        <f t="shared" si="35"/>
        <v>1.10600098048379E-2</v>
      </c>
      <c r="G326" s="123">
        <f t="shared" si="33"/>
        <v>1.0335244054419546E-2</v>
      </c>
    </row>
    <row r="327" spans="1:7" x14ac:dyDescent="0.2">
      <c r="A327" s="118">
        <f t="shared" si="32"/>
        <v>35581</v>
      </c>
      <c r="B327" s="126">
        <v>35582</v>
      </c>
      <c r="C327" s="126">
        <v>104.8462</v>
      </c>
      <c r="D327" s="126">
        <v>98.989232047640954</v>
      </c>
      <c r="E327" s="126">
        <v>105.78349942646126</v>
      </c>
      <c r="F327" s="122">
        <f t="shared" si="35"/>
        <v>1.4051187019674227E-2</v>
      </c>
      <c r="G327" s="123">
        <f t="shared" si="33"/>
        <v>-1.4641105518501951E-2</v>
      </c>
    </row>
    <row r="328" spans="1:7" x14ac:dyDescent="0.2">
      <c r="A328" s="118">
        <f t="shared" ref="A328:A342" si="36">EOMONTH(A329,1)</f>
        <v>35550</v>
      </c>
      <c r="B328" s="126">
        <v>35551</v>
      </c>
      <c r="C328" s="126">
        <v>103.3934</v>
      </c>
      <c r="D328" s="126">
        <v>95.954839773024929</v>
      </c>
      <c r="E328" s="126">
        <v>105.52668511639204</v>
      </c>
      <c r="F328" s="122">
        <f t="shared" si="35"/>
        <v>5.8645463976580992E-4</v>
      </c>
      <c r="G328" s="123">
        <f t="shared" ref="G328:G343" si="37">(1+F328)*(E328/E329)/(D328/D329)-1</f>
        <v>1.5923994365186989E-2</v>
      </c>
    </row>
    <row r="329" spans="1:7" x14ac:dyDescent="0.2">
      <c r="A329" s="118">
        <f t="shared" si="36"/>
        <v>35520</v>
      </c>
      <c r="B329" s="126">
        <v>35521</v>
      </c>
      <c r="C329" s="126">
        <v>103.33280000000001</v>
      </c>
      <c r="D329" s="126">
        <v>97.039122052767752</v>
      </c>
      <c r="E329" s="126">
        <v>105.10797562583514</v>
      </c>
      <c r="F329" s="122">
        <f t="shared" si="35"/>
        <v>3.1473100304246771E-3</v>
      </c>
      <c r="G329" s="123">
        <f t="shared" si="37"/>
        <v>5.774784694050572E-3</v>
      </c>
    </row>
    <row r="330" spans="1:7" x14ac:dyDescent="0.2">
      <c r="A330" s="118">
        <f t="shared" si="36"/>
        <v>35489</v>
      </c>
      <c r="B330" s="126">
        <v>35490</v>
      </c>
      <c r="C330" s="126">
        <v>103.0086</v>
      </c>
      <c r="D330" s="126">
        <v>96.998200381301487</v>
      </c>
      <c r="E330" s="126">
        <v>104.78918420258113</v>
      </c>
      <c r="F330" s="122">
        <f t="shared" si="35"/>
        <v>3.4863609480950686E-4</v>
      </c>
      <c r="G330" s="123">
        <f t="shared" si="37"/>
        <v>8.4035856520257024E-3</v>
      </c>
    </row>
    <row r="331" spans="1:7" x14ac:dyDescent="0.2">
      <c r="A331" s="118">
        <f t="shared" si="36"/>
        <v>35461</v>
      </c>
      <c r="B331" s="126">
        <v>35462</v>
      </c>
      <c r="C331" s="126">
        <v>102.9727</v>
      </c>
      <c r="D331" s="126">
        <v>97.492743935483745</v>
      </c>
      <c r="E331" s="126">
        <v>104.48214484851017</v>
      </c>
      <c r="F331" s="122">
        <f t="shared" si="35"/>
        <v>1.1866543638241467E-2</v>
      </c>
      <c r="G331" s="123">
        <f t="shared" si="37"/>
        <v>4.2669936051763502E-2</v>
      </c>
    </row>
    <row r="332" spans="1:7" x14ac:dyDescent="0.2">
      <c r="A332" s="118">
        <f t="shared" si="36"/>
        <v>35430</v>
      </c>
      <c r="B332" s="126">
        <v>35431</v>
      </c>
      <c r="C332" s="126">
        <v>101.7651</v>
      </c>
      <c r="D332" s="126">
        <v>100.01824967231188</v>
      </c>
      <c r="E332" s="126">
        <v>104.02205300607221</v>
      </c>
      <c r="F332" s="122">
        <f t="shared" si="35"/>
        <v>-8.4495816619134523E-3</v>
      </c>
      <c r="G332" s="123">
        <f t="shared" si="37"/>
        <v>8.8004073451397602E-4</v>
      </c>
    </row>
    <row r="333" spans="1:7" x14ac:dyDescent="0.2">
      <c r="A333" s="118">
        <f t="shared" si="36"/>
        <v>35399</v>
      </c>
      <c r="B333" s="126">
        <v>35400</v>
      </c>
      <c r="C333" s="126">
        <v>102.6323</v>
      </c>
      <c r="D333" s="126">
        <v>100.68436147822655</v>
      </c>
      <c r="E333" s="126">
        <v>103.73873893120147</v>
      </c>
      <c r="F333" s="122">
        <f t="shared" si="35"/>
        <v>4.7904595136843309E-2</v>
      </c>
      <c r="G333" s="123">
        <f t="shared" si="37"/>
        <v>4.9813287440233056E-2</v>
      </c>
    </row>
    <row r="334" spans="1:7" x14ac:dyDescent="0.2">
      <c r="A334" s="118">
        <f t="shared" si="36"/>
        <v>35369</v>
      </c>
      <c r="B334" s="126">
        <v>35370</v>
      </c>
      <c r="C334" s="126">
        <v>97.9405</v>
      </c>
      <c r="D334" s="126">
        <v>100.57204042417243</v>
      </c>
      <c r="E334" s="126">
        <v>103.43461084977751</v>
      </c>
      <c r="F334" s="122">
        <f t="shared" si="35"/>
        <v>2.6915075718485504E-3</v>
      </c>
      <c r="G334" s="123">
        <f t="shared" si="37"/>
        <v>1.3563376427441876E-2</v>
      </c>
    </row>
    <row r="335" spans="1:7" x14ac:dyDescent="0.2">
      <c r="A335" s="118">
        <f t="shared" si="36"/>
        <v>35338</v>
      </c>
      <c r="B335" s="126">
        <v>35339</v>
      </c>
      <c r="C335" s="126">
        <v>97.677599999999998</v>
      </c>
      <c r="D335" s="126">
        <v>101.36289576533571</v>
      </c>
      <c r="E335" s="126">
        <v>103.12977250754358</v>
      </c>
      <c r="F335" s="122">
        <f t="shared" si="35"/>
        <v>-1.2561640595146306E-2</v>
      </c>
      <c r="G335" s="123">
        <f t="shared" si="37"/>
        <v>-1.0425030467095309E-2</v>
      </c>
    </row>
    <row r="336" spans="1:7" x14ac:dyDescent="0.2">
      <c r="A336" s="118">
        <f t="shared" si="36"/>
        <v>35308</v>
      </c>
      <c r="B336" s="126">
        <v>35309</v>
      </c>
      <c r="C336" s="126">
        <v>98.920199999999994</v>
      </c>
      <c r="D336" s="126">
        <v>101.19704855058286</v>
      </c>
      <c r="E336" s="126">
        <v>102.73872925053118</v>
      </c>
      <c r="F336" s="122">
        <f t="shared" si="35"/>
        <v>-1.0878118872371334E-2</v>
      </c>
      <c r="G336" s="123">
        <f t="shared" si="37"/>
        <v>-5.5808674703239358E-3</v>
      </c>
    </row>
    <row r="337" spans="1:7" x14ac:dyDescent="0.2">
      <c r="A337" s="118">
        <f t="shared" si="36"/>
        <v>35277</v>
      </c>
      <c r="B337" s="126">
        <v>35278</v>
      </c>
      <c r="C337" s="126">
        <v>100.0081</v>
      </c>
      <c r="D337" s="126">
        <v>101.4382350775635</v>
      </c>
      <c r="E337" s="126">
        <v>102.43499853590879</v>
      </c>
      <c r="F337" s="122">
        <f t="shared" si="35"/>
        <v>4.2990560353484142E-3</v>
      </c>
      <c r="G337" s="123">
        <f t="shared" si="37"/>
        <v>-1.0472067186302669E-2</v>
      </c>
    </row>
    <row r="338" spans="1:7" x14ac:dyDescent="0.2">
      <c r="A338" s="118">
        <f t="shared" si="36"/>
        <v>35246</v>
      </c>
      <c r="B338" s="126">
        <v>35247</v>
      </c>
      <c r="C338" s="126">
        <v>99.58</v>
      </c>
      <c r="D338" s="126">
        <v>99.554330206926537</v>
      </c>
      <c r="E338" s="126">
        <v>102.03327636156585</v>
      </c>
      <c r="F338" s="122">
        <f t="shared" si="35"/>
        <v>-2.1485641768081987E-4</v>
      </c>
      <c r="G338" s="123">
        <f t="shared" si="37"/>
        <v>-3.4443224899971536E-4</v>
      </c>
    </row>
    <row r="339" spans="1:7" x14ac:dyDescent="0.2">
      <c r="A339" s="118">
        <f t="shared" si="36"/>
        <v>35216</v>
      </c>
      <c r="B339" s="126">
        <v>35217</v>
      </c>
      <c r="C339" s="126">
        <v>99.601399999999998</v>
      </c>
      <c r="D339" s="126">
        <v>99.232937763254995</v>
      </c>
      <c r="E339" s="126">
        <v>101.7170640117166</v>
      </c>
      <c r="F339" s="122">
        <f t="shared" si="35"/>
        <v>-1.7903292442793206E-2</v>
      </c>
      <c r="G339" s="123">
        <f t="shared" si="37"/>
        <v>-1.5795596831736702E-2</v>
      </c>
    </row>
    <row r="340" spans="1:7" x14ac:dyDescent="0.2">
      <c r="A340" s="118">
        <f t="shared" si="36"/>
        <v>35185</v>
      </c>
      <c r="B340" s="126">
        <v>35186</v>
      </c>
      <c r="C340" s="126">
        <v>101.4171</v>
      </c>
      <c r="D340" s="126">
        <v>99.069857652081069</v>
      </c>
      <c r="E340" s="126">
        <v>101.33243009816944</v>
      </c>
      <c r="F340" s="122">
        <f t="shared" si="35"/>
        <v>2.0929553645130827E-2</v>
      </c>
      <c r="G340" s="123">
        <f t="shared" si="37"/>
        <v>2.7386093270292289E-2</v>
      </c>
    </row>
    <row r="341" spans="1:7" x14ac:dyDescent="0.2">
      <c r="A341" s="118">
        <f t="shared" si="36"/>
        <v>35155</v>
      </c>
      <c r="B341" s="126">
        <v>35156</v>
      </c>
      <c r="C341" s="126">
        <v>99.337999999999994</v>
      </c>
      <c r="D341" s="126">
        <v>99.468140244001631</v>
      </c>
      <c r="E341" s="126">
        <v>101.10043166184425</v>
      </c>
      <c r="F341" s="122">
        <f t="shared" si="35"/>
        <v>-5.0280448717949788E-3</v>
      </c>
      <c r="G341" s="123">
        <f t="shared" si="37"/>
        <v>-3.9911089322675064E-4</v>
      </c>
    </row>
    <row r="342" spans="1:7" x14ac:dyDescent="0.2">
      <c r="A342" s="118">
        <f t="shared" si="36"/>
        <v>35124</v>
      </c>
      <c r="B342" s="126">
        <v>35125</v>
      </c>
      <c r="C342" s="126">
        <v>99.84</v>
      </c>
      <c r="D342" s="126">
        <v>99.551293679962427</v>
      </c>
      <c r="E342" s="126">
        <v>100.71638420058162</v>
      </c>
      <c r="F342" s="122">
        <f t="shared" si="35"/>
        <v>4.4882029983730476E-3</v>
      </c>
      <c r="G342" s="123">
        <f t="shared" si="37"/>
        <v>-7.1103790580522297E-3</v>
      </c>
    </row>
    <row r="343" spans="1:7" x14ac:dyDescent="0.2">
      <c r="A343" s="118">
        <f>EOMONTH(A344,1)</f>
        <v>35095</v>
      </c>
      <c r="B343" s="126">
        <v>35096</v>
      </c>
      <c r="C343" s="126">
        <v>99.393900000000002</v>
      </c>
      <c r="D343" s="126">
        <v>98.108135588988077</v>
      </c>
      <c r="E343" s="126">
        <v>100.41581330740755</v>
      </c>
      <c r="F343" s="122">
        <f t="shared" si="35"/>
        <v>-6.0609999999999831E-3</v>
      </c>
      <c r="G343" s="123">
        <f t="shared" si="37"/>
        <v>1.731821182578841E-2</v>
      </c>
    </row>
    <row r="344" spans="1:7" ht="13.5" thickBot="1" x14ac:dyDescent="0.25">
      <c r="A344" s="129">
        <v>35064</v>
      </c>
      <c r="B344" s="130">
        <v>35065</v>
      </c>
      <c r="C344" s="130">
        <v>100</v>
      </c>
      <c r="D344" s="130">
        <v>100</v>
      </c>
      <c r="E344" s="130">
        <v>100</v>
      </c>
      <c r="F344" s="131"/>
      <c r="G344" s="132"/>
    </row>
    <row r="345" spans="1:7" x14ac:dyDescent="0.2">
      <c r="F345" s="38"/>
    </row>
  </sheetData>
  <mergeCells count="8">
    <mergeCell ref="I41:V41"/>
    <mergeCell ref="I42:V42"/>
    <mergeCell ref="I40:V40"/>
    <mergeCell ref="I39:V39"/>
    <mergeCell ref="A1:G1"/>
    <mergeCell ref="I1:V1"/>
    <mergeCell ref="I2:V2"/>
    <mergeCell ref="I3:V3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Vantage Global Investment Fund</vt:lpstr>
      <vt:lpstr>Monthly returns</vt:lpstr>
      <vt:lpstr>'Monthly returns'!Print_Area</vt:lpstr>
      <vt:lpstr>'Vantage Global Investment Fund'!Print_Area</vt:lpstr>
    </vt:vector>
  </TitlesOfParts>
  <Company>Vantage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Yu Wang</cp:lastModifiedBy>
  <cp:lastPrinted>2010-04-09T05:58:29Z</cp:lastPrinted>
  <dcterms:created xsi:type="dcterms:W3CDTF">2002-01-23T08:26:32Z</dcterms:created>
  <dcterms:modified xsi:type="dcterms:W3CDTF">2024-05-02T10:34:19Z</dcterms:modified>
</cp:coreProperties>
</file>